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1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三块地面积表"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state="hidden"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不动产比较法-(商业)" sheetId="75" state="hidden" r:id="rId43"/>
    <sheet name="不动产收益法 (车库)" sheetId="68" r:id="rId44"/>
    <sheet name="存贷款利率" sheetId="65" state="hidden" r:id="rId45"/>
    <sheet name="Sheet2" sheetId="69" r:id="rId46"/>
    <sheet name="Sheet1" sheetId="71" state="hidden" r:id="rId47"/>
    <sheet name="Sheet3" sheetId="72" r:id="rId48"/>
  </sheets>
  <externalReferences>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20" hidden="1">'比较法-住宅、综合'!$A$1:$L$50</definedName>
    <definedName name="_xlnm._FilterDatabase" localSheetId="42" hidden="1">'不动产比较法-(商业)'!$A$1:$L$49</definedName>
    <definedName name="_xlnm._FilterDatabase" localSheetId="8" hidden="1">'不动产比较法-(商业) (2)'!$A$1:$L$49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2">#REF!</definedName>
    <definedName name="办公层高" localSheetId="8">#REF!</definedName>
    <definedName name="办公层高" localSheetId="13">'[1]不动产比较法-办公'!$B$119:$M$119</definedName>
    <definedName name="办公层高">'不动产比较法-办公'!$B$119:$M$119</definedName>
    <definedName name="办公朝向" localSheetId="42">#REF!</definedName>
    <definedName name="办公朝向" localSheetId="8">#REF!</definedName>
    <definedName name="办公朝向" localSheetId="13">'[1]不动产比较法-办公'!$B$91:$M$91</definedName>
    <definedName name="办公朝向">'不动产比较法-办公'!$B$91:$M$91</definedName>
    <definedName name="办公道路级别" localSheetId="42">#REF!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2">#REF!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2">#REF!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2">#REF!</definedName>
    <definedName name="办公集聚程度" localSheetId="8">#REF!</definedName>
    <definedName name="办公集聚程度" localSheetId="13">[1]定义!$M$1:$M$6</definedName>
    <definedName name="办公集聚程度">定义!$M$1:$M$6</definedName>
    <definedName name="办公建筑结构" localSheetId="42">#REF!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2">#REF!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2">#REF!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2">#REF!</definedName>
    <definedName name="办公楼层" localSheetId="8">#REF!</definedName>
    <definedName name="办公楼层" localSheetId="13">'[1]不动产比较法-办公'!$B$89:$M$89</definedName>
    <definedName name="办公楼层">'不动产比较法-办公'!$B$89:$M$89</definedName>
    <definedName name="办公内部装修" localSheetId="42">#REF!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2">#REF!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2">#REF!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2">#REF!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2">#REF!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2">#REF!</definedName>
    <definedName name="仓储楼层" localSheetId="8">#REF!</definedName>
    <definedName name="仓储楼层" localSheetId="13">'[1]不动产比较法-仓储'!$B$69:$M$69</definedName>
    <definedName name="仓储楼层">'不动产比较法-仓储'!$B$69:$M$69</definedName>
    <definedName name="仓储物业等级" localSheetId="42">#REF!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2">#REF!</definedName>
    <definedName name="仓储用途" localSheetId="8">#REF!</definedName>
    <definedName name="仓储用途" localSheetId="13">'[1]不动产比较法-仓储'!$B$51:$M$51</definedName>
    <definedName name="仓储用途">'不动产比较法-仓储'!$B$51:$M$51</definedName>
    <definedName name="产业集聚程度" localSheetId="42">#REF!</definedName>
    <definedName name="产业集聚程度" localSheetId="8">#REF!</definedName>
    <definedName name="产业集聚程度" localSheetId="13">[1]定义!$N$1:$N$6</definedName>
    <definedName name="产业集聚程度">定义!$N$1:$N$6</definedName>
    <definedName name="车位公共部分装修" localSheetId="42">#REF!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2">#REF!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2">#REF!</definedName>
    <definedName name="车位类型" localSheetId="8">#REF!</definedName>
    <definedName name="车位类型" localSheetId="13">'[1]不动产比较法-车位'!$B$93:$M$93</definedName>
    <definedName name="车位类型">'不动产比较法-车位'!$B$93:$M$93</definedName>
    <definedName name="车位楼层" localSheetId="42">#REF!</definedName>
    <definedName name="车位楼层" localSheetId="8">#REF!</definedName>
    <definedName name="车位楼层" localSheetId="13">'[1]不动产比较法-车位'!$B$71:$M$71</definedName>
    <definedName name="车位楼层">'不动产比较法-车位'!$B$71:$M$71</definedName>
    <definedName name="车位配套类型" localSheetId="42">#REF!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2">#REF!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2">#REF!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2">#REF!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2">#REF!</definedName>
    <definedName name="单价内涵" localSheetId="8">#REF!</definedName>
    <definedName name="单价内涵" localSheetId="13">[1]定义!$V$1:$V$3</definedName>
    <definedName name="单价内涵">定义!$V$1:$V$3</definedName>
    <definedName name="地类判定" localSheetId="42">#REF!</definedName>
    <definedName name="地类判定" localSheetId="8">#REF!</definedName>
    <definedName name="地类判定" localSheetId="13">[1]定义!$H$1:$H$9</definedName>
    <definedName name="地类判定">定义!$H$1:$H$9</definedName>
    <definedName name="二级">区片价!$J$1:$J$20</definedName>
    <definedName name="二级分类" localSheetId="42">#REF!</definedName>
    <definedName name="二级分类" localSheetId="8">#REF!</definedName>
    <definedName name="二级分类" localSheetId="13">[1]修正!$C$17:$C$39</definedName>
    <definedName name="二级分类">修正!$C$17:$C$39</definedName>
    <definedName name="法定最高年限" localSheetId="42">#REF!</definedName>
    <definedName name="法定最高年限" localSheetId="8">#REF!</definedName>
    <definedName name="法定最高年限" localSheetId="13">[1]定义!$G$2:$G$4</definedName>
    <definedName name="法定最高年限">定义!$G$2:$G$4</definedName>
    <definedName name="工业公共部分装修" localSheetId="42">#REF!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2">#REF!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2">#REF!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2">#REF!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2">#REF!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2">#REF!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2">#REF!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2">#REF!</definedName>
    <definedName name="工业用途" localSheetId="8">#REF!</definedName>
    <definedName name="工业用途" localSheetId="13">'[1]不动产比较法-工业'!$B$57:$M$57</definedName>
    <definedName name="工业用途">'不动产比较法-工业'!$B$57:$M$57</definedName>
    <definedName name="公共配套设施" localSheetId="42">#REF!</definedName>
    <definedName name="公共配套设施" localSheetId="8">#REF!</definedName>
    <definedName name="公共配套设施" localSheetId="13">[1]定义!$Q$1:$Q$6</definedName>
    <definedName name="公共配套设施">定义!$Q$1:$Q$6</definedName>
    <definedName name="估价方法" localSheetId="42">#REF!</definedName>
    <definedName name="估价方法" localSheetId="8">#REF!</definedName>
    <definedName name="估价方法" localSheetId="13">[1]定义!$B$1:$B$50</definedName>
    <definedName name="估价方法">定义!$B$1:$B$50</definedName>
    <definedName name="环境" localSheetId="42">#REF!</definedName>
    <definedName name="环境" localSheetId="8">#REF!</definedName>
    <definedName name="环境" localSheetId="13">[1]定义!$S$1:$S$6</definedName>
    <definedName name="环境">定义!$S$1:$S$6</definedName>
    <definedName name="基础设施水平" localSheetId="42">#REF!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2">#REF!</definedName>
    <definedName name="价值类型2" localSheetId="8">#REF!</definedName>
    <definedName name="价值类型2" localSheetId="13">[1]定义!$B$54:$B$56</definedName>
    <definedName name="价值类型2">定义!$B$54:$B$56</definedName>
    <definedName name="交通便捷度" localSheetId="42">#REF!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2">#REF!</definedName>
    <definedName name="居住社区成熟度" localSheetId="8">#REF!</definedName>
    <definedName name="居住社区成熟度" localSheetId="13">[1]定义!$K$1:$K$6</definedName>
    <definedName name="居住社区成熟度">定义!$K$1:$K$6</definedName>
    <definedName name="类别" localSheetId="42">#REF!</definedName>
    <definedName name="类别" localSheetId="8">#REF!</definedName>
    <definedName name="类别" localSheetId="13">[1]定义!$J$1:$J$3</definedName>
    <definedName name="类别">定义!$J$1:$J$3</definedName>
    <definedName name="临街状况" localSheetId="42">#REF!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2">#REF!</definedName>
    <definedName name="内部装修维护情况" localSheetId="8">#REF!</definedName>
    <definedName name="内部装修维护情况" localSheetId="13">[1]定义!$U$1:$U$6</definedName>
    <definedName name="内部装修维护情况">定义!$U$1:$U$6</definedName>
    <definedName name="判定" localSheetId="42">#REF!</definedName>
    <definedName name="判定" localSheetId="8">#REF!</definedName>
    <definedName name="判定" localSheetId="13">[1]定义!$D$1:$D$4</definedName>
    <definedName name="判定">定义!$D$1:$D$4</definedName>
    <definedName name="七级">区片价!$O$1:$O$49</definedName>
    <definedName name="七通一平" localSheetId="42">#REF!</definedName>
    <definedName name="七通一平" localSheetId="8">#REF!</definedName>
    <definedName name="七通一平" localSheetId="13">[1]修正!$A$6:$A$14</definedName>
    <definedName name="七通一平">修正!$A$6:$A$14</definedName>
    <definedName name="区域土地利用方向" localSheetId="42">#REF!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2">#REF!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2">#REF!</definedName>
    <definedName name="商业繁华度" localSheetId="8">#REF!</definedName>
    <definedName name="商业繁华度" localSheetId="13">[1]定义!$L$1:$L$6</definedName>
    <definedName name="商业繁华度">定义!$L$1:$L$6</definedName>
    <definedName name="商业公共部分装修" localSheetId="42">#REF!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2">#REF!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2">#REF!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2">#REF!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2">#REF!</definedName>
    <definedName name="商业街名称" localSheetId="8">#REF!</definedName>
    <definedName name="商业街名称" localSheetId="13">[1]修正!$C$59:$C$119</definedName>
    <definedName name="商业街名称">修正!$C$59:$C$119</definedName>
    <definedName name="商业进深比" localSheetId="42">#REF!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2">#REF!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2">#REF!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2">#REF!</definedName>
    <definedName name="商业楼层" localSheetId="8">#REF!</definedName>
    <definedName name="商业楼层" localSheetId="13">'[1]不动产比较法-商业'!$B$92:$M$92</definedName>
    <definedName name="商业楼层">'不动产比较法-商业'!$B$92:$M$92</definedName>
    <definedName name="商业内部装修" localSheetId="42">#REF!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2">#REF!</definedName>
    <definedName name="商业人流量" localSheetId="8">#REF!</definedName>
    <definedName name="商业人流量" localSheetId="13">'[1]不动产比较法-商业'!$B$90:$M$90</definedName>
    <definedName name="商业人流量">'不动产比较法-商业'!$B$90:$M$90</definedName>
    <definedName name="商业业态" localSheetId="42">#REF!</definedName>
    <definedName name="商业业态" localSheetId="8">#REF!</definedName>
    <definedName name="商业业态" localSheetId="13">'[1]不动产比较法-商业'!$B$114:$M$114</definedName>
    <definedName name="商业业态">'不动产比较法-商业'!$B$114:$M$114</definedName>
    <definedName name="商业用途" localSheetId="42">#REF!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 localSheetId="8">#REF!</definedName>
    <definedName name="是否封闭" localSheetId="13">'[1]不动产比较法-仓储'!$B$89:$M$89</definedName>
    <definedName name="是否封闭">'不动产比较法-仓储'!$B$89:$M$89</definedName>
    <definedName name="是否直接入户" localSheetId="42">#REF!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2">#REF!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2">#REF!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2">#REF!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2">#REF!</definedName>
    <definedName name="套工临街等级" localSheetId="8">#REF!</definedName>
    <definedName name="套工临街等级" localSheetId="13">'[1]比较法-工业'!$B$99:$M$99</definedName>
    <definedName name="套工临街等级">'比较法-工业'!$B$99:$M$99</definedName>
    <definedName name="套工土地级别" localSheetId="42">#REF!</definedName>
    <definedName name="套工土地级别" localSheetId="8">#REF!</definedName>
    <definedName name="套工土地级别" localSheetId="13">'[1]比较法-工业'!$B$101:$M$101</definedName>
    <definedName name="套工土地级别">'比较法-工业'!$B$101:$M$101</definedName>
    <definedName name="套工用途" localSheetId="42">#REF!</definedName>
    <definedName name="套工用途" localSheetId="8">#REF!</definedName>
    <definedName name="套工用途" localSheetId="13">'[1]比较法-工业'!$B$72:$M$72</definedName>
    <definedName name="套工用途">'比较法-工业'!$B$72:$M$72</definedName>
    <definedName name="套工宗地形状" localSheetId="42">#REF!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2">#REF!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2">#REF!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2">#REF!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2">#REF!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2">#REF!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2">#REF!</definedName>
    <definedName name="套综用途" localSheetId="8">#REF!</definedName>
    <definedName name="套综用途" localSheetId="13">'[1]比较法-住宅、综合'!$B$77:$M$77</definedName>
    <definedName name="套综用途">'比较法-住宅、综合'!$B$77:$M$77</definedName>
    <definedName name="套综宗地内开发程度" localSheetId="42">#REF!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2">#REF!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2">#REF!</definedName>
    <definedName name="土地估价师" localSheetId="8">#REF!</definedName>
    <definedName name="土地估价师" localSheetId="13">[1]估价师及机构信息!$D$3:$D$24</definedName>
    <definedName name="土地估价师">估价师及机构信息!$D$3:$D$24</definedName>
    <definedName name="土地级别" localSheetId="42">#REF!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2">#REF!</definedName>
    <definedName name="土地年限区间" localSheetId="8">#REF!</definedName>
    <definedName name="土地年限区间" localSheetId="13">[1]定义!$I$1:$I$8</definedName>
    <definedName name="土地年限区间">定义!$I$1:$I$8</definedName>
    <definedName name="位置" localSheetId="42">#REF!</definedName>
    <definedName name="位置" localSheetId="8">#REF!</definedName>
    <definedName name="位置" localSheetId="13">[1]定义!$E$2:$E$4</definedName>
    <definedName name="位置">定义!$E$2:$E$4</definedName>
    <definedName name="五等判定" localSheetId="42">#REF!</definedName>
    <definedName name="五等判定" localSheetId="8">#REF!</definedName>
    <definedName name="五等判定" localSheetId="13">[1]定义!$W$1:$W$6</definedName>
    <definedName name="五等判定">定义!$W$1:$W$6</definedName>
    <definedName name="五级">区片价!$M$1:$M$35</definedName>
    <definedName name="项目类型" localSheetId="42">#REF!</definedName>
    <definedName name="项目类型" localSheetId="8">#REF!</definedName>
    <definedName name="项目类型" localSheetId="13">'[1]数据-汇总表'!$C$17:$C$26</definedName>
    <definedName name="项目类型">'数据-汇总表'!$C$17:$C$26</definedName>
    <definedName name="写字楼等级" localSheetId="42">#REF!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2">#REF!</definedName>
    <definedName name="一修多修正项2" localSheetId="8">#REF!</definedName>
    <definedName name="一修多修正项2" localSheetId="13">[1]典型户型修正!$5:$5</definedName>
    <definedName name="一修多修正项2">典型户型修正!$5:$5</definedName>
    <definedName name="一修多修正项3" localSheetId="42">#REF!</definedName>
    <definedName name="一修多修正项3" localSheetId="8">#REF!</definedName>
    <definedName name="一修多修正项3" localSheetId="13">[1]典型户型修正!$7:$7</definedName>
    <definedName name="一修多修正项3">典型户型修正!$7:$7</definedName>
    <definedName name="一修多修正项4" localSheetId="42">#REF!</definedName>
    <definedName name="一修多修正项4" localSheetId="8">#REF!</definedName>
    <definedName name="一修多修正项4" localSheetId="13">[1]典型户型修正!$9:$9</definedName>
    <definedName name="一修多修正项4">典型户型修正!$9:$9</definedName>
    <definedName name="一修多修正项5" localSheetId="42">#REF!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2">#REF!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2">#REF!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2">#REF!</definedName>
    <definedName name="一修多修正项8" localSheetId="8">#REF!</definedName>
    <definedName name="一修多修正项8" localSheetId="13">[1]典型户型修正!$17:$17</definedName>
    <definedName name="一修多修正项8">典型户型修正!$17:$17</definedName>
    <definedName name="用途类型" localSheetId="42">#REF!</definedName>
    <definedName name="用途类型" localSheetId="8">#REF!</definedName>
    <definedName name="用途类型" localSheetId="13">[1]定义!$A$1:$A$50</definedName>
    <definedName name="用途类型">定义!$A$1:$A$50</definedName>
    <definedName name="有无电梯" localSheetId="42">#REF!</definedName>
    <definedName name="有无电梯" localSheetId="8">#REF!</definedName>
    <definedName name="有无电梯" localSheetId="13">'[1]不动产比较法-仓储'!$B$84:$M$84</definedName>
    <definedName name="有无电梯">'不动产比较法-仓储'!$B$84:$M$84</definedName>
    <definedName name="主用途" localSheetId="42">#REF!</definedName>
    <definedName name="主用途" localSheetId="8">#REF!</definedName>
    <definedName name="主用途" localSheetId="13">[1]定义!$F$1:$F$10</definedName>
    <definedName name="主用途">定义!$F$1:$F$10</definedName>
    <definedName name="住宅朝向" localSheetId="42">'不动产比较法-(商业)'!$B$88:$M$88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2">'不动产比较法-(商业)'!$B$118:$M$118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2">'不动产比较法-(商业)'!$B$109:$M$109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2">'不动产比较法-(商业)'!$B$116:$M$116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2">'不动产比较法-(商业)'!$B$105:$M$105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2">'不动产比较法-(商业)'!$B$100:$M$100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2">'不动产比较法-(商业)'!$B$107:$M$107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2">'不动产比较法-(商业)'!$A$61:$M$61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2">'不动产比较法-(商业)'!$B$86:$M$86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2">'不动产比较法-(商业)'!$B$122:$M$122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2">'不动产比较法-(商业)'!$B$114:$M$114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2">'不动产比较法-(商业)'!$B$63:$M$63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2">'不动产比较法-(商业)'!$B$120:$M$120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66" l="1"/>
  <c r="C11" i="33" l="1"/>
  <c r="I7" i="6"/>
  <c r="E21" i="76"/>
  <c r="D6" i="76"/>
  <c r="B15" i="66"/>
  <c r="E18" i="76"/>
  <c r="AL13" i="3" s="1"/>
  <c r="E16" i="76"/>
  <c r="AD13" i="3" s="1"/>
  <c r="E14" i="76"/>
  <c r="K13" i="3" s="1"/>
  <c r="E13" i="76"/>
  <c r="C15" i="66"/>
  <c r="I13" i="3"/>
  <c r="A3" i="3" l="1"/>
  <c r="B11" i="76"/>
  <c r="O10" i="76"/>
  <c r="N10" i="76"/>
  <c r="M10" i="76"/>
  <c r="L10" i="76"/>
  <c r="K10" i="76"/>
  <c r="J10" i="76"/>
  <c r="I10" i="76"/>
  <c r="H10" i="76"/>
  <c r="G10" i="76"/>
  <c r="F10" i="76"/>
  <c r="E10" i="76"/>
  <c r="C10" i="76" s="1"/>
  <c r="D10" i="76" s="1"/>
  <c r="O9" i="76"/>
  <c r="N9" i="76"/>
  <c r="M9" i="76"/>
  <c r="L9" i="76"/>
  <c r="K9" i="76"/>
  <c r="J9" i="76"/>
  <c r="I9" i="76"/>
  <c r="H9" i="76"/>
  <c r="G9" i="76"/>
  <c r="F9" i="76"/>
  <c r="E9" i="76"/>
  <c r="O8" i="76"/>
  <c r="N8" i="76"/>
  <c r="M8" i="76"/>
  <c r="L8" i="76"/>
  <c r="K8" i="76"/>
  <c r="J8" i="76"/>
  <c r="I8" i="76"/>
  <c r="H8" i="76"/>
  <c r="G8" i="76"/>
  <c r="F8" i="76"/>
  <c r="E8" i="76"/>
  <c r="C8" i="76"/>
  <c r="D8" i="76" s="1"/>
  <c r="O7" i="76"/>
  <c r="N7" i="76"/>
  <c r="M7" i="76"/>
  <c r="L7" i="76"/>
  <c r="K7" i="76"/>
  <c r="J7" i="76"/>
  <c r="I7" i="76"/>
  <c r="H7" i="76"/>
  <c r="G7" i="76"/>
  <c r="F7" i="76"/>
  <c r="E7" i="76"/>
  <c r="O6" i="76"/>
  <c r="N6" i="76"/>
  <c r="M6" i="76"/>
  <c r="L6" i="76"/>
  <c r="K6" i="76"/>
  <c r="J6" i="76"/>
  <c r="I6" i="76"/>
  <c r="H6" i="76"/>
  <c r="G6" i="76"/>
  <c r="F6" i="76"/>
  <c r="E6" i="76"/>
  <c r="O5" i="76"/>
  <c r="N5" i="76"/>
  <c r="M5" i="76"/>
  <c r="L5" i="76"/>
  <c r="K5" i="76"/>
  <c r="J5" i="76"/>
  <c r="I5" i="76"/>
  <c r="H5" i="76"/>
  <c r="G5" i="76"/>
  <c r="F5" i="76"/>
  <c r="E5" i="76"/>
  <c r="O4" i="76"/>
  <c r="O11" i="76" s="1"/>
  <c r="N4" i="76"/>
  <c r="N11" i="76" s="1"/>
  <c r="M4" i="76"/>
  <c r="M11" i="76" s="1"/>
  <c r="L4" i="76"/>
  <c r="L11" i="76" s="1"/>
  <c r="K4" i="76"/>
  <c r="K11" i="76" s="1"/>
  <c r="J4" i="76"/>
  <c r="J11" i="76" s="1"/>
  <c r="I4" i="76"/>
  <c r="I11" i="76" s="1"/>
  <c r="H4" i="76"/>
  <c r="H11" i="76" s="1"/>
  <c r="G4" i="76"/>
  <c r="G11" i="76" s="1"/>
  <c r="F4" i="76"/>
  <c r="F11" i="76" s="1"/>
  <c r="E4" i="76"/>
  <c r="E11" i="76" s="1"/>
  <c r="N3" i="76"/>
  <c r="M3" i="76"/>
  <c r="L3" i="76"/>
  <c r="K3" i="76"/>
  <c r="J3" i="76"/>
  <c r="I3" i="76"/>
  <c r="H3" i="76"/>
  <c r="G3" i="76"/>
  <c r="F3" i="76"/>
  <c r="E3" i="76"/>
  <c r="C5" i="76" l="1"/>
  <c r="D5" i="76" s="1"/>
  <c r="C6" i="76"/>
  <c r="C9" i="76"/>
  <c r="D9" i="76" s="1"/>
  <c r="C7" i="76"/>
  <c r="D7" i="76" s="1"/>
  <c r="C4" i="76"/>
  <c r="C11" i="76" l="1"/>
  <c r="D4" i="76"/>
  <c r="D11" i="76" s="1"/>
  <c r="E15" i="76" l="1"/>
  <c r="C40" i="39"/>
  <c r="M13" i="3" l="1"/>
  <c r="E19" i="76"/>
  <c r="D3" i="75"/>
  <c r="C145" i="75" l="1"/>
  <c r="J142" i="75"/>
  <c r="J140" i="75"/>
  <c r="K145" i="75" s="1"/>
  <c r="K139" i="75"/>
  <c r="K143" i="75" s="1"/>
  <c r="B130" i="75"/>
  <c r="B128" i="75"/>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s="1"/>
  <c r="G101" i="75" s="1"/>
  <c r="H101" i="75" s="1"/>
  <c r="I101" i="75" s="1"/>
  <c r="J101" i="75" s="1"/>
  <c r="K101" i="75" s="1"/>
  <c r="L101" i="75" s="1"/>
  <c r="M101" i="75" s="1"/>
  <c r="D101" i="75"/>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Z45" i="75"/>
  <c r="Q45" i="75"/>
  <c r="J45" i="75"/>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W23" i="75"/>
  <c r="Q23" i="75"/>
  <c r="Z23" i="75" s="1"/>
  <c r="J23" i="75"/>
  <c r="H23" i="75"/>
  <c r="AB23" i="75" s="1"/>
  <c r="F23" i="75"/>
  <c r="AA23" i="75" s="1"/>
  <c r="C23" i="75"/>
  <c r="Q21" i="75"/>
  <c r="Z21" i="75" s="1"/>
  <c r="J21" i="75"/>
  <c r="AC21" i="75" s="1"/>
  <c r="H21" i="75"/>
  <c r="AB21" i="75" s="1"/>
  <c r="F21" i="75"/>
  <c r="AA21" i="75" s="1"/>
  <c r="C21" i="75"/>
  <c r="AC19" i="75"/>
  <c r="W19" i="75"/>
  <c r="Q19" i="75"/>
  <c r="Z19" i="75" s="1"/>
  <c r="J19" i="75"/>
  <c r="H19" i="75"/>
  <c r="AB19" i="75" s="1"/>
  <c r="F19" i="75"/>
  <c r="AA19" i="75" s="1"/>
  <c r="C19" i="75"/>
  <c r="Q17" i="75"/>
  <c r="Z17" i="75" s="1"/>
  <c r="J17" i="75"/>
  <c r="AC17" i="75" s="1"/>
  <c r="H17" i="75"/>
  <c r="AB17" i="75" s="1"/>
  <c r="F17" i="75"/>
  <c r="AA17" i="75" s="1"/>
  <c r="C17" i="75"/>
  <c r="AC15" i="75"/>
  <c r="Q15" i="75"/>
  <c r="Z15" i="75" s="1"/>
  <c r="J15" i="75"/>
  <c r="W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C145" i="74"/>
  <c r="J142" i="74"/>
  <c r="J140" i="74"/>
  <c r="K145" i="74" s="1"/>
  <c r="K139" i="74"/>
  <c r="K143" i="74" s="1"/>
  <c r="B130" i="74"/>
  <c r="B128" i="74"/>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Z45" i="74"/>
  <c r="Q45" i="74"/>
  <c r="J45" i="74"/>
  <c r="H45" i="74"/>
  <c r="AB45" i="74" s="1"/>
  <c r="F45" i="74"/>
  <c r="AA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AB29" i="74" s="1"/>
  <c r="F29" i="74"/>
  <c r="AA29" i="74" s="1"/>
  <c r="Q28" i="74"/>
  <c r="Z28" i="74" s="1"/>
  <c r="J28" i="74"/>
  <c r="AC28" i="74" s="1"/>
  <c r="H28" i="74"/>
  <c r="AB28" i="74" s="1"/>
  <c r="F28" i="74"/>
  <c r="AA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J23" i="74"/>
  <c r="AC23" i="74" s="1"/>
  <c r="H23" i="74"/>
  <c r="AB23" i="74" s="1"/>
  <c r="F23" i="74"/>
  <c r="AA23" i="74" s="1"/>
  <c r="C23" i="74"/>
  <c r="Q21" i="74"/>
  <c r="Z21" i="74" s="1"/>
  <c r="J21" i="74"/>
  <c r="AC21" i="74" s="1"/>
  <c r="H21" i="74"/>
  <c r="AB21" i="74" s="1"/>
  <c r="F21" i="74"/>
  <c r="AA21" i="74" s="1"/>
  <c r="C21" i="74"/>
  <c r="Q19" i="74"/>
  <c r="Z19" i="74" s="1"/>
  <c r="J19" i="74"/>
  <c r="AC19" i="74" s="1"/>
  <c r="H19" i="74"/>
  <c r="AB19" i="74" s="1"/>
  <c r="F19" i="74"/>
  <c r="C19" i="74"/>
  <c r="Q17" i="74"/>
  <c r="Z17" i="74" s="1"/>
  <c r="J17" i="74"/>
  <c r="AC17" i="74" s="1"/>
  <c r="H17" i="74"/>
  <c r="AB17" i="74" s="1"/>
  <c r="F17" i="74"/>
  <c r="AA17" i="74" s="1"/>
  <c r="C17" i="74"/>
  <c r="AC15" i="74"/>
  <c r="Q15" i="74"/>
  <c r="Z15" i="74" s="1"/>
  <c r="J15" i="74"/>
  <c r="W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C11" i="74"/>
  <c r="H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I7" i="74" l="1"/>
  <c r="J7" i="74" s="1"/>
  <c r="E7" i="74"/>
  <c r="F7" i="74" s="1"/>
  <c r="G7" i="74"/>
  <c r="H7" i="74" s="1"/>
  <c r="U7" i="74" s="1"/>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S7" i="74"/>
  <c r="AC7" i="74"/>
  <c r="W7" i="74"/>
  <c r="AB11" i="74"/>
  <c r="T48" i="74" s="1"/>
  <c r="G48" i="74" s="1"/>
  <c r="U11" i="74"/>
  <c r="U8" i="74"/>
  <c r="AA8" i="74"/>
  <c r="AC8" i="74"/>
  <c r="U9" i="74"/>
  <c r="S10" i="74"/>
  <c r="W10" i="74"/>
  <c r="F11" i="74"/>
  <c r="J11" i="74"/>
  <c r="U12" i="74"/>
  <c r="S13" i="74"/>
  <c r="W13" i="74"/>
  <c r="U14" i="74"/>
  <c r="U15" i="74"/>
  <c r="S17" i="74"/>
  <c r="S9" i="74"/>
  <c r="W9" i="74"/>
  <c r="U10" i="74"/>
  <c r="S12" i="74"/>
  <c r="W12" i="74"/>
  <c r="U13" i="74"/>
  <c r="S14" i="74"/>
  <c r="W14" i="74"/>
  <c r="S15" i="74"/>
  <c r="W17" i="74"/>
  <c r="AA19" i="74"/>
  <c r="S19" i="74"/>
  <c r="U17" i="74"/>
  <c r="U19" i="74"/>
  <c r="U21" i="74"/>
  <c r="U23" i="74"/>
  <c r="S25" i="74"/>
  <c r="W25" i="74"/>
  <c r="U26" i="74"/>
  <c r="S27" i="74"/>
  <c r="W27" i="74"/>
  <c r="U28" i="74"/>
  <c r="S29" i="74"/>
  <c r="W29" i="74"/>
  <c r="U30" i="74"/>
  <c r="S31" i="74"/>
  <c r="W31" i="74"/>
  <c r="U32" i="74"/>
  <c r="S33" i="74"/>
  <c r="W33" i="74"/>
  <c r="U34" i="74"/>
  <c r="S35" i="74"/>
  <c r="W35" i="74"/>
  <c r="U36" i="74"/>
  <c r="S37" i="74"/>
  <c r="W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G52" i="74" l="1"/>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H153" i="70"/>
  <c r="J153" i="70" s="1"/>
  <c r="J158" i="70" s="1"/>
  <c r="F152" i="70"/>
  <c r="I151" i="70"/>
  <c r="H151" i="70"/>
  <c r="J151" i="70" s="1"/>
  <c r="N150" i="70"/>
  <c r="N152" i="70" s="1"/>
  <c r="I150" i="70"/>
  <c r="H150" i="70"/>
  <c r="J150" i="70" s="1"/>
  <c r="I149" i="70"/>
  <c r="H149" i="70"/>
  <c r="J149" i="70" s="1"/>
  <c r="I148" i="70"/>
  <c r="H148" i="70"/>
  <c r="J148" i="70" s="1"/>
  <c r="I147" i="70"/>
  <c r="H147" i="70"/>
  <c r="J147" i="70" s="1"/>
  <c r="J152" i="70" s="1"/>
  <c r="F146" i="70"/>
  <c r="I145" i="70"/>
  <c r="H145" i="70"/>
  <c r="J145" i="70" s="1"/>
  <c r="N144" i="70"/>
  <c r="N146" i="70" s="1"/>
  <c r="I144" i="70"/>
  <c r="H144" i="70"/>
  <c r="J144" i="70" s="1"/>
  <c r="I143" i="70"/>
  <c r="H143" i="70"/>
  <c r="J143" i="70" s="1"/>
  <c r="I142" i="70"/>
  <c r="H142" i="70"/>
  <c r="J142" i="70" s="1"/>
  <c r="I141" i="70"/>
  <c r="H141" i="70"/>
  <c r="J141" i="70" s="1"/>
  <c r="J146" i="70" s="1"/>
  <c r="F140" i="70"/>
  <c r="J139" i="70"/>
  <c r="I139" i="70"/>
  <c r="H139" i="70"/>
  <c r="J138" i="70"/>
  <c r="I138" i="70"/>
  <c r="H138" i="70"/>
  <c r="J137" i="70"/>
  <c r="J140" i="70" s="1"/>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R125" i="70" s="1"/>
  <c r="I127" i="70"/>
  <c r="H127" i="70"/>
  <c r="J127" i="70" s="1"/>
  <c r="J126" i="70"/>
  <c r="I126" i="70"/>
  <c r="R127" i="70" s="1"/>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L114" i="70" s="1"/>
  <c r="H113" i="70"/>
  <c r="J113" i="70" s="1"/>
  <c r="F112" i="70"/>
  <c r="I111" i="70"/>
  <c r="H111" i="70"/>
  <c r="J111" i="70" s="1"/>
  <c r="J110" i="70"/>
  <c r="I110" i="70"/>
  <c r="L101" i="70" s="1"/>
  <c r="N109" i="70"/>
  <c r="N112" i="70" s="1"/>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L66" i="70" s="1"/>
  <c r="N73" i="70"/>
  <c r="N76" i="70" s="1"/>
  <c r="I73" i="70"/>
  <c r="H73" i="70"/>
  <c r="J73" i="70" s="1"/>
  <c r="J72" i="70"/>
  <c r="I72" i="70"/>
  <c r="I71" i="70"/>
  <c r="H71" i="70"/>
  <c r="J71" i="70" s="1"/>
  <c r="J70" i="70"/>
  <c r="I70" i="70"/>
  <c r="I69" i="70"/>
  <c r="H69" i="70"/>
  <c r="J69" i="70" s="1"/>
  <c r="J68" i="70"/>
  <c r="I68" i="70"/>
  <c r="J67" i="70"/>
  <c r="I67" i="70"/>
  <c r="R66" i="70"/>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L48" i="70"/>
  <c r="I48" i="70"/>
  <c r="H48" i="70"/>
  <c r="J48" i="70" s="1"/>
  <c r="J59"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R36" i="70" s="1"/>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I25" i="70" s="1"/>
  <c r="L20" i="70" s="1"/>
  <c r="H20" i="70"/>
  <c r="J20" i="70" s="1"/>
  <c r="F19" i="70"/>
  <c r="I18" i="70"/>
  <c r="H18" i="70"/>
  <c r="J18" i="70" s="1"/>
  <c r="I17" i="70"/>
  <c r="H17" i="70"/>
  <c r="J17" i="70" s="1"/>
  <c r="I16" i="70"/>
  <c r="H16" i="70"/>
  <c r="J16" i="70" s="1"/>
  <c r="N15" i="70"/>
  <c r="I15" i="70"/>
  <c r="H15" i="70"/>
  <c r="J15" i="70" s="1"/>
  <c r="I14" i="70"/>
  <c r="H14" i="70"/>
  <c r="J14" i="70" s="1"/>
  <c r="I13" i="70"/>
  <c r="H13" i="70"/>
  <c r="J13" i="70" s="1"/>
  <c r="J12" i="70"/>
  <c r="I12" i="70"/>
  <c r="H12" i="70"/>
  <c r="I11" i="70"/>
  <c r="H11" i="70"/>
  <c r="J11" i="70" s="1"/>
  <c r="J10" i="70"/>
  <c r="I10" i="70"/>
  <c r="J9" i="70"/>
  <c r="I9" i="70"/>
  <c r="L5" i="70" s="1"/>
  <c r="J8" i="70"/>
  <c r="I8" i="70"/>
  <c r="J7" i="70"/>
  <c r="I7" i="70"/>
  <c r="R7" i="70" s="1"/>
  <c r="R217" i="70" s="1"/>
  <c r="H7" i="70"/>
  <c r="I6" i="70"/>
  <c r="L7" i="70" s="1"/>
  <c r="H6" i="70"/>
  <c r="J6" i="70" s="1"/>
  <c r="R5" i="70"/>
  <c r="I5" i="70"/>
  <c r="L6" i="70" s="1"/>
  <c r="H5" i="70"/>
  <c r="J5" i="70" s="1"/>
  <c r="R68" i="70" l="1"/>
  <c r="R20" i="70"/>
  <c r="I35" i="70"/>
  <c r="R26" i="70"/>
  <c r="R210" i="70" s="1"/>
  <c r="I47" i="70"/>
  <c r="R38" i="70"/>
  <c r="R212" i="70" s="1"/>
  <c r="I59" i="70"/>
  <c r="R50" i="70"/>
  <c r="I65" i="70"/>
  <c r="L60" i="70" s="1"/>
  <c r="J76" i="70"/>
  <c r="R115" i="70"/>
  <c r="I136" i="70"/>
  <c r="I140" i="70"/>
  <c r="R137" i="70" s="1"/>
  <c r="R219" i="70" s="1"/>
  <c r="I146" i="70"/>
  <c r="I152" i="70"/>
  <c r="R147" i="70" s="1"/>
  <c r="I158" i="70"/>
  <c r="R27" i="70"/>
  <c r="J19" i="70"/>
  <c r="J25" i="70"/>
  <c r="R8" i="70"/>
  <c r="R218" i="70" s="1"/>
  <c r="J31" i="70"/>
  <c r="J35" i="70" s="1"/>
  <c r="O28" i="70" s="1"/>
  <c r="R37" i="70"/>
  <c r="R49" i="70"/>
  <c r="R67" i="70"/>
  <c r="R89" i="70"/>
  <c r="L89" i="70"/>
  <c r="R95" i="70"/>
  <c r="L95" i="70"/>
  <c r="U211" i="70"/>
  <c r="U216" i="70" s="1"/>
  <c r="R6" i="70"/>
  <c r="I19" i="70"/>
  <c r="O8" i="70" s="1"/>
  <c r="N19" i="70"/>
  <c r="N181" i="70" s="1"/>
  <c r="L37" i="70"/>
  <c r="L49" i="70"/>
  <c r="L67" i="70"/>
  <c r="J88" i="70"/>
  <c r="J94" i="70"/>
  <c r="J100" i="70"/>
  <c r="J112" i="70"/>
  <c r="J124" i="70"/>
  <c r="O126" i="70"/>
  <c r="R141" i="70"/>
  <c r="L141" i="70"/>
  <c r="L147" i="70"/>
  <c r="R153"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D3" i="33" s="1"/>
  <c r="F19" i="6"/>
  <c r="D3" i="4"/>
  <c r="C13" i="39" l="1"/>
  <c r="C11" i="75"/>
  <c r="C11" i="21"/>
  <c r="R215" i="70"/>
  <c r="I179" i="70"/>
  <c r="R216" i="70"/>
  <c r="J181" i="70"/>
  <c r="O115" i="70"/>
  <c r="O179" i="70" s="1"/>
  <c r="I181" i="70"/>
  <c r="I184" i="70"/>
  <c r="N179" i="70"/>
  <c r="J179" i="70"/>
  <c r="P179" i="70" s="1"/>
  <c r="O178" i="70" s="1"/>
  <c r="P177" i="70" s="1"/>
  <c r="R211" i="70"/>
  <c r="D24" i="68"/>
  <c r="D22" i="68"/>
  <c r="P62" i="68"/>
  <c r="AH5" i="59"/>
  <c r="AG5" i="59"/>
  <c r="AE5" i="59"/>
  <c r="AF5" i="59" s="1"/>
  <c r="AD5" i="59"/>
  <c r="Q5" i="59"/>
  <c r="P5" i="59"/>
  <c r="O5" i="59"/>
  <c r="N5" i="59"/>
  <c r="F11" i="75" l="1"/>
  <c r="J11" i="75"/>
  <c r="H11" i="75"/>
  <c r="U218" i="70"/>
  <c r="U213" i="70"/>
  <c r="U221" i="70" s="1"/>
  <c r="T222" i="70"/>
  <c r="F25" i="12"/>
  <c r="AC11" i="75" l="1"/>
  <c r="W11" i="75"/>
  <c r="AB11" i="75"/>
  <c r="U11" i="75"/>
  <c r="AA11" i="75"/>
  <c r="S11" i="75"/>
  <c r="AH6" i="59"/>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AB3" i="59" s="1"/>
  <c r="P8" i="59"/>
  <c r="P9" i="59"/>
  <c r="O8" i="59"/>
  <c r="O9" i="59"/>
  <c r="Y3" i="59" s="1"/>
  <c r="Z3" i="59" s="1"/>
  <c r="N8" i="59"/>
  <c r="N9" i="59"/>
  <c r="AH9" i="59"/>
  <c r="AG9" i="59"/>
  <c r="AE9" i="59"/>
  <c r="AF9" i="59" s="1"/>
  <c r="AD9" i="59"/>
  <c r="Q10" i="59"/>
  <c r="P10" i="59"/>
  <c r="O10" i="59"/>
  <c r="N10" i="59"/>
  <c r="M19" i="46"/>
  <c r="J50" i="15"/>
  <c r="D12" i="59"/>
  <c r="AH10" i="59"/>
  <c r="AG10" i="59"/>
  <c r="AE10" i="59"/>
  <c r="AF10" i="59" s="1"/>
  <c r="AD10" i="59"/>
  <c r="AE11" i="59"/>
  <c r="AF11" i="59" s="1"/>
  <c r="AG11" i="59"/>
  <c r="AH11" i="59"/>
  <c r="AD11" i="59"/>
  <c r="Q11" i="59"/>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E15" i="59"/>
  <c r="E14" i="59" s="1"/>
  <c r="E13" i="59" s="1"/>
  <c r="K75" i="9"/>
  <c r="K6" i="4"/>
  <c r="O76" i="9" s="1"/>
  <c r="L76" i="9"/>
  <c r="B22" i="31"/>
  <c r="E16" i="66"/>
  <c r="F16" i="66"/>
  <c r="E17" i="66"/>
  <c r="F17" i="66"/>
  <c r="E18" i="66"/>
  <c r="F18" i="66"/>
  <c r="E19" i="66"/>
  <c r="F19" i="66"/>
  <c r="E20" i="66"/>
  <c r="F20" i="66"/>
  <c r="E21" i="66"/>
  <c r="F21" i="66"/>
  <c r="E22" i="66"/>
  <c r="F22" i="66"/>
  <c r="E23" i="66"/>
  <c r="F23" i="66"/>
  <c r="B3" i="66"/>
  <c r="U15" i="59"/>
  <c r="E11" i="59"/>
  <c r="F11" i="59"/>
  <c r="V11" i="59" s="1"/>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Y18" i="59"/>
  <c r="Z18" i="59" s="1"/>
  <c r="S2" i="31"/>
  <c r="M2" i="31"/>
  <c r="N2" i="31"/>
  <c r="O2" i="31"/>
  <c r="P2" i="31"/>
  <c r="Q2" i="31"/>
  <c r="R2" i="31"/>
  <c r="C11" i="59"/>
  <c r="C3" i="65"/>
  <c r="C1" i="65"/>
  <c r="N1" i="65" s="1"/>
  <c r="D11"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B17" i="63"/>
  <c r="A15" i="51"/>
  <c r="B12" i="63"/>
  <c r="A14" i="51"/>
  <c r="B11" i="63"/>
  <c r="A4" i="55"/>
  <c r="B57" i="63"/>
  <c r="G5" i="54"/>
  <c r="B34" i="63" s="1"/>
  <c r="E5" i="54"/>
  <c r="B32" i="63" s="1"/>
  <c r="R2" i="54"/>
  <c r="B24" i="63" s="1"/>
  <c r="B19" i="63"/>
  <c r="B49" i="50"/>
  <c r="B5" i="63" s="1"/>
  <c r="B40" i="50"/>
  <c r="B3" i="63" s="1"/>
  <c r="I19" i="46"/>
  <c r="Q15" i="59"/>
  <c r="F15" i="59" s="1"/>
  <c r="V15" i="59" s="1"/>
  <c r="P15" i="59"/>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B55" i="59"/>
  <c r="F54" i="59"/>
  <c r="F53" i="59" s="1"/>
  <c r="D52" i="59"/>
  <c r="Q51" i="59"/>
  <c r="P51" i="59"/>
  <c r="O51" i="59"/>
  <c r="N51" i="59"/>
  <c r="Q50" i="59"/>
  <c r="P50" i="59"/>
  <c r="O50" i="59"/>
  <c r="N50" i="59"/>
  <c r="Q49" i="59"/>
  <c r="P49" i="59"/>
  <c r="O49" i="59"/>
  <c r="C50" i="59" s="1"/>
  <c r="D50" i="59" s="1"/>
  <c r="N49" i="59"/>
  <c r="Q48" i="59"/>
  <c r="F49" i="59" s="1"/>
  <c r="F50"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F42" i="59" s="1"/>
  <c r="P40" i="59"/>
  <c r="E41" i="59"/>
  <c r="E42" i="59" s="1"/>
  <c r="E43" i="59"/>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c r="P36" i="59"/>
  <c r="E37" i="59"/>
  <c r="E38" i="59" s="1"/>
  <c r="E39" i="59" s="1"/>
  <c r="U39" i="59" s="1"/>
  <c r="O36" i="59"/>
  <c r="C37" i="59"/>
  <c r="C38" i="59" s="1"/>
  <c r="D38" i="59" s="1"/>
  <c r="N36" i="59"/>
  <c r="B37" i="59"/>
  <c r="B38" i="59" s="1"/>
  <c r="D36" i="59"/>
  <c r="T35" i="59"/>
  <c r="Q35" i="59"/>
  <c r="P35" i="59"/>
  <c r="O35" i="59"/>
  <c r="N35" i="59"/>
  <c r="D35" i="59"/>
  <c r="Q34" i="59"/>
  <c r="P34" i="59"/>
  <c r="O34" i="59"/>
  <c r="N34" i="59"/>
  <c r="Q33" i="59"/>
  <c r="P33" i="59"/>
  <c r="O33" i="59"/>
  <c r="C34" i="59" s="1"/>
  <c r="D34" i="59" s="1"/>
  <c r="N33" i="59"/>
  <c r="Q32" i="59"/>
  <c r="F33" i="59" s="1"/>
  <c r="F34" i="59" s="1"/>
  <c r="F35" i="59" s="1"/>
  <c r="V35" i="59" s="1"/>
  <c r="P32" i="59"/>
  <c r="E33" i="59" s="1"/>
  <c r="E34" i="59"/>
  <c r="E35" i="59" s="1"/>
  <c r="U35" i="59" s="1"/>
  <c r="O32" i="59"/>
  <c r="C33" i="59"/>
  <c r="N32" i="59"/>
  <c r="B33" i="59"/>
  <c r="B34" i="59" s="1"/>
  <c r="B35" i="59"/>
  <c r="S35" i="59" s="1"/>
  <c r="D32" i="59"/>
  <c r="Q31" i="59"/>
  <c r="P31" i="59"/>
  <c r="O31" i="59"/>
  <c r="N31" i="59"/>
  <c r="Q30" i="59"/>
  <c r="P30" i="59"/>
  <c r="O30" i="59"/>
  <c r="N30" i="59"/>
  <c r="Q29" i="59"/>
  <c r="P29" i="59"/>
  <c r="O29" i="59"/>
  <c r="N29" i="59"/>
  <c r="Q28" i="59"/>
  <c r="F29" i="59"/>
  <c r="F30" i="59" s="1"/>
  <c r="P28" i="59"/>
  <c r="E29" i="59"/>
  <c r="E30" i="59" s="1"/>
  <c r="E31" i="59"/>
  <c r="U31" i="59" s="1"/>
  <c r="O28" i="59"/>
  <c r="C29" i="59" s="1"/>
  <c r="D29" i="59" s="1"/>
  <c r="N28" i="59"/>
  <c r="B29" i="59" s="1"/>
  <c r="B30" i="59" s="1"/>
  <c r="B31" i="59" s="1"/>
  <c r="S31" i="59"/>
  <c r="D28" i="59"/>
  <c r="Q27" i="59"/>
  <c r="P27" i="59"/>
  <c r="O27" i="59"/>
  <c r="N27" i="59"/>
  <c r="Q26" i="59"/>
  <c r="P26" i="59"/>
  <c r="AA26" i="59" s="1"/>
  <c r="O26" i="59"/>
  <c r="Y26" i="59"/>
  <c r="Z26" i="59" s="1"/>
  <c r="N26" i="59"/>
  <c r="X26" i="59" s="1"/>
  <c r="Q25" i="59"/>
  <c r="P25" i="59"/>
  <c r="O25" i="59"/>
  <c r="Y22" i="59" s="1"/>
  <c r="Z22" i="59" s="1"/>
  <c r="N25" i="59"/>
  <c r="Q24" i="59"/>
  <c r="P24" i="59"/>
  <c r="E25" i="59" s="1"/>
  <c r="E26" i="59" s="1"/>
  <c r="E27" i="59" s="1"/>
  <c r="U27" i="59" s="1"/>
  <c r="O24" i="59"/>
  <c r="Y24" i="59" s="1"/>
  <c r="Z24" i="59" s="1"/>
  <c r="C25" i="59"/>
  <c r="D25" i="59" s="1"/>
  <c r="N24" i="59"/>
  <c r="B25" i="59"/>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AA18" i="59" s="1"/>
  <c r="O18" i="59"/>
  <c r="N18" i="59"/>
  <c r="Q17" i="59"/>
  <c r="P17" i="59"/>
  <c r="O17" i="59"/>
  <c r="N17" i="59"/>
  <c r="X17" i="59" s="1"/>
  <c r="Q16" i="59"/>
  <c r="P16" i="59"/>
  <c r="O16" i="59"/>
  <c r="C17" i="59"/>
  <c r="N16" i="59"/>
  <c r="B17" i="59"/>
  <c r="D16" i="59"/>
  <c r="X3" i="59"/>
  <c r="AA14" i="59"/>
  <c r="Y13" i="59"/>
  <c r="Z13" i="59" s="1"/>
  <c r="Y15" i="59"/>
  <c r="Z15" i="59" s="1"/>
  <c r="B18" i="59"/>
  <c r="B19" i="59" s="1"/>
  <c r="S19" i="59" s="1"/>
  <c r="B39" i="59"/>
  <c r="S39" i="59" s="1"/>
  <c r="S55" i="59"/>
  <c r="F31" i="59"/>
  <c r="V31" i="59" s="1"/>
  <c r="F43" i="59"/>
  <c r="V43" i="59" s="1"/>
  <c r="F46" i="59"/>
  <c r="F47" i="59" s="1"/>
  <c r="V47" i="59" s="1"/>
  <c r="F51" i="59"/>
  <c r="V51" i="59" s="1"/>
  <c r="C26" i="59"/>
  <c r="D26" i="59" s="1"/>
  <c r="C30" i="59"/>
  <c r="D30" i="59" s="1"/>
  <c r="D33" i="59"/>
  <c r="D41" i="59"/>
  <c r="D45" i="59"/>
  <c r="D49" i="59"/>
  <c r="Q54" i="59"/>
  <c r="T55" i="59"/>
  <c r="O55" i="59"/>
  <c r="D55" i="59"/>
  <c r="C54" i="59"/>
  <c r="U55" i="59"/>
  <c r="Q55" i="59"/>
  <c r="C58" i="59"/>
  <c r="C57" i="59" s="1"/>
  <c r="E58" i="59"/>
  <c r="E57" i="59"/>
  <c r="D59" i="59"/>
  <c r="C62" i="59"/>
  <c r="D62" i="59" s="1"/>
  <c r="D63" i="59"/>
  <c r="C66" i="59"/>
  <c r="D66" i="59" s="1"/>
  <c r="E66" i="59"/>
  <c r="E65" i="59"/>
  <c r="D67" i="59"/>
  <c r="C70" i="59"/>
  <c r="C69" i="59" s="1"/>
  <c r="D69" i="59" s="1"/>
  <c r="C74" i="59"/>
  <c r="U16" i="4"/>
  <c r="S16" i="4"/>
  <c r="Q16" i="4"/>
  <c r="O16" i="4"/>
  <c r="M16" i="4"/>
  <c r="L16" i="4" s="1"/>
  <c r="K16" i="4"/>
  <c r="D74" i="59"/>
  <c r="C73" i="59"/>
  <c r="D73" i="59"/>
  <c r="C65" i="59"/>
  <c r="D65" i="59" s="1"/>
  <c r="D58" i="59"/>
  <c r="D57" i="59"/>
  <c r="C61" i="59"/>
  <c r="D61" i="59" s="1"/>
  <c r="C51" i="59"/>
  <c r="T51" i="59" s="1"/>
  <c r="C43" i="59"/>
  <c r="T43" i="59" s="1"/>
  <c r="C31" i="59"/>
  <c r="T31" i="59" s="1"/>
  <c r="C27" i="59"/>
  <c r="N16" i="4"/>
  <c r="D31" i="59"/>
  <c r="D43" i="59"/>
  <c r="D51"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Z21" i="37"/>
  <c r="Q21" i="37"/>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F31" i="39"/>
  <c r="AA31" i="39" s="1"/>
  <c r="G20" i="20"/>
  <c r="B85" i="46"/>
  <c r="C22" i="20"/>
  <c r="B65" i="46" s="1"/>
  <c r="S18" i="36"/>
  <c r="S18" i="35"/>
  <c r="S21" i="37"/>
  <c r="S21" i="34"/>
  <c r="S27" i="40"/>
  <c r="C27" i="40"/>
  <c r="B74" i="46"/>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H5" i="3" s="1"/>
  <c r="BI19" i="3"/>
  <c r="BJ19" i="3"/>
  <c r="BK19" i="3"/>
  <c r="BM19" i="3"/>
  <c r="BN19" i="3"/>
  <c r="BO19" i="3"/>
  <c r="BP19" i="3"/>
  <c r="BQ19" i="3"/>
  <c r="BR19" i="3"/>
  <c r="BS19" i="3"/>
  <c r="BT19" i="3"/>
  <c r="H20" i="3"/>
  <c r="AC20" i="3"/>
  <c r="BB20" i="3"/>
  <c r="BC20" i="3"/>
  <c r="BD20" i="3"/>
  <c r="BE20" i="3"/>
  <c r="BF20" i="3"/>
  <c r="BG20" i="3"/>
  <c r="BH20" i="3"/>
  <c r="BI20" i="3"/>
  <c r="BJ20" i="3"/>
  <c r="BK20" i="3"/>
  <c r="BM20" i="3"/>
  <c r="BL20" i="3" s="1"/>
  <c r="BN20" i="3"/>
  <c r="BO20" i="3"/>
  <c r="BP20" i="3"/>
  <c r="BR20" i="3"/>
  <c r="BS20" i="3"/>
  <c r="BT20" i="3"/>
  <c r="H481" i="3"/>
  <c r="G481" i="3"/>
  <c r="AC481" i="3"/>
  <c r="BB481" i="3"/>
  <c r="BA481" i="3" s="1"/>
  <c r="AZ481" i="3" s="1"/>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AZ487" i="3" s="1"/>
  <c r="BC487" i="3"/>
  <c r="BD487" i="3"/>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P5" i="3" s="1"/>
  <c r="BR496" i="3"/>
  <c r="BS496" i="3"/>
  <c r="BT496" i="3"/>
  <c r="H497" i="3"/>
  <c r="G497" i="3" s="1"/>
  <c r="AC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113" i="33" s="1"/>
  <c r="F37" i="33"/>
  <c r="AA37" i="33"/>
  <c r="D111" i="33"/>
  <c r="E111" i="33" s="1"/>
  <c r="F111" i="33" s="1"/>
  <c r="G111" i="33" s="1"/>
  <c r="S515" i="31"/>
  <c r="S517" i="31"/>
  <c r="S519" i="31"/>
  <c r="S521" i="31"/>
  <c r="S523" i="31"/>
  <c r="F41" i="21"/>
  <c r="J41" i="21"/>
  <c r="AC41" i="21" s="1"/>
  <c r="H41" i="21"/>
  <c r="U41" i="21" s="1"/>
  <c r="D83" i="39"/>
  <c r="E83" i="39" s="1"/>
  <c r="F83" i="39" s="1"/>
  <c r="G83" i="39" s="1"/>
  <c r="D78" i="40"/>
  <c r="F13" i="40"/>
  <c r="S13" i="40"/>
  <c r="B122" i="40"/>
  <c r="F42" i="40"/>
  <c r="AA42" i="40" s="1"/>
  <c r="B120" i="40"/>
  <c r="B118" i="40"/>
  <c r="F40" i="40"/>
  <c r="AA40" i="40" s="1"/>
  <c r="D117" i="40"/>
  <c r="E117" i="40" s="1"/>
  <c r="F117" i="40" s="1"/>
  <c r="G117" i="40" s="1"/>
  <c r="H117" i="40" s="1"/>
  <c r="I117" i="40" s="1"/>
  <c r="J117" i="40" s="1"/>
  <c r="K117" i="40" s="1"/>
  <c r="L117" i="40"/>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c r="B59" i="36"/>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c r="AA31" i="33" s="1"/>
  <c r="B96" i="33"/>
  <c r="B94" i="33"/>
  <c r="B74" i="33"/>
  <c r="B72" i="33"/>
  <c r="B70" i="33"/>
  <c r="D96" i="35"/>
  <c r="E96" i="35"/>
  <c r="F96" i="35" s="1"/>
  <c r="G96" i="35" s="1"/>
  <c r="D94" i="35"/>
  <c r="D84" i="35"/>
  <c r="E84" i="35" s="1"/>
  <c r="F84" i="35"/>
  <c r="G84" i="35" s="1"/>
  <c r="H84" i="35" s="1"/>
  <c r="I84" i="35" s="1"/>
  <c r="J84" i="35"/>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c r="D90" i="34"/>
  <c r="C15" i="34"/>
  <c r="F67" i="34"/>
  <c r="G67" i="34"/>
  <c r="H67" i="34" s="1"/>
  <c r="I67" i="34" s="1"/>
  <c r="H10" i="34"/>
  <c r="AB10" i="34"/>
  <c r="D126" i="34"/>
  <c r="E126" i="34"/>
  <c r="F126" i="34" s="1"/>
  <c r="G126" i="34"/>
  <c r="D124" i="34"/>
  <c r="E124" i="34"/>
  <c r="F124" i="34" s="1"/>
  <c r="G124" i="34" s="1"/>
  <c r="H124" i="34" s="1"/>
  <c r="I124" i="34"/>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C7" i="33"/>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B94" i="21"/>
  <c r="B92" i="21"/>
  <c r="B90" i="21"/>
  <c r="B74" i="2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AB41" i="21"/>
  <c r="S41" i="21"/>
  <c r="AA41" i="21"/>
  <c r="W41" i="21"/>
  <c r="S10" i="39"/>
  <c r="U30" i="37"/>
  <c r="E103" i="37"/>
  <c r="F103" i="37" s="1"/>
  <c r="F39" i="37"/>
  <c r="W39" i="37"/>
  <c r="F29" i="36"/>
  <c r="AA29" i="36"/>
  <c r="F16" i="36"/>
  <c r="AA16" i="36"/>
  <c r="U22" i="36"/>
  <c r="W23" i="36"/>
  <c r="U26" i="36"/>
  <c r="AC31" i="36"/>
  <c r="J33" i="36"/>
  <c r="AC27" i="35"/>
  <c r="U31" i="35"/>
  <c r="W36" i="35"/>
  <c r="W24" i="35"/>
  <c r="S31" i="35"/>
  <c r="W31" i="35"/>
  <c r="F36" i="34"/>
  <c r="S36" i="34" s="1"/>
  <c r="W9" i="34"/>
  <c r="W39" i="34"/>
  <c r="H39" i="33"/>
  <c r="AB39" i="33" s="1"/>
  <c r="F26" i="33"/>
  <c r="AA26" i="33" s="1"/>
  <c r="U33" i="33"/>
  <c r="S40" i="33"/>
  <c r="S8" i="21"/>
  <c r="H39" i="37"/>
  <c r="AB39" i="37"/>
  <c r="AB27" i="35"/>
  <c r="S10" i="40"/>
  <c r="W10" i="40"/>
  <c r="S11" i="40"/>
  <c r="U11" i="40"/>
  <c r="S36" i="40"/>
  <c r="U36" i="40"/>
  <c r="S36" i="39"/>
  <c r="C29" i="39"/>
  <c r="C23" i="39"/>
  <c r="U36" i="39"/>
  <c r="S42" i="39"/>
  <c r="H32" i="33"/>
  <c r="AB32" i="33" s="1"/>
  <c r="F100" i="40"/>
  <c r="F86" i="40"/>
  <c r="J27" i="36"/>
  <c r="J34" i="36"/>
  <c r="J30" i="35"/>
  <c r="W30" i="35" s="1"/>
  <c r="F22" i="35"/>
  <c r="AA22" i="35" s="1"/>
  <c r="H10" i="35"/>
  <c r="U29" i="36"/>
  <c r="U24" i="36"/>
  <c r="F85" i="36"/>
  <c r="G85" i="36" s="1"/>
  <c r="H85" i="36" s="1"/>
  <c r="I85" i="36" s="1"/>
  <c r="J85" i="36"/>
  <c r="K85" i="36" s="1"/>
  <c r="L85" i="36" s="1"/>
  <c r="M85" i="36" s="1"/>
  <c r="J29" i="36"/>
  <c r="AC29" i="36" s="1"/>
  <c r="F12" i="36"/>
  <c r="S12" i="36" s="1"/>
  <c r="F24" i="36"/>
  <c r="F34" i="36"/>
  <c r="S34" i="36" s="1"/>
  <c r="S10" i="36"/>
  <c r="AB8" i="36"/>
  <c r="H16" i="35"/>
  <c r="U16" i="35" s="1"/>
  <c r="H33" i="35"/>
  <c r="AB33" i="35" s="1"/>
  <c r="W8" i="35"/>
  <c r="AC8" i="35"/>
  <c r="F35" i="37"/>
  <c r="S35" i="37" s="1"/>
  <c r="E101" i="37"/>
  <c r="F101" i="37"/>
  <c r="G101" i="37" s="1"/>
  <c r="H101" i="37" s="1"/>
  <c r="I101" i="37" s="1"/>
  <c r="J101" i="37"/>
  <c r="K101" i="37" s="1"/>
  <c r="L101" i="37" s="1"/>
  <c r="M101" i="37" s="1"/>
  <c r="J34" i="37"/>
  <c r="W34" i="37" s="1"/>
  <c r="H43" i="34"/>
  <c r="U42" i="34"/>
  <c r="E114" i="34"/>
  <c r="H36" i="34"/>
  <c r="U36" i="34" s="1"/>
  <c r="F37" i="34"/>
  <c r="F33" i="34"/>
  <c r="S33" i="34" s="1"/>
  <c r="AA28" i="34"/>
  <c r="F19" i="34"/>
  <c r="AA19" i="34"/>
  <c r="J10" i="34"/>
  <c r="AC10" i="34"/>
  <c r="U9" i="34"/>
  <c r="W8" i="34"/>
  <c r="J28" i="34"/>
  <c r="W28" i="34"/>
  <c r="W40" i="33"/>
  <c r="G86" i="40"/>
  <c r="S22" i="35"/>
  <c r="H29" i="35"/>
  <c r="U34" i="37"/>
  <c r="S34" i="37"/>
  <c r="AA34" i="37"/>
  <c r="AC43" i="34"/>
  <c r="AB42"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J10" i="35"/>
  <c r="W10" i="35" s="1"/>
  <c r="AL5" i="3"/>
  <c r="BQ13" i="3"/>
  <c r="BL572" i="3"/>
  <c r="J14" i="21"/>
  <c r="AC14" i="21" s="1"/>
  <c r="F28" i="21"/>
  <c r="AA28" i="21" s="1"/>
  <c r="H30" i="21"/>
  <c r="U30" i="21" s="1"/>
  <c r="F30" i="21"/>
  <c r="S30" i="21" s="1"/>
  <c r="J30" i="21"/>
  <c r="W30" i="21" s="1"/>
  <c r="H26" i="33"/>
  <c r="U26" i="33" s="1"/>
  <c r="H28" i="33"/>
  <c r="AB28" i="33" s="1"/>
  <c r="F28" i="33"/>
  <c r="AA28" i="33" s="1"/>
  <c r="J28" i="33"/>
  <c r="F33" i="35"/>
  <c r="S33" i="35" s="1"/>
  <c r="J33" i="35"/>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c r="F45" i="33"/>
  <c r="S45" i="33"/>
  <c r="F11" i="35"/>
  <c r="S11" i="35"/>
  <c r="H28" i="36"/>
  <c r="U28" i="36"/>
  <c r="H13" i="36"/>
  <c r="AB13" i="36" s="1"/>
  <c r="J13" i="36"/>
  <c r="F13" i="36"/>
  <c r="E89" i="37"/>
  <c r="F89" i="37" s="1"/>
  <c r="G89" i="37"/>
  <c r="H89" i="37" s="1"/>
  <c r="I89" i="37" s="1"/>
  <c r="J89" i="37" s="1"/>
  <c r="K89" i="37" s="1"/>
  <c r="L89" i="37" s="1"/>
  <c r="M89" i="37" s="1"/>
  <c r="J29" i="37"/>
  <c r="W29" i="37"/>
  <c r="F29" i="37"/>
  <c r="AA29" i="37"/>
  <c r="AB36" i="37"/>
  <c r="F107" i="37"/>
  <c r="J37" i="37"/>
  <c r="AC37" i="37" s="1"/>
  <c r="H37" i="37"/>
  <c r="U37" i="37" s="1"/>
  <c r="H40" i="37"/>
  <c r="J40" i="37"/>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28" i="36"/>
  <c r="AB13" i="21"/>
  <c r="AC30" i="21"/>
  <c r="AB30" i="21"/>
  <c r="W14" i="21"/>
  <c r="U36" i="37"/>
  <c r="S45" i="21"/>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5" i="3"/>
  <c r="BA561" i="3"/>
  <c r="AZ561" i="3" s="1"/>
  <c r="BA559" i="3"/>
  <c r="BA557" i="3"/>
  <c r="AZ557" i="3"/>
  <c r="BA555" i="3"/>
  <c r="AZ555" i="3"/>
  <c r="BA551" i="3"/>
  <c r="AZ551" i="3"/>
  <c r="BA545" i="3"/>
  <c r="BA543" i="3"/>
  <c r="BA521" i="3"/>
  <c r="BA505" i="3"/>
  <c r="BA501" i="3"/>
  <c r="BA493" i="3"/>
  <c r="BA572" i="3"/>
  <c r="AZ572" i="3" s="1"/>
  <c r="BA566" i="3"/>
  <c r="BA562" i="3"/>
  <c r="AZ562" i="3" s="1"/>
  <c r="BA560" i="3"/>
  <c r="BA558" i="3"/>
  <c r="AZ558" i="3" s="1"/>
  <c r="BA556" i="3"/>
  <c r="BA554" i="3"/>
  <c r="BA550" i="3"/>
  <c r="BA546" i="3"/>
  <c r="BA544" i="3"/>
  <c r="AZ544" i="3" s="1"/>
  <c r="BA536" i="3"/>
  <c r="BA528" i="3"/>
  <c r="BA524" i="3"/>
  <c r="BA520" i="3"/>
  <c r="BA512" i="3"/>
  <c r="BA502" i="3"/>
  <c r="BA492" i="3"/>
  <c r="BA484"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AZ546" i="3" s="1"/>
  <c r="BQ544" i="3"/>
  <c r="BL544" i="3"/>
  <c r="G544" i="3"/>
  <c r="G538" i="3"/>
  <c r="G534" i="3"/>
  <c r="G530" i="3"/>
  <c r="G526" i="3"/>
  <c r="G522" i="3"/>
  <c r="BQ540" i="3"/>
  <c r="BQ538" i="3"/>
  <c r="BL538" i="3" s="1"/>
  <c r="BQ536" i="3"/>
  <c r="BL536" i="3" s="1"/>
  <c r="BQ534" i="3"/>
  <c r="BL534" i="3"/>
  <c r="BQ532" i="3"/>
  <c r="BL532" i="3"/>
  <c r="BQ530" i="3"/>
  <c r="BQ528" i="3"/>
  <c r="BL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U43" i="33"/>
  <c r="H17" i="37"/>
  <c r="U17" i="37"/>
  <c r="F23" i="37"/>
  <c r="S23" i="37"/>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AB43" i="33"/>
  <c r="D3" i="21"/>
  <c r="AC12" i="35"/>
  <c r="W23" i="35"/>
  <c r="AC23" i="37"/>
  <c r="U39" i="37"/>
  <c r="AC8" i="37"/>
  <c r="S25" i="37"/>
  <c r="AC36" i="34"/>
  <c r="AB8" i="34"/>
  <c r="AC37" i="33"/>
  <c r="AA13" i="33"/>
  <c r="AC45" i="33"/>
  <c r="AC33" i="21"/>
  <c r="F43" i="33"/>
  <c r="AA43" i="33" s="1"/>
  <c r="AA23" i="37"/>
  <c r="AB44" i="33"/>
  <c r="G107" i="37"/>
  <c r="H107" i="37"/>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13" i="40"/>
  <c r="E78" i="40"/>
  <c r="F78" i="40"/>
  <c r="G78" i="40" s="1"/>
  <c r="H78" i="40"/>
  <c r="I78" i="40" s="1"/>
  <c r="J78" i="40" s="1"/>
  <c r="K78" i="40" s="1"/>
  <c r="L78" i="40" s="1"/>
  <c r="M78" i="40" s="1"/>
  <c r="R16" i="4"/>
  <c r="P16" i="4"/>
  <c r="D3" i="35"/>
  <c r="G4" i="4"/>
  <c r="J16" i="35"/>
  <c r="W16" i="35" s="1"/>
  <c r="AC26" i="36"/>
  <c r="W25" i="35"/>
  <c r="AZ322" i="3"/>
  <c r="H11" i="37"/>
  <c r="W37" i="37"/>
  <c r="AA36" i="37"/>
  <c r="U32" i="33"/>
  <c r="AB17" i="37"/>
  <c r="AC29" i="33"/>
  <c r="AA45" i="33"/>
  <c r="AC10" i="36"/>
  <c r="AC14" i="37"/>
  <c r="AB35" i="35"/>
  <c r="W44" i="33"/>
  <c r="AC29" i="37"/>
  <c r="U28" i="33"/>
  <c r="J33" i="34"/>
  <c r="AB36" i="34"/>
  <c r="J40" i="34"/>
  <c r="W40" i="34"/>
  <c r="F16" i="35"/>
  <c r="AA16" i="35"/>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c r="AB12" i="21"/>
  <c r="AB26" i="21"/>
  <c r="U26" i="21"/>
  <c r="F40" i="21"/>
  <c r="H40" i="21"/>
  <c r="AB40" i="21" s="1"/>
  <c r="E119" i="21"/>
  <c r="F119" i="21" s="1"/>
  <c r="G119" i="21" s="1"/>
  <c r="H119" i="21" s="1"/>
  <c r="I119" i="21" s="1"/>
  <c r="J119" i="21" s="1"/>
  <c r="K119" i="21" s="1"/>
  <c r="L119" i="21" s="1"/>
  <c r="M119" i="21" s="1"/>
  <c r="AA8" i="33"/>
  <c r="S8" i="33"/>
  <c r="H66" i="33"/>
  <c r="I66" i="33" s="1"/>
  <c r="F10" i="33"/>
  <c r="AA10" i="33" s="1"/>
  <c r="F11" i="33"/>
  <c r="S11" i="33" s="1"/>
  <c r="J15" i="33"/>
  <c r="W15" i="33" s="1"/>
  <c r="F32" i="33"/>
  <c r="AA32" i="33"/>
  <c r="J32" i="33"/>
  <c r="AC32" i="33" s="1"/>
  <c r="F35" i="33"/>
  <c r="AA35" i="33"/>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F96" i="37"/>
  <c r="G96" i="37" s="1"/>
  <c r="H32" i="37"/>
  <c r="AB32" i="37"/>
  <c r="F43" i="39"/>
  <c r="H43" i="39"/>
  <c r="U43" i="39" s="1"/>
  <c r="J43" i="39"/>
  <c r="W43" i="39" s="1"/>
  <c r="F99" i="37"/>
  <c r="G99" i="37" s="1"/>
  <c r="H99" i="37" s="1"/>
  <c r="I99" i="37" s="1"/>
  <c r="J99" i="37" s="1"/>
  <c r="K99" i="37" s="1"/>
  <c r="L99" i="37" s="1"/>
  <c r="M99" i="37" s="1"/>
  <c r="U25" i="35"/>
  <c r="AC40" i="37"/>
  <c r="W40" i="37"/>
  <c r="AB29" i="35"/>
  <c r="U29" i="35"/>
  <c r="U43" i="34"/>
  <c r="AB43" i="34"/>
  <c r="AC34" i="37"/>
  <c r="AA35" i="37"/>
  <c r="BL571" i="3"/>
  <c r="BA571" i="3"/>
  <c r="AZ571" i="3"/>
  <c r="BL570" i="3"/>
  <c r="AZ570" i="3"/>
  <c r="F42" i="21"/>
  <c r="AA42" i="21" s="1"/>
  <c r="U40" i="33"/>
  <c r="AA35" i="34"/>
  <c r="S35" i="34"/>
  <c r="E90" i="34"/>
  <c r="H27" i="34"/>
  <c r="AB8" i="35"/>
  <c r="U8" i="35"/>
  <c r="S9" i="35"/>
  <c r="J14" i="35"/>
  <c r="AC14" i="35"/>
  <c r="F14" i="35"/>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S39" i="39" s="1"/>
  <c r="H39" i="39"/>
  <c r="AB39" i="39"/>
  <c r="J39" i="39"/>
  <c r="J29" i="35"/>
  <c r="F29" i="35"/>
  <c r="W30" i="36"/>
  <c r="AC30" i="36"/>
  <c r="F37" i="39"/>
  <c r="S37" i="39" s="1"/>
  <c r="H37" i="39"/>
  <c r="U37" i="39" s="1"/>
  <c r="J37" i="39"/>
  <c r="BL566" i="3"/>
  <c r="AZ566" i="3" s="1"/>
  <c r="BL565" i="3"/>
  <c r="AZ565" i="3" s="1"/>
  <c r="BA564" i="3"/>
  <c r="AZ564" i="3" s="1"/>
  <c r="BL554" i="3"/>
  <c r="BA552" i="3"/>
  <c r="BL549" i="3"/>
  <c r="AZ549" i="3" s="1"/>
  <c r="BA549" i="3"/>
  <c r="BL548" i="3"/>
  <c r="BA548" i="3"/>
  <c r="BL547" i="3"/>
  <c r="AZ547" i="3" s="1"/>
  <c r="BA547" i="3"/>
  <c r="BL539" i="3"/>
  <c r="BA539" i="3"/>
  <c r="AZ539" i="3"/>
  <c r="BA538" i="3"/>
  <c r="AZ538" i="3"/>
  <c r="BL537" i="3"/>
  <c r="BA537" i="3"/>
  <c r="AZ536" i="3"/>
  <c r="BA535" i="3"/>
  <c r="AZ535" i="3"/>
  <c r="BL530" i="3"/>
  <c r="BA530" i="3"/>
  <c r="AZ530" i="3" s="1"/>
  <c r="BL529" i="3"/>
  <c r="BA529" i="3"/>
  <c r="AZ528" i="3"/>
  <c r="BL523" i="3"/>
  <c r="BA523" i="3"/>
  <c r="AZ523" i="3" s="1"/>
  <c r="BL522" i="3"/>
  <c r="BA522" i="3"/>
  <c r="AZ522" i="3"/>
  <c r="BL521" i="3"/>
  <c r="AZ521" i="3"/>
  <c r="BA518" i="3"/>
  <c r="BL515" i="3"/>
  <c r="BA515" i="3"/>
  <c r="AZ515" i="3" s="1"/>
  <c r="BA514" i="3"/>
  <c r="AZ514" i="3"/>
  <c r="BL513" i="3"/>
  <c r="BA513" i="3"/>
  <c r="AZ513" i="3" s="1"/>
  <c r="BL512" i="3"/>
  <c r="AZ512" i="3" s="1"/>
  <c r="BA511" i="3"/>
  <c r="AZ511" i="3" s="1"/>
  <c r="BL509" i="3"/>
  <c r="BL505" i="3"/>
  <c r="BA503" i="3"/>
  <c r="AZ503" i="3" s="1"/>
  <c r="BA500" i="3"/>
  <c r="AZ500" i="3" s="1"/>
  <c r="BL499" i="3"/>
  <c r="BA496" i="3"/>
  <c r="BA495" i="3"/>
  <c r="AZ495" i="3" s="1"/>
  <c r="BL494" i="3"/>
  <c r="BA494" i="3"/>
  <c r="AZ494" i="3"/>
  <c r="BA491" i="3"/>
  <c r="AZ491" i="3" s="1"/>
  <c r="BL490" i="3"/>
  <c r="BA490" i="3"/>
  <c r="AZ490" i="3"/>
  <c r="BL487" i="3"/>
  <c r="BL486" i="3"/>
  <c r="BA486" i="3"/>
  <c r="BA485" i="3"/>
  <c r="BA483" i="3"/>
  <c r="AZ483" i="3" s="1"/>
  <c r="BA482" i="3"/>
  <c r="AZ482" i="3" s="1"/>
  <c r="BL481" i="3"/>
  <c r="BB5" i="3"/>
  <c r="BA18" i="3"/>
  <c r="F36" i="44"/>
  <c r="F114" i="34"/>
  <c r="G114" i="34"/>
  <c r="H114" i="34" s="1"/>
  <c r="I114" i="34"/>
  <c r="J114" i="34" s="1"/>
  <c r="K114" i="34" s="1"/>
  <c r="L114" i="34" s="1"/>
  <c r="M114" i="34" s="1"/>
  <c r="H38" i="34"/>
  <c r="U38" i="34"/>
  <c r="H30" i="40"/>
  <c r="AB30" i="40"/>
  <c r="G100" i="40"/>
  <c r="J30" i="40"/>
  <c r="F38" i="40"/>
  <c r="AA36" i="34"/>
  <c r="S34" i="21"/>
  <c r="AB8" i="33"/>
  <c r="U8" i="33"/>
  <c r="E106" i="33"/>
  <c r="H34" i="33"/>
  <c r="F34" i="33"/>
  <c r="S34" i="33" s="1"/>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399" i="3"/>
  <c r="AZ403" i="3"/>
  <c r="AZ407" i="3"/>
  <c r="AZ415" i="3"/>
  <c r="AZ423" i="3"/>
  <c r="AZ431" i="3"/>
  <c r="AZ439" i="3"/>
  <c r="AZ454" i="3"/>
  <c r="B41" i="1"/>
  <c r="J42" i="40"/>
  <c r="J40" i="40"/>
  <c r="AC40" i="40" s="1"/>
  <c r="J34" i="40"/>
  <c r="H16" i="40"/>
  <c r="AB16" i="40" s="1"/>
  <c r="H14" i="40"/>
  <c r="F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W40" i="40"/>
  <c r="F34" i="44"/>
  <c r="F66" i="9"/>
  <c r="P72" i="9" s="1"/>
  <c r="F72" i="9"/>
  <c r="AC14" i="40"/>
  <c r="W35" i="40"/>
  <c r="S33" i="40"/>
  <c r="AB32" i="40"/>
  <c r="AC47" i="39"/>
  <c r="S47" i="39"/>
  <c r="U37" i="34"/>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AA30" i="40"/>
  <c r="H100" i="40"/>
  <c r="I100" i="40"/>
  <c r="J100" i="40" s="1"/>
  <c r="K100" i="40"/>
  <c r="L100" i="40" s="1"/>
  <c r="M100" i="40" s="1"/>
  <c r="AB38" i="34"/>
  <c r="AZ486" i="3"/>
  <c r="AZ529" i="3"/>
  <c r="AZ537" i="3"/>
  <c r="AZ548" i="3"/>
  <c r="AB37" i="39"/>
  <c r="U39" i="39"/>
  <c r="J29" i="39"/>
  <c r="AC29" i="39" s="1"/>
  <c r="U21" i="39"/>
  <c r="AB33" i="36"/>
  <c r="AA14" i="35"/>
  <c r="S14" i="35"/>
  <c r="F33" i="37"/>
  <c r="AA33" i="37" s="1"/>
  <c r="U46" i="34"/>
  <c r="AC30" i="34"/>
  <c r="AA14" i="34"/>
  <c r="W12" i="34"/>
  <c r="U29" i="33"/>
  <c r="AC13" i="33"/>
  <c r="AA11" i="34"/>
  <c r="W32" i="33"/>
  <c r="H15" i="33"/>
  <c r="U15" i="33" s="1"/>
  <c r="AA11" i="33"/>
  <c r="U16" i="40"/>
  <c r="AB34" i="40"/>
  <c r="AB42" i="40"/>
  <c r="U42" i="40"/>
  <c r="AC16" i="40"/>
  <c r="W32" i="40"/>
  <c r="H25" i="40"/>
  <c r="AB25" i="40"/>
  <c r="U47" i="39"/>
  <c r="W15" i="39"/>
  <c r="J37" i="34"/>
  <c r="AC37" i="34"/>
  <c r="AB23" i="40"/>
  <c r="S16" i="39"/>
  <c r="S15" i="34"/>
  <c r="AA15" i="34"/>
  <c r="AA41" i="33"/>
  <c r="AA34" i="33"/>
  <c r="F106" i="33"/>
  <c r="G106" i="33"/>
  <c r="H106" i="33" s="1"/>
  <c r="I106" i="33" s="1"/>
  <c r="J106" i="33" s="1"/>
  <c r="K106" i="33" s="1"/>
  <c r="L106" i="33" s="1"/>
  <c r="M106" i="33" s="1"/>
  <c r="J34" i="33"/>
  <c r="AC34" i="33" s="1"/>
  <c r="U30" i="40"/>
  <c r="AC39" i="39"/>
  <c r="W39" i="39"/>
  <c r="AA39" i="39"/>
  <c r="AB46" i="39"/>
  <c r="AC33" i="39"/>
  <c r="W33" i="39"/>
  <c r="S33" i="39"/>
  <c r="W14" i="35"/>
  <c r="F90" i="34"/>
  <c r="G90" i="34"/>
  <c r="H90" i="34" s="1"/>
  <c r="I90" i="34"/>
  <c r="J90" i="34" s="1"/>
  <c r="K90" i="34" s="1"/>
  <c r="L90" i="34" s="1"/>
  <c r="M90" i="34" s="1"/>
  <c r="AA43" i="39"/>
  <c r="S43" i="39"/>
  <c r="H96" i="37"/>
  <c r="I96" i="37" s="1"/>
  <c r="J96" i="37" s="1"/>
  <c r="K96" i="37" s="1"/>
  <c r="L96" i="37" s="1"/>
  <c r="M96" i="37" s="1"/>
  <c r="F32" i="37"/>
  <c r="U11" i="35"/>
  <c r="AB11" i="35"/>
  <c r="S46" i="34"/>
  <c r="U32" i="34"/>
  <c r="U14" i="34"/>
  <c r="AC14" i="34"/>
  <c r="U12" i="34"/>
  <c r="AB13" i="33"/>
  <c r="G80" i="34"/>
  <c r="F17" i="34"/>
  <c r="AA17" i="34"/>
  <c r="J17" i="34"/>
  <c r="AC17" i="34"/>
  <c r="H11" i="34"/>
  <c r="AB11" i="34"/>
  <c r="J35" i="33"/>
  <c r="W35" i="33"/>
  <c r="S32" i="33"/>
  <c r="H11" i="33"/>
  <c r="U11" i="33" s="1"/>
  <c r="H10" i="33"/>
  <c r="U10" i="33" s="1"/>
  <c r="J10" i="33"/>
  <c r="AC10" i="33" s="1"/>
  <c r="U40" i="21"/>
  <c r="AC13" i="40"/>
  <c r="J11" i="34"/>
  <c r="S17" i="34"/>
  <c r="F25" i="40"/>
  <c r="J11" i="33"/>
  <c r="H33" i="37"/>
  <c r="W15" i="34"/>
  <c r="U20" i="35"/>
  <c r="AB20" i="35"/>
  <c r="W23" i="40"/>
  <c r="AP11" i="1"/>
  <c r="B11" i="1"/>
  <c r="E11" i="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S20" i="36" s="1"/>
  <c r="F62" i="36"/>
  <c r="G62" i="36" s="1"/>
  <c r="J14" i="36"/>
  <c r="AC14" i="36" s="1"/>
  <c r="H14" i="36"/>
  <c r="F14" i="36"/>
  <c r="AA14" i="36" s="1"/>
  <c r="U27" i="36"/>
  <c r="AB12" i="36"/>
  <c r="U9" i="36"/>
  <c r="S33" i="36"/>
  <c r="AA27" i="36"/>
  <c r="S16" i="36"/>
  <c r="S29" i="36"/>
  <c r="U22" i="35"/>
  <c r="S8" i="35"/>
  <c r="U33" i="35"/>
  <c r="S16"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S15" i="37"/>
  <c r="AC21" i="37"/>
  <c r="W21" i="37"/>
  <c r="AC11" i="37"/>
  <c r="U35" i="37"/>
  <c r="U8" i="37"/>
  <c r="AB25" i="37"/>
  <c r="AB21" i="37"/>
  <c r="U21" i="37"/>
  <c r="S40" i="37"/>
  <c r="AA11" i="37"/>
  <c r="S10" i="37"/>
  <c r="W46" i="34"/>
  <c r="AA40" i="34"/>
  <c r="U30" i="34"/>
  <c r="S32" i="34"/>
  <c r="AB33" i="34"/>
  <c r="AA12" i="34"/>
  <c r="AC35" i="34"/>
  <c r="AA30" i="34"/>
  <c r="AC32" i="34"/>
  <c r="AA33" i="34"/>
  <c r="U44" i="34"/>
  <c r="U28" i="34"/>
  <c r="J25" i="34"/>
  <c r="W25" i="34" s="1"/>
  <c r="H25" i="34"/>
  <c r="F25" i="34"/>
  <c r="AA25" i="34" s="1"/>
  <c r="J23" i="34"/>
  <c r="F23" i="34"/>
  <c r="AA23" i="34" s="1"/>
  <c r="H23" i="34"/>
  <c r="W17" i="34"/>
  <c r="U11" i="34"/>
  <c r="W10" i="34"/>
  <c r="U10" i="34"/>
  <c r="W37" i="34"/>
  <c r="AC40" i="34"/>
  <c r="W44" i="34"/>
  <c r="W19" i="34"/>
  <c r="AC21" i="34"/>
  <c r="W21" i="34"/>
  <c r="U15" i="34"/>
  <c r="AB21" i="34"/>
  <c r="U21" i="34"/>
  <c r="U19" i="34"/>
  <c r="S9" i="34"/>
  <c r="S10" i="34"/>
  <c r="U37" i="33"/>
  <c r="S35" i="33"/>
  <c r="AB11" i="33"/>
  <c r="AC35" i="33"/>
  <c r="S29"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J37" i="40"/>
  <c r="H37" i="40"/>
  <c r="U37" i="40" s="1"/>
  <c r="G113" i="40"/>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c r="C53" i="10"/>
  <c r="A25" i="64" s="1"/>
  <c r="A18" i="51"/>
  <c r="B14" i="63" s="1"/>
  <c r="BA16" i="3"/>
  <c r="AZ16" i="3" s="1"/>
  <c r="BA17" i="3"/>
  <c r="AZ17" i="3"/>
  <c r="F3" i="35"/>
  <c r="K1" i="43"/>
  <c r="K1" i="12"/>
  <c r="G1" i="44"/>
  <c r="BK5" i="3"/>
  <c r="BL18" i="3"/>
  <c r="AZ18" i="3" s="1"/>
  <c r="BR5" i="3"/>
  <c r="BL16" i="3"/>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S25" i="36"/>
  <c r="AA34" i="36"/>
  <c r="U23" i="36"/>
  <c r="W28" i="36"/>
  <c r="U13" i="36"/>
  <c r="U10" i="36"/>
  <c r="W29" i="36"/>
  <c r="W9" i="36"/>
  <c r="S9" i="36"/>
  <c r="W8" i="36"/>
  <c r="AC30" i="35"/>
  <c r="AA33" i="35"/>
  <c r="U32" i="35"/>
  <c r="W22" i="35"/>
  <c r="S32" i="35"/>
  <c r="W35" i="37"/>
  <c r="AC15" i="37"/>
  <c r="AA13" i="37"/>
  <c r="S12" i="37"/>
  <c r="W38" i="37"/>
  <c r="W36" i="37"/>
  <c r="U2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AC46" i="39"/>
  <c r="W42" i="39"/>
  <c r="W36" i="39"/>
  <c r="U14" i="39"/>
  <c r="S15" i="39"/>
  <c r="W45" i="39"/>
  <c r="AA46" i="39"/>
  <c r="W10" i="39"/>
  <c r="W11" i="39"/>
  <c r="U42" i="39"/>
  <c r="W40" i="39"/>
  <c r="C27" i="39"/>
  <c r="C17" i="40"/>
  <c r="C19" i="40"/>
  <c r="C17" i="39"/>
  <c r="C19" i="39"/>
  <c r="C23" i="40"/>
  <c r="B48" i="46"/>
  <c r="B51" i="46"/>
  <c r="B59" i="46"/>
  <c r="B62" i="46"/>
  <c r="B66" i="46"/>
  <c r="B53" i="46"/>
  <c r="B64" i="46"/>
  <c r="D24" i="15"/>
  <c r="S14" i="36"/>
  <c r="AA20" i="36"/>
  <c r="W14" i="36"/>
  <c r="U14" i="36"/>
  <c r="AB14" i="36"/>
  <c r="AB18" i="36"/>
  <c r="W19" i="37"/>
  <c r="U19" i="37"/>
  <c r="AC17" i="37"/>
  <c r="W17" i="37"/>
  <c r="U25" i="34"/>
  <c r="AB25" i="34"/>
  <c r="S25" i="34"/>
  <c r="AC25" i="34"/>
  <c r="U23" i="34"/>
  <c r="AB23" i="34"/>
  <c r="S23" i="34"/>
  <c r="AC23" i="34"/>
  <c r="W23" i="34"/>
  <c r="U39" i="40"/>
  <c r="AC39" i="40"/>
  <c r="W39" i="40"/>
  <c r="AB37" i="40"/>
  <c r="AA37" i="40"/>
  <c r="S37" i="40"/>
  <c r="AB29" i="40"/>
  <c r="AC29" i="40"/>
  <c r="W29" i="40"/>
  <c r="AA29" i="40"/>
  <c r="S29" i="40"/>
  <c r="W19" i="40"/>
  <c r="AC19" i="40"/>
  <c r="AA19" i="40"/>
  <c r="S19" i="40"/>
  <c r="U19" i="40"/>
  <c r="A17" i="51"/>
  <c r="B13" i="63"/>
  <c r="E5" i="6"/>
  <c r="D21" i="12" s="1"/>
  <c r="C21" i="12" s="1"/>
  <c r="AT6" i="3"/>
  <c r="A9" i="64"/>
  <c r="A9" i="51"/>
  <c r="B9" i="63" s="1"/>
  <c r="A25" i="51"/>
  <c r="B18" i="63" s="1"/>
  <c r="A3" i="55"/>
  <c r="B56" i="63"/>
  <c r="E4" i="4"/>
  <c r="B21" i="55" s="1"/>
  <c r="B72" i="63" s="1"/>
  <c r="C4" i="4"/>
  <c r="B20" i="55" s="1"/>
  <c r="B70" i="63" s="1"/>
  <c r="G66" i="36"/>
  <c r="J18" i="36"/>
  <c r="AC18" i="36" s="1"/>
  <c r="AE6" i="1"/>
  <c r="AG6" i="1"/>
  <c r="L20" i="6"/>
  <c r="S9" i="1"/>
  <c r="R9" i="1"/>
  <c r="C45" i="9"/>
  <c r="H14" i="66" s="1"/>
  <c r="B7" i="66" s="1"/>
  <c r="O40" i="9"/>
  <c r="K31" i="9"/>
  <c r="K32" i="9" s="1"/>
  <c r="R7" i="54"/>
  <c r="B52" i="63" s="1"/>
  <c r="N76" i="9"/>
  <c r="B9" i="67"/>
  <c r="M28" i="15"/>
  <c r="F43" i="15"/>
  <c r="B11" i="67"/>
  <c r="E13" i="67"/>
  <c r="M22" i="15"/>
  <c r="L47" i="15"/>
  <c r="F15" i="44"/>
  <c r="M27" i="15"/>
  <c r="N3" i="65"/>
  <c r="F11" i="44"/>
  <c r="M9" i="15"/>
  <c r="F38" i="44"/>
  <c r="N5" i="65"/>
  <c r="M23" i="44"/>
  <c r="N4" i="65"/>
  <c r="M24" i="44"/>
  <c r="F9" i="44"/>
  <c r="E11" i="67"/>
  <c r="B14" i="67"/>
  <c r="F40" i="15"/>
  <c r="F26" i="15"/>
  <c r="F11" i="67"/>
  <c r="F36" i="15"/>
  <c r="B12" i="67"/>
  <c r="F45" i="44"/>
  <c r="L48" i="44"/>
  <c r="E12" i="67"/>
  <c r="F13" i="15"/>
  <c r="C19" i="44"/>
  <c r="M26" i="44"/>
  <c r="F10" i="67"/>
  <c r="F14" i="67"/>
  <c r="F38" i="15"/>
  <c r="B13" i="67"/>
  <c r="M24" i="15"/>
  <c r="F6" i="15"/>
  <c r="F8" i="67"/>
  <c r="F13" i="67"/>
  <c r="F42" i="15"/>
  <c r="E9" i="67"/>
  <c r="N7" i="65"/>
  <c r="M25" i="44"/>
  <c r="B8" i="67"/>
  <c r="F16" i="15"/>
  <c r="F18" i="44"/>
  <c r="E8" i="67"/>
  <c r="J15" i="15"/>
  <c r="L49" i="44"/>
  <c r="M11" i="44"/>
  <c r="F9" i="67"/>
  <c r="F40" i="44"/>
  <c r="M8" i="44"/>
  <c r="E10" i="67"/>
  <c r="N6" i="65"/>
  <c r="F7" i="15"/>
  <c r="F37" i="15"/>
  <c r="F8" i="15"/>
  <c r="F39" i="44"/>
  <c r="F12" i="67"/>
  <c r="B10" i="67"/>
  <c r="M8" i="15"/>
  <c r="M26" i="15"/>
  <c r="M6" i="15"/>
  <c r="E14" i="67"/>
  <c r="L48" i="15"/>
  <c r="F9" i="15"/>
  <c r="M29" i="15"/>
  <c r="J36" i="15"/>
  <c r="M23" i="15"/>
  <c r="C58" i="75" l="1"/>
  <c r="D58" i="75" s="1"/>
  <c r="E58" i="75" s="1"/>
  <c r="F58" i="75" s="1"/>
  <c r="G58" i="75" s="1"/>
  <c r="H58" i="75" s="1"/>
  <c r="I58" i="75" s="1"/>
  <c r="J58" i="75" s="1"/>
  <c r="K58" i="75" s="1"/>
  <c r="L58" i="75" s="1"/>
  <c r="M58" i="75" s="1"/>
  <c r="N58" i="75" s="1"/>
  <c r="O58" i="75" s="1"/>
  <c r="G7" i="75"/>
  <c r="E7" i="75"/>
  <c r="F7" i="75" s="1"/>
  <c r="I7" i="75"/>
  <c r="J7" i="75" s="1"/>
  <c r="J51" i="15"/>
  <c r="C58" i="33"/>
  <c r="I7" i="33"/>
  <c r="E7" i="33"/>
  <c r="G7" i="33"/>
  <c r="BQ5" i="3"/>
  <c r="BM5" i="3"/>
  <c r="I4" i="6"/>
  <c r="G3" i="46" s="1"/>
  <c r="BC5" i="3"/>
  <c r="E8" i="6"/>
  <c r="S40" i="39"/>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U19" i="33"/>
  <c r="S17" i="33"/>
  <c r="AC17" i="33"/>
  <c r="AC15" i="33"/>
  <c r="AB15" i="33"/>
  <c r="AB10" i="33"/>
  <c r="W10" i="33"/>
  <c r="AZ567" i="3"/>
  <c r="AZ508" i="3"/>
  <c r="AZ506" i="3"/>
  <c r="AZ489" i="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AZ542" i="3" s="1"/>
  <c r="BA541" i="3"/>
  <c r="AZ541" i="3" s="1"/>
  <c r="BL533" i="3"/>
  <c r="BA533" i="3"/>
  <c r="BL531" i="3"/>
  <c r="BA531" i="3"/>
  <c r="BA525" i="3"/>
  <c r="AZ525" i="3" s="1"/>
  <c r="BA517" i="3"/>
  <c r="AZ517" i="3" s="1"/>
  <c r="BA509" i="3"/>
  <c r="AZ509" i="3" s="1"/>
  <c r="BL506" i="3"/>
  <c r="BA504" i="3"/>
  <c r="AZ504" i="3" s="1"/>
  <c r="BL498" i="3"/>
  <c r="BA498" i="3"/>
  <c r="AZ498" i="3" s="1"/>
  <c r="BL496" i="3"/>
  <c r="BN5" i="3"/>
  <c r="G29" i="6" s="1"/>
  <c r="BL489" i="3"/>
  <c r="BL488" i="3"/>
  <c r="AZ488" i="3" s="1"/>
  <c r="BA20" i="3"/>
  <c r="AZ20" i="3" s="1"/>
  <c r="BS5" i="3"/>
  <c r="F28" i="6" s="1"/>
  <c r="BO5" i="3"/>
  <c r="F29" i="6" s="1"/>
  <c r="BJ5" i="3"/>
  <c r="BA19" i="3"/>
  <c r="AZ19" i="3" s="1"/>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AZ518"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BL510" i="3"/>
  <c r="AZ510" i="3" s="1"/>
  <c r="BL508" i="3"/>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O13" i="1" s="1"/>
  <c r="P13" i="1" s="1"/>
  <c r="R12" i="1"/>
  <c r="K12" i="1"/>
  <c r="M12" i="1" s="1"/>
  <c r="O12" i="1" s="1"/>
  <c r="P12" i="1" s="1"/>
  <c r="T27" i="59"/>
  <c r="D27" i="59"/>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J34" i="39"/>
  <c r="AC34"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34"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E58" i="39"/>
  <c r="F27" i="6"/>
  <c r="E53" i="40"/>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9" i="1"/>
  <c r="P9" i="1" s="1"/>
  <c r="E14" i="6"/>
  <c r="E15" i="6"/>
  <c r="E13" i="6"/>
  <c r="E12" i="6"/>
  <c r="E10" i="6"/>
  <c r="E11" i="6"/>
  <c r="AP7" i="1"/>
  <c r="G13" i="1"/>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J22" i="44"/>
  <c r="Q72" i="15"/>
  <c r="F64" i="15"/>
  <c r="L60" i="44"/>
  <c r="L59" i="44"/>
  <c r="C27" i="15"/>
  <c r="F65" i="15"/>
  <c r="F50" i="15"/>
  <c r="L59" i="15"/>
  <c r="L58" i="15"/>
  <c r="F49" i="15"/>
  <c r="M7" i="15"/>
  <c r="J6" i="15" s="1"/>
  <c r="F70" i="15"/>
  <c r="M9" i="44"/>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M29" i="44"/>
  <c r="M30" i="44"/>
  <c r="F8" i="44"/>
  <c r="I7" i="65"/>
  <c r="J5" i="65"/>
  <c r="F37" i="44"/>
  <c r="J17" i="44"/>
  <c r="F10" i="44"/>
  <c r="C16" i="15"/>
  <c r="M31" i="44"/>
  <c r="I3" i="65"/>
  <c r="J6" i="65"/>
  <c r="J4" i="65"/>
  <c r="M10" i="44"/>
  <c r="F28" i="44"/>
  <c r="I5" i="65"/>
  <c r="I4" i="65"/>
  <c r="C18" i="44"/>
  <c r="J3" i="65"/>
  <c r="J7" i="65"/>
  <c r="M28" i="44"/>
  <c r="F46" i="44"/>
  <c r="F43" i="44"/>
  <c r="I6" i="65"/>
  <c r="W7" i="75" l="1"/>
  <c r="AC7" i="75"/>
  <c r="V48" i="75" s="1"/>
  <c r="I48" i="75" s="1"/>
  <c r="H7" i="75"/>
  <c r="H7" i="21"/>
  <c r="AA7" i="75"/>
  <c r="R48" i="75" s="1"/>
  <c r="S7" i="75"/>
  <c r="G16" i="1"/>
  <c r="Q16" i="1"/>
  <c r="F33" i="12" s="1"/>
  <c r="H16" i="1"/>
  <c r="F103" i="46"/>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I106" i="46"/>
  <c r="H103" i="46"/>
  <c r="AZ13" i="3"/>
  <c r="E65" i="40"/>
  <c r="D67" i="40"/>
  <c r="F7" i="21"/>
  <c r="E70" i="39"/>
  <c r="D72" i="39"/>
  <c r="AB7" i="2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14" i="1"/>
  <c r="K24" i="6"/>
  <c r="M24" i="6" s="1"/>
  <c r="I24" i="6" s="1"/>
  <c r="S24" i="6" s="1"/>
  <c r="E30" i="6"/>
  <c r="E31" i="6" s="1"/>
  <c r="K25" i="6"/>
  <c r="M25" i="6" s="1"/>
  <c r="I25" i="6" s="1"/>
  <c r="S25"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M11" i="15"/>
  <c r="J10" i="15" s="1"/>
  <c r="J5" i="15" s="1"/>
  <c r="F11" i="15"/>
  <c r="M13" i="44"/>
  <c r="J12" i="44" s="1"/>
  <c r="F1" i="15"/>
  <c r="Q53" i="15"/>
  <c r="Q75" i="15"/>
  <c r="Q62" i="15"/>
  <c r="Q75" i="44"/>
  <c r="Q62" i="44"/>
  <c r="F6" i="68"/>
  <c r="M9" i="68"/>
  <c r="M23" i="68"/>
  <c r="M29" i="68"/>
  <c r="M24" i="68"/>
  <c r="F26" i="68"/>
  <c r="J15" i="68"/>
  <c r="M26" i="68"/>
  <c r="F9" i="68"/>
  <c r="F42" i="68"/>
  <c r="F38" i="68"/>
  <c r="AE7" i="1"/>
  <c r="F43" i="68"/>
  <c r="F16" i="68"/>
  <c r="L47" i="68"/>
  <c r="L48" i="68"/>
  <c r="F7" i="68"/>
  <c r="E3" i="65"/>
  <c r="F8" i="68"/>
  <c r="F37" i="68"/>
  <c r="M27" i="68"/>
  <c r="J36" i="68"/>
  <c r="F36" i="68"/>
  <c r="F13" i="68"/>
  <c r="M6" i="68"/>
  <c r="E2" i="65"/>
  <c r="F40" i="68"/>
  <c r="M8" i="68"/>
  <c r="M28" i="68"/>
  <c r="M22" i="68"/>
  <c r="I52" i="75" l="1"/>
  <c r="J52" i="75" s="1"/>
  <c r="E48" i="75"/>
  <c r="AB7" i="75"/>
  <c r="T48" i="75" s="1"/>
  <c r="G48" i="75" s="1"/>
  <c r="U7" i="75"/>
  <c r="K20" i="6"/>
  <c r="K21" i="6"/>
  <c r="K23" i="6"/>
  <c r="M23" i="6" s="1"/>
  <c r="I23" i="6" s="1"/>
  <c r="S23" i="6" s="1"/>
  <c r="K22" i="6"/>
  <c r="M22" i="6" s="1"/>
  <c r="I22" i="6" s="1"/>
  <c r="S22" i="6" s="1"/>
  <c r="K26" i="6"/>
  <c r="M26" i="6" s="1"/>
  <c r="I26" i="6" s="1"/>
  <c r="S26" i="6" s="1"/>
  <c r="C7" i="44"/>
  <c r="C40" i="44" s="1"/>
  <c r="H69" i="21"/>
  <c r="I69" i="21" s="1"/>
  <c r="J69" i="21" s="1"/>
  <c r="K69" i="21" s="1"/>
  <c r="L69" i="21" s="1"/>
  <c r="M69" i="21" s="1"/>
  <c r="F11" i="21"/>
  <c r="J11" i="21"/>
  <c r="H11" i="2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L59" i="68"/>
  <c r="L58" i="68"/>
  <c r="AZ5" i="3"/>
  <c r="J5" i="68"/>
  <c r="J26" i="68"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AB11" i="21"/>
  <c r="T48" i="21" s="1"/>
  <c r="G48" i="21" s="1"/>
  <c r="E516" i="3"/>
  <c r="T47" i="59"/>
  <c r="D47" i="59"/>
  <c r="C52" i="68"/>
  <c r="O28" i="46"/>
  <c r="M21" i="6"/>
  <c r="I21" i="6" s="1"/>
  <c r="S21" i="6" s="1"/>
  <c r="S8" i="1"/>
  <c r="M20" i="6"/>
  <c r="I20" i="6" s="1"/>
  <c r="S20" i="6" s="1"/>
  <c r="S7" i="1"/>
  <c r="E3" i="6"/>
  <c r="AY6" i="3"/>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C34" i="44"/>
  <c r="C52" i="15"/>
  <c r="C47" i="15" s="1"/>
  <c r="C10" i="15"/>
  <c r="C5" i="15" s="1"/>
  <c r="J24" i="15"/>
  <c r="J18" i="15"/>
  <c r="F41" i="15"/>
  <c r="L52" i="44"/>
  <c r="C16" i="68"/>
  <c r="C17" i="68"/>
  <c r="C17" i="15"/>
  <c r="E52" i="75" l="1"/>
  <c r="F52" i="75" s="1"/>
  <c r="E53" i="75"/>
  <c r="F53" i="75" s="1"/>
  <c r="I53" i="75"/>
  <c r="J53" i="75" s="1"/>
  <c r="G53" i="75"/>
  <c r="H53" i="75" s="1"/>
  <c r="G52" i="75"/>
  <c r="H52" i="75" s="1"/>
  <c r="R49" i="75"/>
  <c r="AC6" i="3"/>
  <c r="E6" i="3" s="1"/>
  <c r="S11" i="21"/>
  <c r="AA11" i="21"/>
  <c r="R48" i="21" s="1"/>
  <c r="W11" i="21"/>
  <c r="AC11" i="21"/>
  <c r="V48" i="21" s="1"/>
  <c r="I48" i="21" s="1"/>
  <c r="J26" i="44"/>
  <c r="J20" i="44"/>
  <c r="C48" i="68"/>
  <c r="J18" i="68"/>
  <c r="C47" i="68"/>
  <c r="C65" i="68" s="1"/>
  <c r="J24" i="68"/>
  <c r="G52" i="21"/>
  <c r="H52" i="21" s="1"/>
  <c r="Q75" i="68"/>
  <c r="Q62" i="68"/>
  <c r="Q53" i="68"/>
  <c r="F1" i="68"/>
  <c r="S16" i="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5" i="9"/>
  <c r="F67" i="40"/>
  <c r="G65" i="40"/>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B5" i="11"/>
  <c r="B3" i="11"/>
  <c r="B4" i="11"/>
  <c r="C59" i="15"/>
  <c r="C65" i="15"/>
  <c r="Q49" i="44"/>
  <c r="Q55" i="44" s="1"/>
  <c r="Q67" i="44"/>
  <c r="Q58" i="44"/>
  <c r="AE8" i="1"/>
  <c r="C14" i="15"/>
  <c r="C14" i="68"/>
  <c r="C16" i="44"/>
  <c r="C48" i="75" l="1"/>
  <c r="C49" i="75"/>
  <c r="B3" i="75" s="1"/>
  <c r="B2" i="75" s="1"/>
  <c r="AA7" i="36"/>
  <c r="R36" i="36" s="1"/>
  <c r="B2" i="33"/>
  <c r="D10" i="12" s="1"/>
  <c r="D8" i="12"/>
  <c r="C59" i="68"/>
  <c r="I52" i="21"/>
  <c r="J52" i="21" s="1"/>
  <c r="G53" i="21"/>
  <c r="H53" i="21" s="1"/>
  <c r="E48" i="21"/>
  <c r="E52" i="21" s="1"/>
  <c r="F52" i="21" s="1"/>
  <c r="R49" i="21"/>
  <c r="C18" i="68"/>
  <c r="C15" i="68"/>
  <c r="T16" i="1"/>
  <c r="C24" i="68"/>
  <c r="C7" i="66"/>
  <c r="D22" i="12"/>
  <c r="C22" i="12" s="1"/>
  <c r="C20" i="12" s="1"/>
  <c r="D13" i="11"/>
  <c r="C13" i="11" s="1"/>
  <c r="D19" i="12"/>
  <c r="C19" i="12" s="1"/>
  <c r="C16" i="12"/>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D11" i="6"/>
  <c r="H20" i="6"/>
  <c r="D9" i="6"/>
  <c r="D29" i="6"/>
  <c r="D15" i="6"/>
  <c r="P14" i="1"/>
  <c r="P16" i="1" s="1"/>
  <c r="C13" i="12" s="1"/>
  <c r="C17" i="12" s="1"/>
  <c r="H70" i="39"/>
  <c r="G72" i="39"/>
  <c r="C48" i="21"/>
  <c r="C49" i="21"/>
  <c r="B3" i="21" s="1"/>
  <c r="H65" i="40"/>
  <c r="G67" i="40"/>
  <c r="E53" i="21"/>
  <c r="F53"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68"/>
  <c r="R26" i="6" l="1"/>
  <c r="J29" i="68"/>
  <c r="F68" i="68"/>
  <c r="C19" i="68"/>
  <c r="C20" i="68" s="1"/>
  <c r="C26" i="68" s="1"/>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15"/>
  <c r="M21" i="68"/>
  <c r="F35" i="68"/>
  <c r="F7" i="67"/>
  <c r="M21" i="15"/>
  <c r="E7" i="67"/>
  <c r="C23" i="68" l="1"/>
  <c r="C29"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J19" i="68" l="1"/>
  <c r="J17" i="68" s="1"/>
  <c r="J59" i="68"/>
  <c r="J60" i="68" s="1"/>
  <c r="Q49" i="68" s="1"/>
  <c r="C36" i="68"/>
  <c r="J14" i="68"/>
  <c r="J13" i="68" s="1"/>
  <c r="J23" i="68" s="1"/>
  <c r="C56" i="68"/>
  <c r="C63" i="68" s="1"/>
  <c r="C13" i="68"/>
  <c r="J35" i="68" s="1"/>
  <c r="Q50" i="68"/>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C55" i="68" l="1"/>
  <c r="C64" i="68" s="1"/>
  <c r="J22" i="68"/>
  <c r="J16" i="68" s="1"/>
  <c r="J25" i="68" s="1"/>
  <c r="C37" i="68"/>
  <c r="C30" i="68" s="1"/>
  <c r="C39" i="68" s="1"/>
  <c r="Q71" i="68"/>
  <c r="C57" i="68"/>
  <c r="C66" i="68" s="1"/>
  <c r="C67" i="68" s="1"/>
  <c r="C70" i="68" s="1"/>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68"/>
  <c r="Q68" i="68" l="1"/>
  <c r="Q70" i="68"/>
  <c r="Q69" i="68" s="1"/>
  <c r="J39" i="68"/>
  <c r="J40" i="68" s="1"/>
  <c r="C40" i="68"/>
  <c r="C46"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Q68" i="15" l="1"/>
  <c r="Q57" i="68"/>
  <c r="Q66" i="68"/>
  <c r="C43" i="68"/>
  <c r="B2" i="68"/>
  <c r="Q48" i="68"/>
  <c r="Q54" i="68" s="1"/>
  <c r="J42" i="68"/>
  <c r="J43" i="68" s="1"/>
  <c r="Q63" i="68"/>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68" l="1"/>
  <c r="E8" i="12" s="1"/>
  <c r="E10" i="12"/>
  <c r="C6" i="12" s="1"/>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B4" i="39"/>
  <c r="C19" i="9"/>
  <c r="D20" i="9"/>
  <c r="C21" i="9"/>
  <c r="C20" i="9"/>
  <c r="D21" i="9"/>
  <c r="G19" i="9" l="1"/>
  <c r="N43" i="9" s="1"/>
  <c r="L43" i="9"/>
  <c r="D22" i="9"/>
  <c r="G20" i="9"/>
  <c r="G21" i="9"/>
  <c r="C32" i="9" l="1"/>
  <c r="O43" i="9" s="1"/>
  <c r="G22" i="9"/>
  <c r="C42" i="9" l="1"/>
  <c r="C44" i="9" s="1"/>
  <c r="G14" i="66" s="1"/>
  <c r="C35" i="9"/>
  <c r="F42" i="9" s="1"/>
  <c r="C33" i="9"/>
  <c r="N38" i="9" s="1"/>
  <c r="K28" i="9" s="1"/>
  <c r="C34" i="9"/>
  <c r="M38" i="9" s="1"/>
  <c r="K27" i="9" s="1"/>
  <c r="O38" i="9"/>
  <c r="K25" i="9" s="1"/>
  <c r="D44" i="9"/>
  <c r="N68" i="9"/>
  <c r="D14" i="66"/>
  <c r="D42" i="9"/>
  <c r="Q5" i="54" s="1"/>
  <c r="B47" i="63" s="1"/>
  <c r="E42" i="9" l="1"/>
  <c r="P5" i="54" s="1"/>
  <c r="B46" i="63" s="1"/>
  <c r="K26" i="9"/>
  <c r="E44" i="9"/>
  <c r="O39" i="9"/>
  <c r="K29" i="9" s="1"/>
  <c r="K30" i="9" s="1"/>
  <c r="D63" i="9"/>
  <c r="D73" i="9" s="1"/>
  <c r="N73" i="9" s="1"/>
  <c r="R5" i="54"/>
  <c r="B48" i="63" s="1"/>
  <c r="F44" i="9"/>
  <c r="N69" i="9"/>
  <c r="M86" i="9" s="1"/>
  <c r="N86" i="9" s="1"/>
  <c r="F14" i="66"/>
  <c r="E14" i="66"/>
  <c r="D71" i="9"/>
  <c r="D66" i="9" s="1"/>
  <c r="N72" i="9" s="1"/>
  <c r="D70" i="9"/>
  <c r="D77" i="9"/>
  <c r="N75" i="9" s="1"/>
  <c r="C90" i="9"/>
  <c r="C111" i="9"/>
  <c r="C104" i="9" s="1"/>
  <c r="C82" i="9"/>
  <c r="C81" i="9" s="1"/>
  <c r="C85" i="9" s="1"/>
  <c r="C86" i="9" s="1"/>
  <c r="D72" i="9" s="1"/>
  <c r="C103" i="9"/>
  <c r="C96" i="9"/>
  <c r="C91" i="9" s="1"/>
  <c r="M83" i="9" l="1"/>
  <c r="N83" i="9" s="1"/>
  <c r="M84" i="9"/>
  <c r="N84" i="9" s="1"/>
  <c r="M87" i="9"/>
  <c r="N87" i="9" s="1"/>
  <c r="R6" i="54"/>
  <c r="B50" i="63" s="1"/>
  <c r="M85" i="9"/>
  <c r="N85" i="9" s="1"/>
  <c r="M88" i="9"/>
  <c r="N88" i="9" s="1"/>
  <c r="C113" i="9"/>
  <c r="C97" i="9"/>
  <c r="N89" i="9" l="1"/>
  <c r="O89" i="9" s="1"/>
  <c r="C114" i="9"/>
  <c r="E114" i="9" s="1"/>
  <c r="E115" i="9" s="1"/>
  <c r="C98" i="9"/>
  <c r="E98" i="9" s="1"/>
  <c r="E99" i="9" s="1"/>
  <c r="C99" i="9" l="1"/>
  <c r="C115" i="9"/>
  <c r="D76" i="9" s="1"/>
  <c r="D74" i="9" s="1"/>
  <c r="N74" i="9" s="1"/>
  <c r="O77" i="9" s="1"/>
  <c r="O79" i="9" s="1"/>
  <c r="P84" i="9" s="1"/>
  <c r="C46" i="9" l="1"/>
  <c r="K33" i="9" s="1"/>
  <c r="O81" i="9"/>
  <c r="O80" i="9"/>
  <c r="Q77" i="9"/>
  <c r="O78" i="9"/>
  <c r="D46" i="9" l="1"/>
  <c r="E46" i="9"/>
  <c r="O41" i="9"/>
  <c r="R8" i="54" s="1"/>
  <c r="B54" i="63" s="1"/>
  <c r="F46" i="9"/>
  <c r="I14" i="66"/>
  <c r="B8" i="66" s="1"/>
  <c r="K34" i="9"/>
  <c r="C8" i="66"/>
  <c r="D8" i="66"/>
  <c r="G15" i="66" l="1"/>
  <c r="B6" i="66" s="1"/>
  <c r="F15" i="66"/>
  <c r="E15" i="66"/>
  <c r="B5"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<sst xmlns="http://schemas.openxmlformats.org/spreadsheetml/2006/main" count="8978" uniqueCount="3607">
  <si>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</si>
  <si>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</si>
  <si>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</si>
  <si>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</si>
  <si>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</si>
  <si>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</si>
  <si>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</si>
  <si>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</si>
  <si>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</si>
  <si>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</si>
  <si>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</si>
  <si>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</si>
  <si>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</si>
  <si>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</si>
  <si>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</si>
  <si>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</si>
  <si>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</si>
  <si>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</si>
  <si>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</si>
  <si>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</si>
  <si>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</si>
  <si>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</si>
  <si>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</si>
  <si>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</si>
  <si>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</si>
  <si>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</si>
  <si>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</si>
  <si>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</si>
  <si>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</si>
  <si>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</si>
  <si>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</si>
  <si>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</si>
  <si>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</si>
  <si>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</si>
  <si>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</si>
  <si>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</si>
  <si>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</si>
  <si>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</si>
  <si>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</si>
  <si>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</si>
  <si>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</si>
  <si>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</si>
  <si>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</si>
  <si>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</si>
  <si>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</si>
  <si>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</si>
  <si>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</si>
  <si>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</si>
  <si>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</si>
  <si>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</si>
  <si>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</si>
  <si>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</si>
  <si>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</si>
  <si>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</si>
  <si>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</si>
  <si>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</si>
  <si>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</si>
  <si>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</si>
  <si>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</si>
  <si>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</si>
  <si>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</si>
  <si>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</si>
  <si>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</si>
  <si>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</si>
  <si>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</si>
  <si>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</si>
  <si>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</si>
  <si>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</si>
  <si>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</si>
  <si>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</si>
  <si>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</si>
  <si>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</si>
  <si>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</si>
  <si>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</si>
  <si>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</si>
  <si>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</si>
  <si>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</si>
  <si>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</si>
  <si>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</si>
  <si>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</si>
  <si>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</si>
  <si>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</si>
  <si>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</si>
  <si>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</si>
  <si>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</si>
  <si>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</si>
  <si>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</si>
  <si>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</si>
  <si>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</si>
  <si>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</si>
  <si>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</si>
  <si>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</si>
  <si>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</si>
  <si>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</si>
  <si>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</si>
  <si>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</si>
  <si>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</si>
  <si>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</si>
  <si>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</si>
  <si>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</si>
  <si>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</si>
  <si>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</si>
  <si>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</si>
  <si>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</si>
  <si>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</si>
  <si>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</si>
  <si>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</si>
  <si>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</si>
  <si>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</si>
  <si>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</si>
  <si>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</si>
  <si>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</si>
  <si>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</si>
  <si>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</si>
  <si>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</si>
  <si>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</si>
  <si>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</si>
  <si>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</si>
  <si>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</si>
  <si>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</si>
  <si>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</si>
  <si>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</si>
  <si>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</si>
  <si>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</si>
  <si>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</si>
  <si>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</si>
  <si>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</si>
  <si>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</si>
  <si>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</si>
  <si>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</si>
  <si>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</si>
  <si>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</si>
  <si>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</si>
  <si>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</si>
  <si>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</si>
  <si>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</si>
  <si>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</si>
  <si>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</si>
  <si>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</si>
  <si>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</si>
  <si>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</si>
  <si>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</si>
  <si>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</si>
  <si>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</si>
  <si>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</si>
  <si>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</si>
  <si>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</si>
  <si>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</si>
  <si>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</si>
  <si>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</si>
  <si>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</si>
  <si>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</si>
  <si>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</si>
  <si>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</si>
  <si>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</si>
  <si>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</si>
  <si>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</si>
  <si>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</si>
  <si>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</si>
  <si>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</si>
  <si>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</si>
  <si>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</si>
  <si>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</si>
  <si>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</si>
  <si>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</si>
  <si>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</si>
  <si>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</si>
  <si>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</si>
  <si>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</si>
  <si>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</si>
  <si>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</si>
  <si>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</si>
  <si>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</si>
  <si>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</si>
  <si>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</si>
  <si>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</si>
  <si>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</si>
  <si>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</si>
  <si>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</si>
  <si>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</si>
  <si>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</si>
  <si>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</si>
  <si>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</si>
  <si>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</si>
  <si>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</si>
  <si>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</si>
  <si>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</si>
  <si>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</si>
  <si>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</si>
  <si>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</si>
  <si>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</si>
  <si>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</si>
  <si>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</si>
  <si>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</si>
  <si>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</si>
  <si>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</si>
  <si>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</si>
  <si>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</si>
  <si>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</si>
  <si>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</si>
  <si>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</si>
  <si>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</si>
  <si>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</si>
  <si>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</si>
  <si>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</si>
  <si>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</si>
  <si>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</si>
  <si>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</si>
  <si>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</si>
  <si>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</si>
  <si>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</si>
  <si>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</si>
  <si>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</si>
  <si>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</si>
  <si>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</si>
  <si>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</si>
  <si>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</si>
  <si>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</si>
  <si>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</si>
  <si>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</si>
  <si>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</si>
  <si>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</si>
  <si>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</si>
  <si>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</si>
  <si>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</si>
  <si>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</si>
  <si>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</si>
  <si>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</si>
  <si>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</si>
  <si>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</si>
  <si>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</si>
  <si>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</si>
  <si>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</si>
  <si>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</si>
  <si>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</si>
  <si>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</si>
  <si>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</si>
  <si>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</si>
  <si>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</si>
  <si>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</si>
  <si>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</si>
  <si>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</si>
  <si>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</si>
  <si>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</si>
  <si>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</si>
  <si>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</si>
  <si>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</si>
  <si>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</si>
  <si>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</si>
  <si>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</si>
  <si>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</si>
  <si>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</si>
  <si>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</si>
  <si>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</si>
  <si>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</si>
  <si>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</si>
  <si>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</si>
  <si>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</si>
  <si>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</si>
  <si>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</si>
  <si>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</si>
  <si>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</si>
  <si>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</si>
  <si>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</si>
  <si>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</si>
  <si>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</si>
  <si>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</si>
  <si>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</si>
  <si>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</si>
  <si>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</si>
  <si>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</si>
  <si>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</si>
  <si>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</si>
  <si>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</si>
  <si>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</si>
  <si>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</si>
  <si>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</si>
  <si>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</si>
  <si>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</si>
  <si>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</si>
  <si>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</si>
  <si>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</si>
  <si>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</si>
  <si>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</si>
  <si>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</si>
  <si>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</si>
  <si>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</si>
  <si>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</si>
  <si>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</si>
  <si>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</si>
  <si>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</si>
  <si>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</si>
  <si>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</si>
  <si>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</si>
  <si>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</si>
  <si>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</si>
  <si>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</si>
  <si>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</si>
  <si>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</si>
  <si>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</si>
  <si>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</si>
  <si>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</si>
  <si>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</si>
  <si>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</si>
  <si>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</si>
  <si>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</si>
  <si>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</si>
  <si>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</si>
  <si>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</si>
  <si>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</si>
  <si>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</si>
  <si>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</si>
  <si>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</si>
  <si>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</si>
  <si>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</si>
  <si>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</si>
  <si>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</si>
  <si>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</si>
  <si>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</si>
  <si>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</si>
  <si>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</si>
  <si>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</si>
  <si>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</si>
  <si>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</si>
  <si>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</si>
  <si>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</si>
  <si>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</si>
  <si>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</si>
  <si>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</si>
  <si>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</si>
  <si>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</si>
  <si>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</si>
  <si>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</si>
  <si>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</si>
  <si>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</si>
  <si>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</si>
  <si>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</si>
  <si>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</si>
  <si>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</si>
  <si>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</si>
  <si>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</si>
  <si>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</si>
  <si>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</si>
  <si>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</si>
  <si>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</si>
  <si>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</si>
  <si>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</si>
  <si>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</si>
  <si>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</si>
  <si>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</si>
  <si>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</si>
  <si>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</si>
  <si>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</si>
  <si>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</si>
  <si>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</si>
  <si>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</si>
  <si>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</si>
  <si>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</si>
  <si>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</si>
  <si>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</si>
  <si>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</si>
  <si>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</si>
  <si>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</si>
  <si>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</si>
  <si>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</si>
  <si>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</si>
  <si>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</si>
  <si>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</si>
  <si>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</si>
  <si>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</si>
  <si>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</si>
  <si>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</si>
  <si>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</si>
  <si>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</si>
  <si>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</si>
  <si>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</si>
  <si>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</si>
  <si>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</si>
  <si>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</si>
  <si>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</si>
  <si>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</si>
  <si>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</si>
  <si>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</si>
  <si>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</si>
  <si>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</si>
  <si>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</si>
  <si>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</si>
  <si>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</si>
  <si>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</si>
  <si>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</si>
  <si>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</si>
  <si>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</si>
  <si>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</si>
  <si>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</si>
  <si>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</si>
  <si>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</si>
  <si>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</si>
  <si>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</si>
  <si>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</si>
  <si>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</si>
  <si>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</si>
  <si>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</si>
  <si>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</si>
  <si>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</si>
  <si>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</si>
  <si>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</si>
  <si>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</si>
  <si>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</si>
  <si>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</si>
  <si>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</si>
  <si>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</si>
  <si>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</si>
  <si>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</si>
  <si>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</si>
  <si>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</si>
  <si>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</si>
  <si>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</si>
  <si>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</si>
  <si>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</si>
  <si>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</si>
  <si>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</si>
  <si>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</si>
  <si>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</si>
  <si>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</si>
  <si>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</si>
  <si>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</si>
  <si>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</si>
  <si>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</si>
  <si>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</si>
  <si>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</si>
  <si>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</si>
  <si>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</si>
  <si>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</si>
  <si>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</si>
  <si>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</si>
  <si>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</si>
  <si>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</si>
  <si>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</si>
  <si>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</si>
  <si>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</si>
  <si>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</si>
  <si>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</si>
  <si>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</si>
  <si>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</si>
  <si>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</si>
  <si>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</si>
  <si>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</si>
  <si>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</si>
  <si>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</si>
  <si>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</si>
  <si>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</si>
  <si>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</si>
  <si>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</si>
  <si>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</si>
  <si>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</si>
  <si>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</si>
  <si>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</si>
  <si>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</si>
  <si>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</si>
  <si>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</si>
  <si>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</si>
  <si>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</si>
  <si>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</si>
  <si>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</si>
  <si>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</si>
  <si>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</si>
  <si>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</si>
  <si>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</si>
  <si>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</si>
  <si>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</si>
  <si>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</si>
  <si>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</si>
  <si>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</si>
  <si>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</si>
  <si>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</si>
  <si>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</si>
  <si>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</si>
  <si>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</si>
  <si>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</si>
  <si>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</si>
  <si>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</si>
  <si>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</si>
  <si>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</si>
  <si>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</si>
  <si>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</si>
  <si>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</si>
  <si>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</si>
  <si>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</si>
  <si>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</si>
  <si>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</si>
  <si>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</si>
  <si>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</si>
  <si>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</si>
  <si>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</si>
  <si>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</si>
  <si>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</si>
  <si>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</si>
  <si>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</si>
  <si>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</si>
  <si>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</si>
  <si>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</si>
  <si>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</si>
  <si>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</si>
  <si>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</si>
  <si>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</si>
  <si>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</si>
  <si>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</si>
  <si>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</si>
  <si>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</si>
  <si>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</si>
  <si>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</si>
  <si>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</si>
  <si>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</si>
  <si>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</si>
  <si>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</si>
  <si>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</si>
  <si>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</si>
  <si>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</si>
  <si>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</si>
  <si>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</si>
  <si>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</si>
  <si>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</si>
  <si>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</si>
  <si>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</si>
  <si>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</si>
  <si>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</si>
  <si>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</si>
  <si>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</si>
  <si>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</si>
  <si>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</si>
  <si>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</si>
  <si>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</si>
  <si>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</si>
  <si>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</si>
  <si>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</si>
  <si>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</si>
  <si>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</si>
  <si>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</si>
  <si>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</si>
  <si>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</si>
  <si>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</si>
  <si>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</si>
  <si>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</si>
  <si>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</si>
  <si>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</si>
  <si>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</si>
  <si>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</si>
  <si>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</si>
  <si>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</si>
  <si>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</si>
  <si>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</si>
  <si>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</si>
  <si>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</si>
  <si>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</si>
  <si>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</si>
  <si>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</si>
  <si>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</si>
  <si>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</si>
  <si>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</si>
  <si>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</si>
  <si>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</si>
  <si>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</si>
  <si>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</si>
  <si>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</si>
  <si>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</si>
  <si>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</si>
  <si>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</si>
  <si>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</si>
  <si>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</si>
  <si>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</si>
  <si>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</si>
  <si>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</si>
  <si>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</si>
  <si>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</si>
  <si>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</si>
  <si>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</si>
  <si>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</si>
  <si>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</si>
  <si>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</si>
  <si>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</si>
  <si>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</si>
  <si>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</si>
  <si>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</si>
  <si>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</si>
  <si>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</si>
  <si>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</si>
  <si>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</si>
  <si>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</si>
  <si>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</si>
  <si>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</si>
  <si>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</si>
  <si>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</si>
  <si>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</si>
  <si>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</si>
  <si>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</si>
  <si>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</si>
  <si>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</si>
  <si>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</si>
  <si>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</si>
  <si>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</si>
  <si>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</si>
  <si>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</si>
  <si>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</si>
  <si>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</si>
  <si>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</si>
  <si>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</si>
  <si>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</si>
  <si>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</si>
  <si>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</si>
  <si>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</si>
  <si>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</si>
  <si>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</si>
  <si>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</si>
  <si>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</si>
  <si>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</si>
  <si>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</si>
  <si>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</si>
  <si>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</si>
  <si>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</si>
  <si>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</si>
  <si>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</si>
  <si>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</si>
  <si>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</si>
  <si>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</si>
  <si>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</si>
  <si>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</si>
  <si>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</si>
  <si>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</si>
  <si>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</si>
  <si>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</si>
  <si>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</si>
  <si>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</si>
  <si>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</si>
  <si>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</si>
  <si>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</si>
  <si>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</si>
  <si>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</si>
  <si>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</si>
  <si>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</si>
  <si>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</si>
  <si>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</si>
  <si>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</si>
  <si>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</si>
  <si>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</si>
  <si>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</si>
  <si>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</si>
  <si>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</si>
  <si>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</si>
  <si>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</si>
  <si>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</si>
  <si>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</si>
  <si>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</si>
  <si>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</si>
  <si>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</si>
  <si>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</si>
  <si>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</si>
  <si>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</si>
  <si>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</si>
  <si>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</si>
  <si>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</si>
  <si>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</si>
  <si>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</si>
  <si>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</si>
  <si>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</si>
  <si>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</si>
  <si>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</si>
  <si>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</si>
  <si>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</si>
  <si>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</si>
  <si>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</si>
  <si>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</si>
  <si>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</si>
  <si>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</si>
  <si>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</si>
  <si>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</si>
  <si>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</si>
  <si>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</si>
  <si>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</si>
  <si>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</si>
  <si>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</si>
  <si>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</si>
  <si>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</si>
  <si>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</si>
  <si>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</si>
  <si>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</si>
  <si>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</si>
  <si>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</si>
  <si>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</si>
  <si>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</si>
  <si>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</si>
  <si>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</si>
  <si>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</si>
  <si>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</si>
  <si>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</si>
  <si>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</si>
  <si>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</si>
  <si>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</si>
  <si>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</si>
  <si>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</si>
  <si>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</si>
  <si>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</si>
  <si>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</si>
  <si>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</si>
  <si>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</si>
  <si>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</si>
  <si>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</si>
  <si>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</si>
  <si>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</si>
  <si>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</si>
  <si>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</si>
  <si>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</si>
  <si>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</si>
  <si>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</si>
  <si>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</si>
  <si>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</si>
  <si>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</si>
  <si>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</si>
  <si>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</si>
  <si>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</si>
  <si>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</si>
  <si>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</si>
  <si>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</si>
  <si>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</si>
  <si>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</si>
  <si>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</si>
  <si>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</si>
  <si>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</si>
  <si>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</si>
  <si>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</si>
  <si>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</si>
  <si>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</si>
  <si>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</si>
  <si>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</si>
  <si>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</si>
  <si>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</si>
  <si>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</si>
  <si>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</si>
  <si>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</si>
  <si>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</si>
  <si>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</si>
  <si>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</si>
  <si>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</si>
  <si>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</si>
  <si>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</si>
  <si>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</si>
  <si>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</si>
  <si>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</si>
  <si>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</si>
  <si>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</si>
  <si>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</si>
  <si>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</si>
  <si>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</si>
  <si>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</si>
  <si>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</si>
  <si>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</si>
  <si>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</si>
  <si>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</si>
  <si>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</si>
  <si>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</si>
  <si>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</si>
  <si>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</si>
  <si>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</si>
  <si>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</si>
  <si>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</si>
  <si>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</si>
  <si>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</si>
  <si>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</si>
  <si>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</si>
  <si>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</si>
  <si>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</si>
  <si>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</si>
  <si>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</si>
  <si>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</si>
  <si>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</si>
  <si>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</si>
  <si>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</si>
  <si>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</si>
  <si>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</si>
  <si>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</si>
  <si>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</si>
  <si>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</si>
  <si>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</si>
  <si>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</si>
  <si>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</si>
  <si>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</si>
  <si>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</si>
  <si>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</si>
  <si>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</si>
  <si>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</si>
  <si>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</si>
  <si>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</si>
  <si>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</si>
  <si>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</si>
  <si>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</si>
  <si>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</si>
  <si>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</si>
  <si>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</si>
  <si>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</si>
  <si>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</si>
  <si>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</si>
  <si>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</si>
  <si>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</si>
  <si>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</si>
  <si>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</si>
  <si>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</si>
  <si>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</si>
  <si>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</si>
  <si>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</si>
  <si>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</si>
  <si>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</si>
  <si>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</si>
  <si>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</si>
  <si>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</si>
  <si>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</si>
  <si>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</si>
  <si>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</si>
  <si>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</si>
  <si>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</si>
  <si>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</si>
  <si>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</si>
  <si>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</si>
  <si>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</si>
  <si>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</si>
  <si>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</si>
  <si>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</si>
  <si>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</si>
  <si>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</si>
  <si>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</si>
  <si>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</si>
  <si>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</si>
  <si>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</si>
  <si>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</si>
  <si>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</si>
  <si>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</si>
  <si>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</si>
  <si>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</si>
  <si>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</si>
  <si>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</si>
  <si>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</si>
  <si>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</si>
  <si>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</si>
  <si>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</si>
  <si>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</si>
  <si>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</si>
  <si>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</si>
  <si>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</si>
  <si>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</si>
  <si>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</si>
  <si>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</si>
  <si>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</si>
  <si>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</si>
  <si>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</si>
  <si>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</si>
  <si>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</si>
  <si>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</si>
  <si>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</si>
  <si>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</si>
  <si>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</si>
  <si>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</si>
  <si>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</si>
  <si>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</si>
  <si>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</si>
  <si>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</si>
  <si>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</si>
  <si>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</si>
  <si>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</si>
  <si>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</si>
  <si>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</si>
  <si>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</si>
  <si>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</si>
  <si>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</si>
  <si>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</si>
  <si>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</si>
  <si>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</si>
  <si>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</si>
  <si>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</si>
  <si>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</si>
  <si>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</si>
  <si>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</si>
  <si>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</si>
  <si>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</si>
  <si>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</si>
  <si>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</si>
  <si>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</si>
  <si>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</si>
  <si>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</si>
  <si>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</si>
  <si>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</si>
  <si>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</si>
  <si>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</si>
  <si>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</si>
  <si>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</si>
  <si>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</si>
  <si>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</si>
  <si>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</si>
  <si>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</si>
  <si>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</si>
  <si>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</si>
  <si>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</si>
  <si>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</si>
  <si>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</si>
  <si>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</si>
  <si>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</si>
  <si>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</si>
  <si>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</si>
  <si>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</si>
  <si>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</si>
  <si>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</si>
  <si>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</si>
  <si>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</si>
  <si>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</si>
  <si>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</si>
  <si>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</si>
  <si>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</si>
  <si>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</si>
  <si>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</si>
  <si>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</si>
  <si>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</si>
  <si>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</si>
  <si>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</si>
  <si>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</si>
  <si>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</si>
  <si>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</si>
  <si>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</si>
  <si>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</si>
  <si>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</si>
  <si>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</si>
  <si>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</si>
  <si>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</si>
  <si>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</si>
  <si>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</si>
  <si>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</si>
  <si>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</si>
  <si>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</si>
  <si>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</si>
  <si>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</si>
  <si>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</si>
  <si>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</si>
  <si>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</si>
  <si>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</si>
  <si>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</si>
  <si>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</si>
  <si>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</si>
  <si>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</si>
  <si>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</si>
  <si>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</si>
  <si>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</si>
  <si>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</si>
  <si>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</si>
  <si>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</si>
  <si>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</si>
  <si>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</si>
  <si>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</si>
  <si>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</si>
  <si>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</si>
  <si>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</si>
  <si>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</si>
  <si>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</si>
  <si>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</si>
  <si>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</si>
  <si>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</si>
  <si>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</si>
  <si>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</si>
  <si>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</si>
  <si>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</si>
  <si>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</si>
  <si>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</si>
  <si>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</si>
  <si>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</si>
  <si>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</si>
  <si>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</si>
  <si>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</si>
  <si>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</si>
  <si>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</si>
  <si>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</si>
  <si>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</si>
  <si>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</si>
  <si>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</si>
  <si>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</si>
  <si>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</si>
  <si>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</si>
  <si>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</si>
  <si>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</si>
  <si>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</si>
  <si>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</si>
  <si>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</si>
  <si>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</si>
  <si>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</si>
  <si>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</si>
  <si>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</si>
  <si>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</si>
  <si>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</si>
  <si>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</si>
  <si>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</si>
  <si>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</si>
  <si>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</si>
  <si>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</si>
  <si>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</si>
  <si>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</si>
  <si>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</si>
  <si>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</si>
  <si>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</si>
  <si>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</si>
  <si>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</si>
  <si>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</si>
  <si>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</si>
  <si>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</si>
  <si>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</si>
  <si>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</si>
  <si>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</si>
  <si>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</si>
  <si>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</si>
  <si>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</si>
  <si>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</si>
  <si>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</si>
  <si>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</si>
  <si>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</si>
  <si>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</si>
  <si>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</si>
  <si>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</si>
  <si>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</si>
  <si>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</si>
  <si>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</si>
  <si>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</si>
  <si>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</si>
  <si>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</si>
  <si>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</si>
  <si>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</si>
  <si>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</si>
  <si>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</si>
  <si>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</si>
  <si>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</si>
  <si>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</si>
  <si>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</si>
  <si>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</si>
  <si>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</si>
  <si>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</si>
  <si>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</si>
  <si>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</si>
  <si>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</si>
  <si>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</si>
  <si>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</si>
  <si>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</si>
  <si>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</si>
  <si>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</si>
  <si>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</si>
  <si>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</si>
  <si>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</si>
  <si>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</si>
  <si>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</si>
  <si>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</si>
  <si>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</si>
  <si>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</si>
  <si>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</si>
  <si>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</si>
  <si>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</si>
  <si>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</si>
  <si>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</si>
  <si>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</si>
  <si>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</si>
  <si>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</si>
  <si>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</si>
  <si>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</si>
  <si>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</si>
  <si>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</si>
  <si>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</si>
  <si>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</si>
  <si>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</si>
  <si>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</si>
  <si>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</si>
  <si>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</si>
  <si>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</si>
  <si>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</si>
  <si>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</si>
  <si>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</si>
  <si>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</si>
  <si>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</si>
  <si>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</si>
  <si>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</si>
  <si>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</si>
  <si>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</si>
  <si>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</si>
  <si>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</si>
  <si>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</si>
  <si>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</si>
  <si>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</si>
  <si>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</si>
  <si>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</si>
  <si>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</si>
  <si>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</si>
  <si>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</si>
  <si>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</si>
  <si>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</si>
  <si>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</si>
  <si>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</si>
  <si>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</si>
  <si>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</si>
  <si>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</si>
  <si>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</si>
  <si>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</si>
  <si>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</si>
  <si>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</si>
  <si>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</si>
  <si>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</si>
  <si>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</si>
  <si>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</si>
  <si>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</si>
  <si>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</si>
  <si>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</si>
  <si>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</si>
  <si>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</si>
  <si>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</si>
  <si>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</si>
  <si>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</si>
  <si>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</si>
  <si>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</si>
  <si>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</si>
  <si>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</si>
  <si>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</si>
  <si>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</si>
  <si>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</si>
  <si>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</si>
  <si>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</si>
  <si>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</si>
  <si>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</si>
  <si>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</si>
  <si>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</si>
  <si>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</si>
  <si>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</si>
  <si>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</si>
  <si>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</si>
  <si>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</si>
  <si>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</si>
  <si>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</si>
  <si>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</si>
  <si>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</si>
  <si>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</si>
  <si>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</si>
  <si>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</si>
  <si>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</si>
  <si>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</si>
  <si>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</si>
  <si>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</si>
  <si>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</si>
  <si>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</si>
  <si>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</si>
  <si>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</si>
  <si>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</si>
  <si>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</si>
  <si>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</si>
  <si>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</si>
  <si>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</si>
  <si>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</si>
  <si>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</si>
  <si>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</si>
  <si>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</si>
  <si>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</si>
  <si>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</si>
  <si>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</si>
  <si>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</si>
  <si>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</si>
  <si>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</si>
  <si>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</si>
  <si>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</si>
  <si>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</si>
  <si>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</si>
  <si>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</si>
  <si>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</si>
  <si>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</si>
  <si>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</si>
  <si>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</si>
  <si>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</si>
  <si>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</si>
  <si>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</si>
  <si>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</si>
  <si>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</si>
  <si>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</si>
  <si>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</si>
  <si>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</si>
  <si>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</si>
  <si>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</si>
  <si>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</si>
  <si>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</si>
  <si>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</si>
  <si>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</si>
  <si>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</si>
  <si>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</si>
  <si>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</si>
  <si>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</si>
  <si>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</si>
  <si>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</si>
  <si>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</si>
  <si>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</si>
  <si>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</si>
  <si>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</si>
  <si>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</si>
  <si>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</si>
  <si>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</si>
  <si>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</si>
  <si>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</si>
  <si>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</si>
  <si>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</si>
  <si>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</si>
  <si>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</si>
  <si>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</si>
  <si>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</si>
  <si>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</si>
  <si>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</si>
  <si>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</si>
  <si>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</si>
  <si>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</si>
  <si>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</si>
  <si>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</si>
  <si>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</si>
  <si>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</si>
  <si>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</si>
  <si>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</si>
  <si>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</si>
  <si>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</si>
  <si>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</si>
  <si>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</si>
  <si>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</si>
  <si>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</si>
  <si>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</si>
  <si>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</si>
  <si>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</si>
  <si>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</si>
  <si>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</si>
  <si>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</si>
  <si>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</si>
  <si>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</si>
  <si>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</si>
  <si>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</si>
  <si>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</si>
  <si>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</si>
  <si>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</si>
  <si>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</si>
  <si>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</si>
  <si>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</si>
  <si>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</si>
  <si>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</si>
  <si>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</si>
  <si>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</si>
  <si>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</si>
  <si>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</si>
  <si>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</si>
  <si>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</si>
  <si>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</si>
  <si>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</si>
  <si>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</si>
  <si>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</si>
  <si>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</si>
  <si>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</si>
  <si>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</si>
  <si>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</si>
  <si>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</si>
  <si>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</si>
  <si>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</si>
  <si>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</si>
  <si>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</si>
  <si>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</si>
  <si>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</si>
  <si>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</si>
  <si>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</si>
  <si>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</si>
  <si>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</si>
  <si>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</si>
  <si>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</si>
  <si>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</si>
  <si>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</si>
  <si>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</si>
  <si>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</si>
  <si>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</si>
  <si>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</si>
  <si>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</si>
  <si>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</si>
  <si>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</si>
  <si>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</si>
  <si>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</si>
  <si>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</si>
  <si>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</si>
  <si>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</si>
  <si>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</si>
  <si>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</si>
  <si>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</si>
  <si>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</si>
  <si>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</si>
  <si>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</si>
  <si>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</si>
  <si>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</si>
  <si>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</si>
  <si>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</si>
  <si>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</si>
  <si>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</si>
  <si>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</si>
  <si>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</si>
  <si>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</si>
  <si>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</si>
  <si>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</si>
  <si>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</si>
  <si>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</si>
  <si>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</si>
  <si>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</si>
  <si>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</si>
  <si>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</si>
  <si>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</si>
  <si>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</si>
  <si>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</si>
  <si>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</si>
  <si>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</si>
  <si>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</si>
  <si>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</si>
  <si>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</si>
  <si>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</si>
  <si>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</si>
  <si>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</si>
  <si>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</si>
  <si>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</si>
  <si>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</si>
  <si>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</si>
  <si>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</si>
  <si>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</si>
  <si>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</si>
  <si>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</si>
  <si>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</si>
  <si>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</si>
  <si>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</si>
  <si>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</si>
  <si>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</si>
  <si>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</si>
  <si>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</si>
  <si>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</si>
  <si>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</si>
  <si>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</si>
  <si>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</si>
  <si>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</si>
  <si>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</si>
  <si>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</si>
  <si>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</si>
  <si>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</si>
  <si>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</si>
  <si>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</si>
  <si>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</si>
  <si>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</si>
  <si>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</si>
  <si>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</si>
  <si>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</si>
  <si>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</si>
  <si>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</si>
  <si>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</si>
  <si>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</si>
  <si>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</si>
  <si>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</si>
  <si>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</si>
  <si>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</si>
  <si>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</si>
  <si>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</si>
  <si>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</si>
  <si>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</si>
  <si>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</si>
  <si>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</si>
  <si>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</si>
  <si>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</si>
  <si>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</si>
  <si>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</si>
  <si>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</si>
  <si>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</si>
  <si>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</si>
  <si>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</si>
  <si>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</si>
  <si>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</si>
  <si>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</si>
  <si>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</si>
  <si>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</si>
  <si>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</si>
  <si>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</si>
  <si>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</si>
  <si>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</si>
  <si>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</si>
  <si>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</si>
  <si>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</si>
  <si>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</si>
  <si>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</si>
  <si>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</si>
  <si>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</si>
  <si>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</si>
  <si>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</si>
  <si>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</si>
  <si>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</si>
  <si>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</si>
  <si>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</si>
  <si>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</si>
  <si>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</si>
  <si>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</si>
  <si>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</si>
  <si>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</si>
  <si>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</si>
  <si>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</si>
  <si>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</si>
  <si>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</si>
  <si>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</si>
  <si>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</si>
  <si>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</si>
  <si>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</si>
  <si>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</si>
  <si>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</si>
  <si>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</si>
  <si>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</si>
  <si>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</si>
  <si>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</si>
  <si>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</si>
  <si>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</si>
  <si>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</si>
  <si>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</si>
  <si>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</si>
  <si>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</si>
  <si>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</si>
  <si>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</si>
  <si>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</si>
  <si>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</si>
  <si>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</si>
  <si>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</si>
  <si>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</si>
  <si>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</si>
  <si>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</si>
  <si>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</si>
  <si>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</si>
  <si>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</si>
  <si>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</si>
  <si>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</si>
  <si>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</si>
  <si>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</si>
  <si>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</si>
  <si>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</si>
  <si>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</si>
  <si>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</si>
  <si>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</si>
  <si>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</si>
  <si>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</si>
  <si>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</si>
  <si>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</si>
  <si>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</si>
  <si>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</si>
  <si>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</si>
  <si>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</si>
  <si>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</si>
  <si>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</si>
  <si>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</si>
  <si>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</si>
  <si>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</si>
  <si>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</si>
  <si>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</si>
  <si>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</si>
  <si>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</si>
  <si>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</si>
  <si>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</si>
  <si>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</si>
  <si>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</si>
  <si>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</si>
  <si>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</si>
  <si>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</si>
  <si>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</si>
  <si>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</si>
  <si>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</si>
  <si>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</si>
  <si>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</si>
  <si>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</si>
  <si>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</si>
  <si>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</si>
  <si>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</si>
  <si>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</si>
  <si>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</si>
  <si>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</si>
  <si>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</si>
  <si>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</si>
  <si>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</si>
  <si>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</si>
  <si>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</si>
  <si>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</si>
  <si>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</si>
  <si>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</si>
  <si>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</si>
  <si>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</si>
  <si>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</si>
  <si>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</si>
  <si>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</si>
  <si>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</si>
  <si>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</si>
  <si>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</si>
  <si>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</si>
  <si>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</si>
  <si>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</si>
  <si>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</si>
  <si>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</si>
  <si>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</si>
  <si>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</si>
  <si>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</si>
  <si>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</si>
  <si>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</si>
  <si>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</si>
  <si>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</si>
  <si>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</si>
  <si>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</si>
  <si>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</si>
  <si>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</si>
  <si>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</si>
  <si>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</si>
  <si>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</si>
  <si>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</si>
  <si>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</si>
  <si>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</si>
  <si>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</si>
  <si>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</si>
  <si>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</si>
  <si>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</si>
  <si>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</si>
  <si>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</si>
  <si>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</si>
  <si>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</si>
  <si>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</si>
  <si>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</si>
  <si>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</si>
  <si>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</si>
  <si>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</si>
  <si>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</si>
  <si>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</si>
  <si>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</si>
  <si>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</si>
  <si>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</si>
  <si>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</si>
  <si>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</si>
  <si>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</si>
  <si>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</si>
  <si>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</si>
  <si>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</si>
  <si>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</si>
  <si>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</si>
  <si>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</si>
  <si>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</si>
  <si>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</si>
  <si>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</si>
  <si>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</si>
  <si>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</si>
  <si>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</si>
  <si>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</si>
  <si>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</si>
  <si>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</si>
  <si>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</si>
  <si>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</si>
  <si>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</si>
  <si>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</si>
  <si>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</si>
  <si>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</si>
  <si>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</si>
  <si>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</si>
  <si>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</si>
  <si>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</si>
  <si>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</si>
  <si>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</si>
  <si>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</si>
  <si>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</si>
  <si>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</si>
  <si>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</si>
  <si>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</si>
  <si>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</si>
  <si>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</si>
  <si>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</si>
  <si>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</si>
  <si>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</si>
  <si>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</si>
  <si>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</si>
  <si>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</si>
  <si>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</si>
  <si>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</si>
  <si>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</si>
  <si>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</si>
  <si>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</si>
  <si>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</si>
  <si>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</si>
  <si>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</si>
  <si>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</si>
  <si>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</si>
  <si>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</si>
  <si>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</si>
  <si>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</si>
  <si>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</si>
  <si>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</si>
  <si>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</si>
  <si>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</si>
  <si>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</si>
  <si>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</si>
  <si>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</si>
  <si>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</si>
  <si>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</si>
  <si>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</si>
  <si>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</si>
  <si>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</si>
  <si>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</si>
  <si>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</si>
  <si>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</si>
  <si>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</si>
  <si>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</si>
  <si>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</si>
  <si>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</si>
  <si>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</si>
  <si>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</si>
  <si>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</si>
  <si>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</si>
  <si>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</si>
  <si>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</si>
  <si>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</si>
  <si>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</si>
  <si>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</si>
  <si>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</si>
  <si>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</si>
  <si>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</si>
  <si>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</si>
  <si>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</si>
  <si>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</si>
  <si>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</si>
  <si>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</si>
  <si>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</si>
  <si>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</si>
  <si>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</si>
  <si>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</si>
  <si>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</si>
  <si>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</si>
  <si>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</si>
  <si>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</si>
  <si>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</si>
  <si>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</si>
  <si>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</si>
  <si>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</si>
  <si>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</si>
  <si>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</si>
  <si>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</si>
  <si>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</si>
  <si>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</si>
  <si>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</si>
  <si>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</si>
  <si>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</si>
  <si>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</si>
  <si>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</si>
  <si>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</si>
  <si>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</si>
  <si>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</si>
  <si>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</si>
  <si>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</si>
  <si>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</si>
  <si>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</si>
  <si>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</si>
  <si>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</si>
  <si>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</si>
  <si>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</si>
  <si>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</si>
  <si>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</si>
  <si>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</si>
  <si>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</si>
  <si>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</si>
  <si>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</si>
  <si>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</si>
  <si>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</si>
  <si>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</si>
  <si>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</si>
  <si>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</si>
  <si>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</si>
  <si>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</si>
  <si>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</si>
  <si>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</si>
  <si>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</si>
  <si>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</si>
  <si>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</si>
  <si>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</si>
  <si>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</si>
  <si>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</si>
  <si>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</si>
  <si>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</si>
  <si>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</si>
  <si>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</si>
  <si>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</si>
  <si>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</si>
  <si>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</si>
  <si>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</si>
  <si>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</si>
  <si>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</si>
  <si>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</si>
  <si>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</si>
  <si>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</si>
  <si>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</si>
  <si>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</si>
  <si>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</si>
  <si>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</si>
  <si>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</si>
  <si>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</si>
  <si>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</si>
  <si>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</si>
  <si>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</si>
  <si>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</si>
  <si>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</si>
  <si>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</si>
  <si>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</si>
  <si>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</si>
  <si>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</si>
  <si>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</si>
  <si>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</si>
  <si>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</si>
  <si>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</si>
  <si>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</si>
  <si>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</si>
  <si>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</si>
  <si>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</si>
  <si>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</si>
  <si>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</si>
  <si>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</si>
  <si>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</si>
  <si>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</si>
  <si>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</si>
  <si>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</si>
  <si>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</si>
  <si>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</si>
  <si>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</si>
  <si>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</si>
  <si>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</si>
  <si>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</si>
  <si>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</si>
  <si>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</si>
  <si>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</si>
  <si>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</si>
  <si>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</si>
  <si>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</si>
  <si>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</si>
  <si>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</si>
  <si>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</si>
  <si>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</si>
  <si>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</si>
  <si>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</si>
  <si>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</si>
  <si>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</si>
  <si>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</si>
  <si>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</si>
  <si>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</si>
  <si>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</si>
  <si>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</si>
  <si>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</si>
  <si>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</si>
  <si>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</si>
  <si>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</si>
  <si>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</si>
  <si>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</si>
  <si>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</si>
  <si>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</si>
  <si>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</si>
  <si>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</si>
  <si>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</si>
  <si>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</si>
  <si>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</si>
  <si>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</si>
  <si>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</si>
  <si>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</si>
  <si>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</si>
  <si>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</si>
  <si>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</si>
  <si>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</si>
  <si>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</si>
  <si>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</si>
  <si>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</si>
  <si>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</si>
  <si>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</si>
  <si>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</si>
  <si>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</si>
  <si>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</si>
  <si>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</si>
  <si>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</si>
  <si>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</si>
  <si>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</si>
  <si>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</si>
  <si>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</si>
  <si>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</si>
  <si>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</si>
  <si>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</si>
  <si>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</si>
  <si>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</si>
  <si>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</si>
  <si>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</si>
  <si>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</si>
  <si>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</si>
  <si>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</si>
  <si>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</si>
  <si>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</si>
  <si>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</si>
  <si>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</si>
  <si>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</si>
  <si>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</si>
  <si>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</si>
  <si>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</si>
  <si>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</si>
  <si>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</si>
  <si>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</si>
  <si>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</si>
  <si>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</si>
  <si>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</si>
  <si>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</si>
  <si>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</si>
  <si>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</si>
  <si>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</si>
  <si>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</si>
  <si>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</si>
  <si>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</si>
  <si>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</si>
  <si>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</si>
  <si>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</si>
  <si>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</si>
  <si>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</si>
  <si>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</si>
  <si>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</si>
  <si>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</si>
  <si>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</si>
  <si>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</si>
  <si>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</si>
  <si>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</si>
  <si>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</si>
  <si>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</si>
  <si>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</si>
  <si>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</si>
  <si>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</si>
  <si>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</si>
  <si>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</si>
  <si>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</si>
  <si>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</si>
  <si>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</si>
  <si>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</si>
  <si>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</si>
  <si>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</si>
  <si>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</si>
  <si>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</si>
  <si>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</si>
  <si>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</si>
  <si>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</si>
  <si>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</si>
  <si>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</si>
  <si>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</si>
  <si>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</si>
  <si>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</si>
  <si>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</si>
  <si>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</si>
  <si>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</si>
  <si>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</si>
  <si>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</si>
  <si>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</si>
  <si>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</si>
  <si>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</si>
  <si>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</si>
  <si>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</si>
  <si>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</si>
  <si>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</si>
  <si>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</si>
  <si>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</si>
  <si>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</si>
  <si>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</si>
  <si>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</si>
  <si>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</si>
  <si>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</si>
  <si>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</si>
  <si>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</si>
  <si>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</si>
  <si>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</si>
  <si>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</si>
  <si>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</si>
  <si>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</si>
  <si>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</si>
  <si>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</si>
  <si>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</si>
  <si>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</si>
  <si>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</si>
  <si>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</si>
  <si>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</si>
  <si>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</si>
  <si>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</si>
  <si>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</si>
  <si>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</si>
  <si>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</si>
  <si>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</si>
  <si>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</si>
  <si>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</si>
  <si>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</si>
  <si>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</si>
  <si>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</si>
  <si>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</si>
  <si>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</si>
  <si>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</si>
  <si>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</si>
  <si>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</si>
  <si>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</si>
  <si>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</si>
  <si>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</si>
  <si>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</si>
  <si>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</si>
  <si>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</si>
  <si>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</si>
  <si>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</si>
  <si>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</si>
  <si>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</si>
  <si>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</si>
  <si>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</si>
  <si>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</si>
  <si>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</si>
  <si>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</si>
  <si>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</si>
  <si>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</si>
  <si>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</si>
  <si>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</si>
  <si>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</si>
  <si>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</si>
  <si>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</si>
  <si>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</si>
  <si>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</si>
  <si>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</si>
  <si>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</si>
  <si>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</si>
  <si>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</si>
  <si>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</si>
  <si>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</si>
  <si>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</si>
  <si>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</si>
  <si>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</si>
  <si>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</si>
  <si>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</si>
  <si>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</si>
  <si>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</si>
  <si>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</si>
  <si>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</si>
  <si>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</si>
  <si>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</si>
  <si>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</si>
  <si>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</si>
  <si>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</si>
  <si>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</si>
  <si>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</si>
  <si>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</si>
  <si>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</si>
  <si>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</si>
  <si>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</si>
  <si>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</si>
  <si>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</si>
  <si>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</si>
  <si>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</si>
  <si>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</si>
  <si>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</si>
  <si>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</si>
  <si>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</si>
  <si>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</si>
  <si>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</si>
  <si>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</si>
  <si>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</si>
  <si>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</si>
  <si>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</si>
  <si>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</si>
  <si>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</si>
  <si>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</si>
  <si>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</si>
  <si>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</si>
  <si>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</si>
  <si>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</si>
  <si>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</si>
  <si>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</si>
  <si>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</si>
  <si>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</si>
  <si>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</si>
  <si>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</si>
  <si>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</si>
  <si>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</si>
  <si>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</si>
  <si>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</si>
  <si>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</si>
  <si>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</si>
  <si>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</si>
  <si>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</si>
  <si>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</si>
  <si>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</si>
  <si>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</si>
  <si>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</si>
  <si>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</si>
  <si>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</si>
  <si>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</si>
  <si>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</si>
  <si>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</si>
  <si>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</si>
  <si>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</si>
  <si>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</si>
  <si>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</si>
  <si>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</si>
  <si>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</si>
  <si>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</si>
  <si>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</si>
  <si>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</si>
  <si>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</si>
  <si>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</si>
  <si>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</si>
  <si>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</si>
  <si>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</si>
  <si>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</si>
  <si>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</si>
  <si>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</si>
  <si>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</si>
  <si>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</si>
  <si>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</si>
  <si>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</si>
  <si>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</si>
  <si>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</si>
  <si>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</si>
  <si>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</si>
  <si>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</si>
  <si>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</si>
  <si>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</si>
  <si>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</si>
  <si>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</si>
  <si>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</si>
  <si>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</si>
  <si>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</si>
  <si>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</si>
  <si>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</si>
  <si>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</si>
  <si>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</si>
  <si>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</si>
  <si>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</si>
  <si>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</si>
  <si>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</si>
  <si>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</si>
  <si>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</si>
  <si>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</si>
  <si>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</si>
  <si>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</si>
  <si>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</si>
  <si>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</si>
  <si>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</si>
  <si>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</si>
  <si>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</si>
  <si>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</si>
  <si>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</si>
  <si>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</si>
  <si>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</si>
  <si>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</si>
  <si>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</si>
  <si>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</si>
  <si>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</si>
  <si>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</si>
  <si>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</si>
  <si>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</si>
  <si>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</si>
  <si>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</si>
  <si>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</si>
  <si>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</si>
  <si>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</si>
  <si>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</si>
  <si>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</si>
  <si>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</si>
  <si>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</si>
  <si>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</si>
  <si>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</si>
  <si>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</si>
  <si>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</si>
  <si>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</si>
  <si>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</si>
  <si>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</si>
  <si>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</si>
  <si>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</si>
  <si>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</si>
  <si>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</si>
  <si>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</si>
  <si>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</si>
  <si>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</si>
  <si>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</si>
  <si>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</si>
  <si>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</si>
  <si>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</si>
  <si>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</si>
  <si>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</si>
  <si>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</si>
  <si>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</si>
  <si>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</si>
  <si>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</si>
  <si>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</si>
  <si>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</si>
  <si>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</si>
  <si>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</si>
  <si>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</si>
  <si>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</si>
  <si>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</si>
  <si>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</si>
  <si>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</si>
  <si>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</si>
  <si>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</si>
  <si>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</si>
  <si>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</si>
  <si>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</si>
  <si>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</si>
  <si>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</si>
  <si>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</si>
  <si>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</si>
  <si>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</si>
  <si>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</si>
  <si>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</si>
  <si>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</si>
  <si>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</si>
  <si>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</si>
  <si>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</si>
  <si>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</si>
  <si>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</si>
  <si>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</si>
  <si>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</si>
  <si>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</si>
  <si>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</si>
  <si>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</si>
  <si>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</si>
  <si>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</si>
  <si>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</si>
  <si>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</si>
  <si>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</si>
  <si>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</si>
  <si>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</si>
  <si>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</si>
  <si>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</si>
  <si>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</si>
  <si>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</si>
  <si>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</si>
  <si>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</si>
  <si>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</si>
  <si>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</si>
  <si>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</si>
  <si>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</si>
  <si>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</si>
  <si>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</si>
  <si>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</si>
  <si>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</si>
  <si>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</si>
  <si>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</si>
  <si>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</si>
  <si>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</si>
  <si>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</si>
  <si>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</si>
  <si>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</si>
  <si>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</si>
  <si>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</si>
  <si>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</si>
  <si>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</si>
  <si>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</si>
  <si>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</si>
  <si>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</si>
  <si>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</si>
  <si>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</si>
  <si>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</si>
  <si>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</si>
  <si>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</si>
  <si>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</si>
  <si>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</si>
  <si>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</si>
  <si>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</si>
  <si>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</si>
  <si>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</si>
  <si>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</si>
  <si>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</si>
  <si>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</si>
  <si>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</si>
  <si>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</si>
  <si>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</si>
  <si>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</si>
  <si>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</si>
  <si>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</si>
  <si>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</si>
  <si>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</si>
  <si>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</si>
  <si>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</si>
  <si>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</si>
  <si>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</si>
  <si>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</si>
  <si>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</si>
  <si>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</si>
  <si>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</si>
  <si>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</si>
  <si>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</si>
  <si>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</si>
  <si>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</si>
  <si>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</si>
  <si>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</si>
  <si>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</si>
  <si>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</si>
  <si>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</si>
  <si>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</si>
  <si>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</si>
  <si>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</si>
  <si>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</si>
  <si>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</si>
  <si>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</si>
  <si>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</si>
  <si>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</si>
  <si>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</si>
  <si>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</si>
  <si>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</si>
  <si>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</si>
  <si>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</si>
  <si>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</si>
  <si>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</si>
  <si>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</si>
  <si>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</si>
  <si>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</si>
  <si>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</si>
  <si>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</si>
  <si>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</si>
  <si>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</si>
  <si>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</si>
  <si>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</si>
  <si>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</si>
  <si>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</si>
  <si>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</si>
  <si>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</si>
  <si>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</si>
  <si>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</si>
  <si>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</si>
  <si>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</si>
  <si>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</si>
  <si>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</si>
  <si>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</si>
  <si>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</si>
  <si>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</si>
  <si>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</si>
  <si>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</si>
  <si>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</si>
  <si>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</si>
  <si>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</si>
  <si>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</si>
  <si>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</si>
  <si>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</si>
  <si>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</si>
  <si>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</si>
  <si>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</si>
  <si>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</si>
  <si>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</si>
  <si>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</si>
  <si>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</si>
  <si>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</si>
  <si>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</si>
  <si>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</si>
  <si>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</si>
  <si>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</si>
  <si>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</si>
  <si>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</si>
  <si>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</si>
  <si>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</si>
  <si>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</si>
  <si>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</si>
  <si>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</si>
  <si>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</si>
  <si>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</si>
  <si>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</si>
  <si>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</si>
  <si>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</si>
  <si>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</si>
  <si>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</si>
  <si>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</si>
  <si>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</si>
  <si>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</si>
  <si>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</si>
  <si>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</si>
  <si>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</si>
  <si>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</si>
  <si>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</si>
  <si>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</si>
  <si>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</si>
  <si>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</si>
  <si>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</si>
  <si>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</si>
  <si>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</si>
  <si>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</si>
  <si>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</si>
  <si>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</si>
  <si>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</si>
  <si>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</si>
  <si>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</si>
  <si>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</si>
  <si>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</si>
  <si>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</si>
  <si>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</si>
  <si>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</si>
  <si>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</si>
  <si>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</si>
  <si>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</si>
  <si>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</si>
  <si>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</si>
  <si>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</si>
  <si>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</si>
  <si>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</si>
  <si>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</si>
  <si>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</si>
  <si>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</si>
  <si>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</si>
  <si>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</si>
  <si>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</si>
  <si>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</si>
  <si>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</si>
  <si>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</si>
  <si>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</si>
  <si>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</si>
  <si>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</si>
  <si>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</si>
  <si>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</si>
  <si>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</si>
  <si>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</si>
  <si>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</si>
  <si>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</si>
  <si>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</si>
  <si>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</si>
  <si>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</si>
  <si>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</si>
  <si>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</si>
  <si>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</si>
  <si>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</si>
  <si>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</si>
  <si>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</si>
  <si>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</si>
  <si>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</si>
  <si>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</si>
  <si>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</si>
  <si>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</si>
  <si>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</si>
  <si>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</si>
  <si>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</si>
  <si>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</si>
  <si>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</si>
  <si>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</si>
  <si>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</si>
  <si>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</si>
  <si>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</si>
  <si>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</si>
  <si>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</si>
  <si>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</si>
  <si>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</si>
  <si>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</si>
  <si>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</si>
  <si>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</si>
  <si>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</si>
  <si>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</si>
  <si>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</si>
  <si>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</si>
  <si>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</si>
  <si>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</si>
  <si>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</si>
  <si>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</si>
  <si>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</si>
  <si>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</si>
  <si>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</si>
  <si>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</si>
  <si>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</si>
  <si>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</si>
  <si>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</si>
  <si>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</si>
  <si>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</si>
  <si>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</si>
  <si>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</si>
  <si>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</si>
  <si>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</si>
  <si>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</si>
  <si>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</si>
  <si>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</si>
  <si>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</si>
  <si>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</si>
  <si>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</si>
  <si>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</si>
  <si>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</si>
  <si>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</si>
  <si>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</si>
  <si>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</si>
  <si>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</si>
  <si>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</si>
  <si>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</si>
  <si>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</si>
  <si>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</si>
  <si>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</si>
  <si>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</si>
  <si>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</si>
  <si>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</si>
  <si>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</si>
  <si>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</si>
  <si>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</si>
  <si>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</si>
  <si>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</si>
  <si>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</si>
  <si>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</si>
  <si>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</si>
  <si>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</si>
  <si>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</si>
  <si>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</si>
  <si>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</si>
  <si>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</si>
  <si>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</si>
  <si>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</si>
  <si>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</si>
  <si>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</si>
  <si>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</si>
  <si>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</si>
  <si>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</si>
  <si>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</si>
  <si>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</si>
  <si>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</si>
  <si>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</si>
  <si>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</si>
  <si>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</si>
  <si>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</si>
  <si>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</si>
  <si>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</si>
  <si>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</si>
  <si>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</si>
  <si>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</si>
  <si>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</si>
  <si>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</si>
  <si>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</si>
  <si>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</si>
  <si>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</si>
  <si>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</si>
  <si>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</si>
  <si>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</si>
  <si>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</si>
  <si>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</si>
  <si>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</si>
  <si>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</si>
  <si>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</si>
  <si>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</si>
  <si>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</si>
  <si>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</si>
  <si>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</si>
  <si>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</si>
  <si>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</si>
  <si>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</si>
  <si>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</si>
  <si>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</si>
  <si>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</si>
  <si>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</si>
  <si>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</si>
  <si>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</si>
  <si>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</si>
  <si>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</si>
  <si>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</si>
  <si>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</si>
  <si>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</si>
  <si>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</si>
  <si>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</si>
  <si>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</si>
  <si>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</si>
  <si>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</si>
  <si>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</si>
  <si>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</si>
  <si>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</si>
  <si>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</si>
  <si>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</si>
  <si>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</si>
  <si>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</si>
  <si>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</si>
  <si>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</si>
  <si>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</si>
  <si>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</si>
  <si>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</si>
  <si>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</si>
  <si>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</si>
  <si>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</si>
  <si>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</si>
  <si>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</si>
  <si>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</si>
  <si>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</si>
  <si>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</si>
  <si>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</si>
  <si>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</si>
  <si>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</si>
  <si>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</si>
  <si>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</si>
  <si>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</si>
  <si>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</si>
  <si>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</si>
  <si>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</si>
  <si>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</si>
  <si>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</si>
  <si>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</si>
  <si>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</si>
  <si>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</si>
  <si>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</si>
  <si>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</si>
  <si>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</si>
  <si>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</si>
  <si>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</si>
  <si>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</si>
  <si>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</si>
  <si>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</si>
  <si>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</si>
  <si>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</si>
  <si>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</si>
  <si>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</si>
  <si>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</si>
  <si>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</si>
  <si>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</si>
  <si>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</si>
  <si>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</si>
  <si>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</si>
  <si>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</si>
  <si>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</si>
  <si>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</si>
  <si>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</si>
  <si>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</si>
  <si>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</si>
  <si>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</si>
  <si>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</si>
  <si>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</si>
  <si>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</si>
  <si>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</si>
  <si>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</si>
  <si>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</si>
  <si>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</si>
  <si>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</si>
  <si>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</si>
  <si>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</si>
  <si>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</si>
  <si>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</si>
  <si>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</si>
  <si>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</si>
  <si>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</si>
  <si>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</si>
  <si>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</si>
  <si>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</si>
  <si>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</si>
  <si>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</si>
  <si>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</si>
  <si>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</si>
  <si>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</si>
  <si>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</si>
  <si>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</si>
  <si>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</si>
  <si>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</si>
  <si>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</si>
  <si>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</si>
  <si>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</si>
  <si>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</si>
  <si>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</si>
  <si>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</si>
  <si>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</si>
  <si>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</si>
  <si>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</si>
  <si>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</si>
  <si>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</si>
  <si>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</si>
  <si>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</si>
  <si>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</si>
  <si>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</si>
  <si>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</si>
  <si>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</si>
  <si>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</si>
  <si>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</si>
  <si>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</si>
  <si>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</si>
  <si>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</si>
  <si>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</si>
  <si>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</si>
  <si>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</si>
  <si>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</si>
  <si>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</si>
  <si>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</si>
  <si>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</si>
  <si>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</si>
  <si>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</si>
  <si>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</si>
  <si>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</si>
  <si>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</si>
  <si>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</si>
  <si>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</si>
  <si>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</si>
  <si>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</si>
  <si>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</si>
  <si>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</si>
  <si>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</si>
  <si>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</si>
  <si>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</si>
  <si>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</si>
  <si>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</si>
  <si>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</si>
  <si>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</si>
  <si>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</si>
  <si>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</si>
  <si>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</si>
  <si>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</si>
  <si>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</si>
  <si>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</si>
  <si>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</si>
  <si>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</si>
  <si>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</si>
  <si>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</si>
  <si>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</si>
  <si>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</si>
  <si>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</si>
  <si>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</si>
  <si>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</si>
  <si>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</si>
  <si>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</si>
  <si>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</si>
  <si>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</si>
  <si>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</si>
  <si>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</si>
  <si>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</si>
  <si>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</si>
  <si>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</si>
  <si>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</si>
  <si>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</si>
  <si>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</si>
  <si>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</si>
  <si>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</si>
  <si>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</si>
  <si>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</si>
  <si>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</si>
  <si>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</si>
  <si>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</si>
  <si>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</si>
  <si>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</si>
  <si>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</si>
  <si>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</si>
  <si>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</si>
  <si>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</si>
  <si>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</si>
  <si>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</si>
  <si>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</si>
  <si>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</si>
  <si>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</si>
  <si>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</si>
  <si>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</si>
  <si>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</si>
  <si>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</si>
  <si>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</si>
  <si>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</si>
  <si>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</si>
  <si>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</si>
  <si>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</si>
  <si>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</si>
  <si>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</si>
  <si>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</si>
  <si>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</si>
  <si>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</si>
  <si>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</si>
  <si>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</si>
  <si>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</si>
  <si>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</si>
  <si>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</si>
  <si>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</si>
  <si>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</si>
  <si>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</si>
  <si>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</si>
  <si>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</si>
  <si>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</si>
  <si>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</si>
  <si>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</si>
  <si>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</si>
  <si>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</si>
  <si>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</si>
  <si>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</si>
  <si>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</si>
  <si>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</si>
  <si>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</si>
  <si>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</si>
  <si>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</si>
  <si>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</si>
  <si>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</si>
  <si>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</si>
  <si>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</si>
  <si>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</si>
  <si>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</si>
  <si>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</si>
  <si>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</si>
  <si>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</si>
  <si>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</si>
  <si>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</si>
  <si>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</si>
  <si>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</si>
  <si>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</si>
  <si>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</si>
  <si>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</si>
  <si>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</si>
  <si>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</si>
  <si>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</si>
  <si>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</si>
  <si>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</si>
  <si>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</si>
  <si>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</si>
  <si>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</si>
  <si>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</si>
  <si>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</si>
  <si>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</si>
  <si>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</si>
  <si>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</si>
  <si>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</si>
  <si>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</si>
  <si>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</si>
  <si>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</si>
  <si>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</si>
  <si>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</si>
  <si>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</si>
  <si>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</si>
  <si>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</si>
  <si>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</si>
  <si>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</si>
  <si>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</si>
  <si>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</si>
  <si>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</si>
  <si>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</si>
  <si>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</si>
  <si>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</si>
  <si>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</si>
  <si>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</si>
  <si>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</si>
  <si>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</si>
  <si>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</si>
  <si>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</si>
  <si>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</si>
  <si>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</si>
  <si>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</si>
  <si>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</si>
  <si>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</si>
  <si>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</si>
  <si>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</si>
  <si>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</si>
  <si>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</si>
  <si>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</si>
  <si>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</si>
  <si>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</si>
  <si>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</si>
  <si>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</si>
  <si>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</si>
  <si>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</si>
  <si>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</si>
  <si>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</si>
  <si>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</si>
  <si>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</si>
  <si>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</si>
  <si>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</si>
  <si>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</si>
  <si>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</si>
  <si>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</si>
  <si>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</si>
  <si>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</si>
  <si>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</si>
  <si>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</si>
  <si>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</si>
  <si>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</si>
  <si>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</si>
  <si>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</si>
  <si>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</si>
  <si>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</si>
  <si>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</si>
  <si>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</si>
  <si>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</si>
  <si>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</si>
  <si>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</si>
  <si>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</si>
  <si>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</si>
  <si>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</si>
  <si>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</si>
  <si>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</si>
  <si>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</si>
  <si>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</si>
  <si>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</si>
  <si>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</si>
  <si>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</si>
  <si>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</si>
  <si>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</si>
  <si>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</si>
  <si>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</si>
  <si>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</si>
  <si>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</si>
  <si>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</si>
  <si>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</si>
  <si>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</si>
  <si>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</si>
  <si>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</si>
  <si>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</si>
  <si>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</si>
  <si>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</si>
  <si>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</si>
  <si>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</si>
  <si>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</si>
  <si>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</si>
  <si>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</si>
  <si>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</si>
  <si>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</si>
  <si>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</si>
  <si>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</si>
  <si>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</si>
  <si>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</si>
  <si>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</si>
  <si>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</si>
  <si>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</si>
  <si>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</si>
  <si>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</si>
  <si>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</si>
  <si>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</si>
  <si>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</si>
  <si>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</si>
  <si>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</si>
  <si>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</si>
  <si>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</si>
  <si>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</si>
  <si>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</si>
  <si>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</si>
  <si>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</si>
  <si>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</si>
  <si>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</si>
  <si>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</si>
  <si>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</si>
  <si>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</si>
  <si>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</si>
  <si>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</si>
  <si>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</si>
  <si>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</si>
  <si>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</si>
  <si>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</si>
  <si>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</si>
  <si>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</si>
  <si>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</si>
  <si>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</si>
  <si>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</si>
  <si>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</si>
  <si>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</si>
  <si>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</si>
  <si>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</si>
  <si>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</si>
  <si>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</si>
  <si>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</si>
  <si>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</si>
  <si>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</si>
  <si>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</si>
  <si>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</si>
  <si>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</si>
  <si>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</si>
  <si>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</si>
  <si>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</si>
  <si>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</si>
  <si>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</si>
  <si>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</si>
  <si>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</si>
  <si>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</si>
  <si>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</si>
  <si>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</si>
  <si>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</si>
  <si>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</si>
  <si>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</si>
  <si>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</si>
  <si>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</si>
  <si>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</si>
  <si>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</si>
  <si>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</si>
  <si>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</si>
  <si>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</si>
  <si>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</si>
  <si>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</si>
  <si>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</si>
  <si>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</si>
  <si>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</si>
  <si>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</si>
  <si>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</si>
  <si>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</si>
  <si>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</si>
  <si>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</si>
  <si>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</si>
  <si>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</si>
  <si>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</si>
  <si>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</si>
  <si>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</si>
  <si>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</si>
  <si>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</si>
  <si>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</si>
  <si>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</si>
  <si>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</si>
  <si>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</si>
  <si>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</si>
  <si>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</si>
  <si>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</si>
  <si>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</si>
  <si>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</si>
  <si>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</si>
  <si>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</si>
  <si>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</si>
  <si>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</si>
  <si>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</si>
  <si>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</si>
  <si>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</si>
  <si>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</si>
  <si>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</si>
  <si>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</si>
  <si>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</si>
  <si>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</si>
  <si>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</si>
  <si>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</si>
  <si>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</si>
  <si>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</si>
  <si>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</si>
  <si>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</si>
  <si>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</si>
  <si>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</si>
  <si>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</si>
  <si>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</si>
  <si>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</si>
  <si>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</si>
  <si>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</si>
  <si>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</si>
  <si>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</si>
  <si>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</si>
  <si>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</si>
  <si>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</si>
  <si>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</si>
  <si>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</si>
  <si>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</si>
  <si>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</si>
  <si>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</si>
  <si>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</si>
  <si>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</si>
  <si>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</si>
  <si>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</si>
  <si>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</si>
  <si>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</si>
  <si>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</si>
  <si>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</si>
  <si>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</si>
  <si>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</si>
  <si>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</si>
  <si>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</si>
  <si>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</si>
  <si>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</si>
  <si>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</si>
  <si>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</si>
  <si>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</si>
  <si>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</si>
  <si>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</si>
  <si>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</si>
  <si>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</si>
  <si>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</si>
  <si>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</si>
  <si>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</si>
  <si>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</si>
  <si>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</si>
  <si>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</si>
  <si>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</si>
  <si>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</si>
  <si>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</si>
  <si>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</si>
  <si>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</si>
  <si>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</si>
  <si>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</si>
  <si>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</si>
  <si>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</si>
  <si>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</si>
  <si>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</si>
  <si>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</si>
  <si>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</si>
  <si>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</si>
  <si>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</si>
  <si>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</si>
  <si>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</si>
  <si>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</si>
  <si>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</si>
  <si>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</si>
  <si>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</si>
  <si>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</si>
  <si>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</si>
  <si>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</si>
  <si>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</si>
  <si>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</si>
  <si>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</si>
  <si>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</si>
  <si>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</si>
  <si>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</si>
  <si>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</si>
  <si>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</si>
  <si>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</si>
  <si>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</si>
  <si>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</si>
  <si>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</si>
  <si>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</si>
  <si>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</si>
  <si>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</si>
  <si>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</si>
  <si>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</si>
  <si>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</si>
  <si>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</si>
  <si>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</si>
  <si>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</si>
  <si>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</si>
  <si>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</si>
  <si>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</si>
  <si>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</si>
  <si>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</si>
  <si>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</si>
  <si>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</si>
  <si>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</si>
  <si>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</si>
  <si>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</si>
  <si>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</si>
  <si>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</si>
  <si>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</si>
  <si>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</si>
  <si>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</si>
  <si>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</si>
  <si>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</si>
  <si>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</si>
  <si>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</si>
  <si>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</si>
  <si>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</si>
  <si>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</si>
  <si>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</si>
  <si>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</si>
  <si>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</si>
  <si>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</si>
  <si>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</si>
  <si>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</si>
  <si>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</si>
  <si>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</si>
  <si>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</si>
  <si>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</si>
  <si>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</si>
  <si>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</si>
  <si>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</si>
  <si>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</si>
  <si>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</si>
  <si>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</si>
  <si>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</si>
  <si>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</si>
  <si>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</si>
  <si>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</si>
  <si>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</si>
  <si>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</si>
  <si>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</si>
  <si>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</si>
  <si>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</si>
  <si>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</si>
  <si>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</si>
  <si>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</si>
  <si>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</si>
  <si>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</si>
  <si>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</si>
  <si>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</si>
  <si>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</si>
  <si>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</si>
  <si>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</si>
  <si>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</si>
  <si>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</si>
  <si>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</si>
  <si>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</si>
  <si>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</si>
  <si>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</si>
  <si>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</si>
  <si>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</si>
  <si>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</si>
  <si>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</si>
  <si>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</si>
  <si>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</si>
  <si>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</si>
  <si>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</si>
  <si>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</si>
  <si>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</si>
  <si>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</si>
  <si>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</si>
  <si>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</si>
  <si>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</si>
  <si>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</si>
  <si>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</si>
  <si>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</si>
  <si>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</si>
  <si>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</si>
  <si>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</si>
  <si>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</si>
  <si>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</si>
  <si>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</si>
  <si>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</si>
  <si>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</si>
  <si>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</si>
  <si>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</si>
  <si>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</si>
  <si>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</si>
  <si>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</si>
  <si>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</si>
  <si>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</si>
  <si>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</si>
  <si>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</si>
  <si>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</si>
  <si>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</si>
  <si>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</si>
  <si>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</si>
  <si>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</si>
  <si>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</si>
  <si>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</si>
  <si>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</si>
  <si>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</si>
  <si>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</si>
  <si>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</si>
  <si>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</si>
  <si>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</si>
  <si>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</si>
  <si>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</si>
  <si>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</si>
  <si>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</si>
  <si>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</si>
  <si>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</si>
  <si>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</si>
  <si>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</si>
  <si>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</si>
  <si>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</si>
  <si>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</si>
  <si>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</si>
  <si>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</si>
  <si>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</si>
  <si>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</si>
  <si>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</si>
  <si>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</si>
  <si>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</si>
  <si>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</si>
  <si>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</si>
  <si>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</si>
  <si>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</si>
  <si>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</si>
  <si>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</si>
  <si>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</si>
  <si>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</si>
  <si>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</si>
  <si>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</si>
  <si>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</si>
  <si>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</si>
  <si>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</si>
  <si>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</si>
  <si>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</si>
  <si>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</si>
  <si>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</si>
  <si>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</si>
  <si>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</si>
  <si>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</si>
  <si>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</si>
  <si>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</si>
  <si>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</si>
  <si>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</si>
  <si>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</si>
  <si>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</si>
  <si>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</si>
  <si>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</si>
  <si>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</si>
  <si>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</si>
  <si>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</si>
  <si>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</si>
  <si>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</si>
  <si>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</si>
  <si>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</si>
  <si>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</si>
  <si>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</si>
  <si>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</si>
  <si>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</si>
  <si>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</si>
  <si>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</si>
  <si>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</si>
  <si>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</si>
  <si>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</si>
  <si>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</si>
  <si>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</si>
  <si>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</si>
  <si>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</si>
  <si>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</si>
  <si>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</si>
  <si>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</si>
  <si>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</si>
  <si>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</si>
  <si>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</si>
  <si>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</si>
  <si>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</si>
  <si>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</si>
  <si>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</si>
  <si>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</si>
  <si>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</si>
  <si>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</si>
  <si>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</si>
  <si>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</si>
  <si>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</si>
  <si>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</si>
  <si>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</si>
  <si>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</si>
  <si>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</si>
  <si>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</si>
  <si>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</si>
  <si>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</si>
  <si>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</si>
  <si>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</si>
  <si>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</si>
  <si>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</si>
  <si>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</si>
  <si>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</si>
  <si>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</si>
  <si>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</si>
  <si>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</si>
  <si>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</si>
  <si>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</si>
  <si>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</si>
  <si>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</si>
  <si>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</si>
  <si>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</si>
  <si>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</si>
  <si>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</si>
  <si>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</si>
  <si>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</si>
  <si>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</si>
  <si>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</si>
  <si>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</si>
  <si>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</si>
  <si>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</si>
  <si>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</si>
  <si>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</si>
  <si>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</si>
  <si>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</si>
  <si>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</si>
  <si>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</si>
  <si>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</si>
  <si>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</si>
  <si>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</si>
  <si>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</si>
  <si>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</si>
  <si>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</si>
  <si>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</si>
  <si>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</si>
  <si>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</si>
  <si>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</si>
  <si>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</si>
  <si>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</si>
  <si>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</si>
  <si>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</si>
  <si>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</si>
  <si>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</si>
  <si>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</si>
  <si>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</si>
  <si>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</si>
  <si>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</si>
  <si>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</si>
  <si>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</si>
  <si>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</si>
  <si>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</si>
  <si>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</si>
  <si>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</si>
  <si>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</si>
  <si>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</si>
  <si>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</si>
  <si>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</si>
  <si>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</si>
  <si>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</si>
  <si>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</si>
  <si>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</si>
  <si>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</si>
  <si>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</si>
  <si>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</si>
  <si>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</si>
  <si>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</si>
  <si>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</si>
  <si>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</si>
  <si>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</si>
  <si>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</si>
  <si>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</si>
  <si>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</si>
  <si>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</si>
  <si>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</si>
  <si>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</si>
  <si>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</si>
  <si>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</si>
  <si>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</si>
  <si>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</si>
  <si>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</si>
  <si>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</si>
  <si>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</si>
  <si>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</si>
  <si>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</si>
  <si>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</si>
  <si>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</si>
  <si>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</si>
  <si>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</si>
  <si>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</si>
  <si>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</si>
  <si>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</si>
  <si>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</si>
  <si>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</si>
  <si>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</si>
  <si>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</si>
  <si>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</si>
  <si>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</si>
  <si>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</si>
  <si>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</si>
  <si>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</si>
  <si>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</si>
  <si>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</si>
  <si>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</si>
  <si>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</si>
  <si>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</si>
  <si>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</si>
  <si>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</si>
  <si>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</si>
  <si>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</si>
  <si>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</si>
  <si>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</si>
  <si>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</si>
  <si>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</si>
  <si>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</si>
  <si>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</si>
  <si>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</si>
  <si>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</si>
  <si>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</si>
  <si>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</si>
  <si>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</si>
  <si>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</si>
  <si>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</si>
  <si>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</si>
  <si>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</si>
  <si>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</si>
  <si>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</si>
  <si>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</si>
  <si>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</si>
  <si>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</si>
  <si>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</si>
  <si>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</si>
  <si>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</si>
  <si>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</si>
  <si>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</si>
  <si>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</si>
  <si>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</si>
  <si>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</si>
  <si>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</si>
  <si>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</si>
  <si>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</si>
  <si>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</si>
  <si>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</si>
  <si>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</si>
  <si>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</si>
  <si>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</si>
  <si>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</si>
  <si>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</si>
  <si>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</si>
  <si>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</si>
  <si>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</si>
  <si>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</si>
  <si>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</si>
  <si>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</si>
  <si>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</si>
  <si>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</si>
  <si>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</si>
  <si>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</si>
  <si>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</si>
  <si>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</si>
  <si>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</si>
  <si>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</si>
  <si>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</si>
  <si>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</si>
  <si>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</si>
  <si>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</si>
  <si>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</si>
  <si>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</si>
  <si>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</si>
  <si>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</si>
  <si>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</si>
  <si>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</si>
  <si>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</si>
  <si>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</si>
  <si>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</si>
  <si>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</si>
  <si>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</si>
  <si>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</si>
  <si>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</si>
  <si>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</si>
  <si>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</si>
  <si>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</si>
  <si>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</si>
  <si>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</si>
  <si>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</si>
  <si>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</si>
  <si>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</si>
  <si>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</si>
  <si>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</si>
  <si>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</si>
  <si>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</si>
  <si>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</si>
  <si>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</si>
  <si>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</si>
  <si>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</si>
  <si>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</si>
  <si>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</si>
  <si>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</si>
  <si>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</si>
  <si>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</si>
  <si>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</si>
  <si>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</si>
  <si>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</si>
  <si>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</si>
  <si>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</si>
  <si>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</si>
  <si>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</si>
  <si>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</si>
  <si>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</si>
  <si>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</si>
  <si>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</si>
  <si>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</si>
  <si>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</si>
  <si>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</si>
  <si>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</si>
  <si>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</si>
  <si>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</si>
  <si>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</si>
  <si>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</si>
  <si>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</si>
  <si>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</si>
  <si>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</si>
  <si>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</si>
  <si>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</si>
  <si>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</si>
  <si>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</si>
  <si>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</si>
  <si>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</si>
  <si>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</si>
  <si>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</si>
  <si>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</si>
  <si>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</si>
  <si>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</si>
  <si>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</si>
  <si>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</si>
  <si>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</si>
  <si>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</si>
  <si>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</si>
  <si>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</si>
  <si>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</si>
  <si>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</si>
  <si>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</si>
  <si>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</si>
  <si>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</si>
  <si>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</si>
  <si>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</si>
  <si>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</si>
  <si>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</si>
  <si>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</si>
  <si>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</si>
  <si>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</si>
  <si>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</si>
  <si>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</si>
  <si>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</si>
  <si>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</si>
  <si>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</si>
  <si>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</si>
  <si>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</si>
  <si>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</si>
  <si>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</si>
  <si>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</si>
  <si>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</si>
  <si>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</si>
  <si>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</si>
  <si>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</si>
  <si>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</si>
  <si>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</si>
  <si>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</si>
  <si>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</si>
  <si>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</si>
  <si>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</si>
  <si>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</si>
  <si>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</si>
  <si>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</si>
  <si>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</si>
  <si>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</si>
  <si>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</si>
  <si>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</si>
  <si>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</si>
  <si>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</si>
  <si>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</si>
  <si>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</si>
  <si>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</si>
  <si>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</si>
  <si>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</si>
  <si>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</si>
  <si>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</si>
  <si>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</si>
  <si>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</si>
  <si>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</si>
  <si>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</si>
  <si>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</si>
  <si>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</si>
  <si>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</si>
  <si>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</si>
  <si>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</si>
  <si>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</si>
  <si>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</si>
  <si>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</si>
  <si>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</si>
  <si>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</si>
  <si>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</si>
  <si>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</si>
  <si>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</si>
  <si>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</si>
  <si>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</si>
  <si>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</si>
  <si>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</si>
  <si>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</si>
  <si>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</si>
  <si>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</si>
  <si>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</si>
  <si>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</si>
  <si>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</si>
  <si>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</si>
  <si>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</si>
  <si>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</si>
  <si>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</si>
  <si>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</si>
  <si>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</si>
  <si>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</si>
  <si>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</si>
  <si>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</si>
  <si>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</si>
  <si>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</si>
  <si>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</si>
  <si>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</si>
  <si>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</si>
  <si>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</si>
  <si>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</si>
  <si>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</si>
  <si>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</si>
  <si>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</si>
  <si>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</si>
  <si>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</si>
  <si>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</si>
  <si>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</si>
  <si>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</si>
  <si>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</si>
  <si>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</si>
  <si>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</si>
  <si>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</si>
  <si>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</si>
  <si>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</si>
  <si>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</si>
  <si>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</si>
  <si>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</si>
  <si>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</si>
  <si>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</si>
  <si>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</si>
  <si>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</si>
  <si>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</si>
  <si>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</si>
  <si>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</si>
  <si>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</si>
  <si>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</si>
  <si>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</si>
  <si>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</si>
  <si>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</si>
  <si>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</si>
  <si>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</si>
  <si>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</si>
  <si>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</si>
  <si>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</si>
  <si>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</si>
  <si>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</si>
  <si>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</si>
  <si>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</si>
  <si>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</si>
  <si>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</si>
  <si>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</si>
  <si>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</si>
  <si>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</si>
  <si>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</si>
  <si>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</si>
  <si>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</si>
  <si>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</si>
  <si>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</si>
  <si>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</si>
  <si>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</si>
  <si>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</si>
  <si>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</si>
  <si>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</si>
  <si>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</si>
  <si>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</si>
  <si>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</si>
  <si>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</si>
  <si>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</si>
  <si>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</si>
  <si>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</si>
  <si>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</si>
  <si>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</si>
  <si>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</si>
  <si>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</si>
  <si>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</si>
  <si>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</si>
  <si>
    <t>高十楼栋面积表</t>
    <phoneticPr fontId="3" type="noConversion"/>
  </si>
  <si>
    <r>
      <t>单位：</t>
    </r>
    <r>
      <rPr>
        <sz val="10"/>
        <rFont val="宋体"/>
        <family val="3"/>
        <charset val="134"/>
      </rPr>
      <t>㎡</t>
    </r>
    <phoneticPr fontId="3" type="noConversion"/>
  </si>
  <si>
    <t>序号</t>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</si>
  <si>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</si>
  <si>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</si>
  <si>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</si>
  <si>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</si>
  <si>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</si>
  <si>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1#楼</t>
    <phoneticPr fontId="3" type="noConversion"/>
  </si>
  <si>
    <r>
      <t>2#楼</t>
    </r>
    <r>
      <rPr>
        <sz val="12"/>
        <rFont val="宋体"/>
        <family val="3"/>
        <charset val="134"/>
      </rPr>
      <t/>
    </r>
  </si>
  <si>
    <r>
      <t>3#楼</t>
    </r>
    <r>
      <rPr>
        <sz val="12"/>
        <rFont val="宋体"/>
        <family val="3"/>
        <charset val="134"/>
      </rPr>
      <t/>
    </r>
  </si>
  <si>
    <r>
      <t>4#楼</t>
    </r>
    <r>
      <rPr>
        <sz val="12"/>
        <rFont val="宋体"/>
        <family val="3"/>
        <charset val="134"/>
      </rPr>
      <t/>
    </r>
  </si>
  <si>
    <r>
      <t>5#楼</t>
    </r>
    <r>
      <rPr>
        <sz val="12"/>
        <rFont val="宋体"/>
        <family val="3"/>
        <charset val="134"/>
      </rPr>
      <t/>
    </r>
  </si>
  <si>
    <r>
      <t>6#楼</t>
    </r>
    <r>
      <rPr>
        <sz val="12"/>
        <rFont val="宋体"/>
        <family val="3"/>
        <charset val="134"/>
      </rPr>
      <t/>
    </r>
  </si>
  <si>
    <t>地下车库</t>
    <phoneticPr fontId="3" type="noConversion"/>
  </si>
  <si>
    <t>合计</t>
    <phoneticPr fontId="3" type="noConversion"/>
  </si>
  <si>
    <t>住宅</t>
    <phoneticPr fontId="280" type="noConversion"/>
  </si>
  <si>
    <t>商业</t>
    <phoneticPr fontId="280" type="noConversion"/>
  </si>
  <si>
    <t>车库</t>
    <phoneticPr fontId="280" type="noConversion"/>
  </si>
  <si>
    <t>公共配套设施</t>
    <phoneticPr fontId="280" type="noConversion"/>
  </si>
  <si>
    <t>设备</t>
    <phoneticPr fontId="280" type="noConversion"/>
  </si>
  <si>
    <t>合计</t>
    <phoneticPr fontId="280" type="noConversion"/>
  </si>
  <si>
    <t>去掉3.4#楼剩余面积</t>
    <phoneticPr fontId="280" type="noConversion"/>
  </si>
  <si>
    <t>计容面积</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</si>
</sst>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1"/>
      <name val="宋体"/>
      <family val="3"/>
      <charset val="134"/>
      <scheme val="minor"/>
    </font>
    <font>
      <sz val="9"/>
      <name val="宋体"/>
      <family val="3"/>
      <charset val="134"/>
      <scheme val="minor"/>
    </font>
    <font>
      <b/>
      <sz val="14"/>
      <name val="微软雅黑"/>
      <family val="2"/>
      <charset val="134"/>
    </font>
    <font>
      <sz val="10"/>
      <name val="微软雅黑"/>
      <family val="2"/>
      <charset val="134"/>
    </font>
    <font>
      <b/>
      <sz val="1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9" fillId="0" borderId="0" applyFont="0" applyFill="0" applyBorder="0" applyAlignment="0" applyProtection="0">
      <alignment vertical="center"/>
    </xf>
  </cellStyleXfs>
  <cellXfs count="41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79"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79"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79"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8" fontId="278" fillId="7" borderId="0" xfId="1" applyNumberFormat="1" applyFont="1" applyFill="1">
      <alignment vertical="center"/>
    </xf>
    <xf numFmtId="0" fontId="145" fillId="7" borderId="0" xfId="1" applyFont="1" applyFill="1">
      <alignment vertical="center"/>
    </xf>
    <xf numFmtId="178" fontId="145" fillId="7" borderId="0" xfId="1" applyNumberFormat="1" applyFill="1">
      <alignment vertical="center"/>
    </xf>
    <xf numFmtId="0" fontId="145" fillId="0" borderId="0" xfId="1" applyFont="1">
      <alignment vertical="center"/>
    </xf>
    <xf numFmtId="178"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1" fontId="152" fillId="23" borderId="2" xfId="0" applyNumberFormat="1" applyFont="1" applyFill="1" applyBorder="1" applyAlignment="1" applyProtection="1">
      <alignment horizontal="center" vertical="center"/>
      <protection locked="0"/>
    </xf>
    <xf numFmtId="177"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1"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1" fontId="71" fillId="23" borderId="12" xfId="0" applyNumberFormat="1" applyFont="1" applyFill="1" applyBorder="1" applyAlignment="1" applyProtection="1">
      <alignment vertical="center"/>
      <protection locked="0"/>
    </xf>
    <xf numFmtId="177"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7" fontId="108" fillId="23" borderId="30" xfId="0" applyNumberFormat="1" applyFont="1" applyFill="1" applyBorder="1" applyAlignment="1" applyProtection="1">
      <alignment vertical="center" wrapText="1"/>
      <protection locked="0"/>
    </xf>
    <xf numFmtId="177" fontId="108" fillId="5" borderId="30" xfId="0" applyNumberFormat="1" applyFont="1" applyFill="1" applyBorder="1" applyAlignment="1" applyProtection="1">
      <alignment vertical="center" wrapText="1"/>
    </xf>
    <xf numFmtId="177"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82" fillId="0" borderId="0" xfId="0" applyFont="1" applyAlignment="1">
      <alignment horizontal="center" vertical="center" wrapText="1"/>
    </xf>
    <xf numFmtId="43" fontId="282" fillId="0" borderId="0" xfId="16" applyFont="1" applyAlignment="1">
      <alignment vertical="center" wrapText="1"/>
    </xf>
    <xf numFmtId="0" fontId="283" fillId="26" borderId="2" xfId="0" applyFont="1" applyFill="1" applyBorder="1" applyAlignment="1">
      <alignment horizontal="center" vertical="center" wrapText="1"/>
    </xf>
    <xf numFmtId="43" fontId="283" fillId="26" borderId="2" xfId="16" applyFont="1" applyFill="1" applyBorder="1" applyAlignment="1">
      <alignment horizontal="center" vertical="center" wrapText="1"/>
    </xf>
    <xf numFmtId="0" fontId="282" fillId="0" borderId="2" xfId="0" applyFont="1" applyBorder="1" applyAlignment="1">
      <alignment horizontal="center" vertical="center" wrapText="1"/>
    </xf>
    <xf numFmtId="43" fontId="282" fillId="0" borderId="2" xfId="16" applyFont="1" applyBorder="1" applyAlignment="1">
      <alignment horizontal="center" vertical="center" wrapText="1"/>
    </xf>
    <xf numFmtId="43" fontId="282" fillId="0" borderId="2" xfId="16" applyFont="1" applyBorder="1" applyAlignment="1">
      <alignment vertical="center" wrapText="1"/>
    </xf>
    <xf numFmtId="0" fontId="282" fillId="6" borderId="2" xfId="0" applyFont="1" applyFill="1" applyBorder="1" applyAlignment="1">
      <alignment horizontal="center" vertical="center" wrapText="1"/>
    </xf>
    <xf numFmtId="43" fontId="282" fillId="6" borderId="2" xfId="16" applyFont="1" applyFill="1" applyBorder="1" applyAlignment="1">
      <alignment horizontal="center" vertical="center" wrapText="1"/>
    </xf>
    <xf numFmtId="43" fontId="282" fillId="6" borderId="2" xfId="16" applyFont="1" applyFill="1" applyBorder="1" applyAlignment="1">
      <alignment vertical="center" wrapText="1"/>
    </xf>
    <xf numFmtId="43" fontId="282" fillId="27" borderId="0" xfId="16" applyFont="1" applyFill="1" applyAlignment="1">
      <alignment vertical="center" wrapText="1"/>
    </xf>
    <xf numFmtId="43" fontId="283" fillId="27" borderId="2" xfId="16" applyFont="1" applyFill="1" applyBorder="1" applyAlignment="1">
      <alignment horizontal="center" vertical="center" wrapText="1"/>
    </xf>
    <xf numFmtId="43" fontId="282" fillId="27" borderId="2" xfId="16" applyFont="1" applyFill="1" applyBorder="1" applyAlignment="1">
      <alignment vertical="center" wrapText="1"/>
    </xf>
    <xf numFmtId="0" fontId="0" fillId="27" borderId="0" xfId="0" applyFill="1">
      <alignment vertical="center"/>
    </xf>
    <xf numFmtId="43" fontId="282" fillId="28" borderId="0" xfId="16" applyFont="1" applyFill="1" applyAlignment="1">
      <alignment vertical="center" wrapText="1"/>
    </xf>
    <xf numFmtId="43" fontId="283" fillId="28" borderId="2" xfId="16" applyFont="1" applyFill="1" applyBorder="1" applyAlignment="1">
      <alignment horizontal="center" vertical="center" wrapText="1"/>
    </xf>
    <xf numFmtId="43" fontId="282" fillId="28" borderId="2" xfId="16" applyFont="1" applyFill="1" applyBorder="1" applyAlignment="1">
      <alignment vertical="center" wrapText="1"/>
    </xf>
    <xf numFmtId="0" fontId="0" fillId="28" borderId="0" xfId="0" applyFill="1">
      <alignment vertical="center"/>
    </xf>
    <xf numFmtId="43" fontId="0" fillId="27" borderId="0" xfId="0" applyNumberFormat="1" applyFill="1">
      <alignment vertical="center"/>
    </xf>
    <xf numFmtId="43" fontId="282" fillId="20" borderId="0" xfId="16" applyFont="1" applyFill="1" applyAlignment="1">
      <alignment vertical="center" wrapText="1"/>
    </xf>
    <xf numFmtId="43" fontId="283" fillId="20" borderId="2" xfId="16" applyFont="1" applyFill="1" applyBorder="1" applyAlignment="1">
      <alignment horizontal="center" vertical="center" wrapText="1"/>
    </xf>
    <xf numFmtId="43" fontId="282" fillId="20" borderId="2" xfId="16" applyFont="1" applyFill="1" applyBorder="1" applyAlignment="1">
      <alignment vertical="center" wrapText="1"/>
    </xf>
    <xf numFmtId="43" fontId="282" fillId="20" borderId="2" xfId="16" applyFont="1" applyFill="1" applyBorder="1" applyAlignment="1">
      <alignment horizontal="center" vertical="center" wrapText="1"/>
    </xf>
    <xf numFmtId="0" fontId="0" fillId="20" borderId="0" xfId="0" applyFill="1">
      <alignment vertical="center"/>
    </xf>
    <xf numFmtId="43" fontId="282" fillId="29" borderId="0" xfId="16" applyFont="1" applyFill="1" applyAlignment="1">
      <alignment vertical="center" wrapText="1"/>
    </xf>
    <xf numFmtId="43" fontId="283" fillId="29" borderId="2" xfId="16" applyFont="1" applyFill="1" applyBorder="1" applyAlignment="1">
      <alignment horizontal="center" vertical="center" wrapText="1"/>
    </xf>
    <xf numFmtId="43" fontId="282" fillId="29" borderId="2" xfId="16" applyFont="1" applyFill="1" applyBorder="1" applyAlignment="1">
      <alignment vertical="center" wrapText="1"/>
    </xf>
    <xf numFmtId="0" fontId="0" fillId="29" borderId="0" xfId="0" applyFill="1">
      <alignment vertical="center"/>
    </xf>
    <xf numFmtId="43" fontId="0" fillId="29" borderId="0" xfId="0" applyNumberFormat="1" applyFill="1">
      <alignment vertical="center"/>
    </xf>
    <xf numFmtId="194" fontId="0" fillId="29" borderId="0" xfId="0" applyNumberFormat="1" applyFill="1">
      <alignment vertical="center"/>
    </xf>
    <xf numFmtId="0" fontId="145" fillId="0" borderId="0" xfId="0"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281"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39640;&#21313;&#24037;&#35268;&#25351;&#26631;&#35745;&#31639;&#20070;6.2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9-1-0429&#37325;&#24198;/P03DYGJ2/&#19968;&#23457;/&#19968;&#23457;&#22797;&#26680;/&#39640;10&#27915;44/&#27915;&#20108;44&#20137;&#8212;&#30005;&#31639;&#34920;&#65288;&#19968;&#23457;&#22797;&#26680;&#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15;&#20108;&#35843;&#25972;&#20026;38.97&#20137;-&#22303;&#22320;-&#36213;&#29856;-&#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15;&#20108;&#35843;&#25972;&#20026;38.97&#20137;&#65288;&#20999;&#21106;&#35777;&#65289;-&#22303;&#22320;-&#36213;&#2985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E3" t="str">
            <v>居住</v>
          </cell>
          <cell r="F3" t="str">
            <v>商业</v>
          </cell>
          <cell r="G3" t="str">
            <v>商烟</v>
          </cell>
          <cell r="H3" t="str">
            <v>梯帽</v>
          </cell>
          <cell r="I3" t="str">
            <v>物管用房</v>
          </cell>
          <cell r="J3" t="str">
            <v>架空层</v>
          </cell>
          <cell r="K3" t="str">
            <v>公厕</v>
          </cell>
          <cell r="L3" t="str">
            <v>消控室</v>
          </cell>
          <cell r="M3" t="str">
            <v>设备用房</v>
          </cell>
          <cell r="N3" t="str">
            <v>车库</v>
          </cell>
          <cell r="O3" t="str">
            <v>门卫</v>
          </cell>
        </row>
        <row r="4">
          <cell r="B4" t="str">
            <v>1#楼</v>
          </cell>
        </row>
        <row r="5">
          <cell r="B5" t="str">
            <v>2#楼</v>
          </cell>
        </row>
        <row r="6">
          <cell r="B6" t="str">
            <v>3#楼</v>
          </cell>
        </row>
        <row r="7">
          <cell r="B7" t="str">
            <v>4#楼</v>
          </cell>
        </row>
        <row r="8">
          <cell r="B8" t="str">
            <v>5#楼</v>
          </cell>
        </row>
        <row r="9">
          <cell r="B9" t="str">
            <v>6#楼</v>
          </cell>
        </row>
        <row r="10">
          <cell r="B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61891.23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row r="3">
          <cell r="A3">
            <v>25981.37</v>
          </cell>
        </row>
      </sheetData>
      <sheetData sheetId="11"/>
      <sheetData sheetId="12"/>
      <sheetData sheetId="13"/>
      <sheetData sheetId="14"/>
      <sheetData sheetId="15"/>
      <sheetData sheetId="16"/>
      <sheetData sheetId="17"/>
      <sheetData sheetId="18">
        <row r="32">
          <cell r="C32">
            <v>10167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10165</v>
          </cell>
        </row>
      </sheetData>
      <sheetData sheetId="18">
        <row r="79">
          <cell r="O79">
            <v>8425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20122.04平方米。根据《建设工程规划许可证》[]、《出让合同》[]，估价对象规划建筑面积为111281.46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2019年7月25日（评估专业人员勘察现场之日）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根据《国有土地使用证》[]，估价对象（分摊）出让国有建设用地使用权面积为20122.04平方米。根据《建设工程规划许可证》[]、《出让合同》[]，估价对象规划建筑面积为111281.46平方米。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估价期日：2019年7月25日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20122.04</v>
      </c>
    </row>
    <row r="44" spans="1:2">
      <c r="A44" s="2831" t="s">
        <v>2739</v>
      </c>
      <c r="B44" s="2832" t="str">
        <f>'预评函-2'!O3</f>
        <v>规划建筑面积/㎡</v>
      </c>
    </row>
    <row r="45" spans="1:2">
      <c r="A45" s="2831" t="s">
        <v>2721</v>
      </c>
      <c r="B45" s="2832">
        <f>'预评函-2'!O5</f>
        <v>111281.46</v>
      </c>
    </row>
    <row r="46" spans="1:2">
      <c r="A46" s="2831" t="s">
        <v>2722</v>
      </c>
      <c r="B46" s="2832">
        <f ca="1">'预评函-2'!P5</f>
        <v>7142</v>
      </c>
    </row>
    <row r="47" spans="1:2">
      <c r="A47" s="2831" t="s">
        <v>2723</v>
      </c>
      <c r="B47" s="2832">
        <f ca="1">'预评函-2'!Q5</f>
        <v>1291</v>
      </c>
    </row>
    <row r="48" spans="1:2">
      <c r="A48" s="2831" t="s">
        <v>2724</v>
      </c>
      <c r="B48" s="2832">
        <f ca="1">'预评函-2'!R5</f>
        <v>14372</v>
      </c>
    </row>
    <row r="49" spans="1:2">
      <c r="A49" s="2831" t="s">
        <v>2740</v>
      </c>
      <c r="B49" s="2832" t="str">
        <f>'预评函-2'!A6</f>
        <v>抵押价格</v>
      </c>
    </row>
    <row r="50" spans="1:2">
      <c r="A50" s="2831" t="s">
        <v>2725</v>
      </c>
      <c r="B50" s="2832">
        <f ca="1">'预评函-2'!R6</f>
        <v>14372</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5" thickBot="1">
      <c r="A54" s="2853" t="s">
        <v>2727</v>
      </c>
      <c r="B54" s="2854">
        <f ca="1">'预评函-2'!R8</f>
        <v>10178</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46"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51"/>
      <c r="E53" s="1751"/>
    </row>
    <row r="54" spans="1:5">
      <c r="A54" s="3846"/>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46"/>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46"/>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46"/>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J6" sqref="J6"/>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49" t="str">
        <f>IF(B10="北京市","北京市",C10)&amp;F10&amp;B16&amp;"国有建设用地使用权"&amp;B9&amp;"预评估"</f>
        <v>出让国有建设用地使用权抵押价格预评估</v>
      </c>
      <c r="C1" s="3850"/>
      <c r="D1" s="3850"/>
      <c r="E1" s="3850"/>
      <c r="F1" s="3850"/>
      <c r="G1" s="3850"/>
      <c r="H1" s="3850"/>
      <c r="I1" s="3851"/>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43671</v>
      </c>
      <c r="C3" s="1645" t="s">
        <v>1995</v>
      </c>
      <c r="D3" s="1644">
        <f>B3</f>
        <v>43671</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855"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856"/>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52"/>
      <c r="C12" s="3853"/>
      <c r="D12" s="3854"/>
      <c r="E12" s="1681" t="s">
        <v>2061</v>
      </c>
      <c r="F12" s="3870" t="s">
        <v>2888</v>
      </c>
      <c r="G12" s="3871"/>
      <c r="H12" s="3871"/>
      <c r="I12" s="3872"/>
      <c r="J12" s="1676"/>
      <c r="K12" s="1756"/>
      <c r="L12" s="1705"/>
      <c r="M12" s="1705"/>
      <c r="N12" s="1676"/>
      <c r="O12" s="1677"/>
      <c r="P12" s="1676"/>
      <c r="Q12" s="1676"/>
      <c r="R12" s="1676"/>
      <c r="S12" s="1676"/>
      <c r="T12" s="1676"/>
      <c r="U12" s="1676"/>
    </row>
    <row r="13" spans="1:21">
      <c r="A13" s="1669" t="s">
        <v>2059</v>
      </c>
      <c r="B13" s="3852"/>
      <c r="C13" s="3853"/>
      <c r="D13" s="3854"/>
      <c r="E13" s="1681" t="s">
        <v>2061</v>
      </c>
      <c r="F13" s="3870" t="s">
        <v>2889</v>
      </c>
      <c r="G13" s="3871"/>
      <c r="H13" s="3871"/>
      <c r="I13" s="3872"/>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v>
      </c>
      <c r="E19" s="1667">
        <f>IF(B16="出让",IF(E17="","",ROUNDDOWN(MIN((E17-$D$3)/365,E18),2)),E18)</f>
        <v>34.5</v>
      </c>
      <c r="F19" s="1667" t="str">
        <f>IF(B16="出让",IF(F17="","",ROUNDDOWN(MIN((F17-$D$3)/365,F18),2)),F18)</f>
        <v/>
      </c>
      <c r="G19" s="1667">
        <f>IF(B16="出让",IF(G17="","",ROUNDDOWN(MIN((G17-$D$3)/365,G18),2)),G18)</f>
        <v>34.5</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867"/>
      <c r="E20" s="3868"/>
      <c r="F20" s="3868"/>
      <c r="G20" s="3868"/>
      <c r="H20" s="3868"/>
      <c r="I20" s="3869"/>
      <c r="J20" s="1676"/>
      <c r="K20" s="1756"/>
      <c r="L20" s="1705"/>
      <c r="M20" s="1705"/>
      <c r="N20" s="1676"/>
      <c r="O20" s="1677"/>
      <c r="P20" s="1676"/>
      <c r="Q20" s="1676"/>
      <c r="R20" s="1676"/>
      <c r="S20" s="1676"/>
      <c r="T20" s="1676"/>
      <c r="U20" s="1676"/>
    </row>
    <row r="21" spans="1:21">
      <c r="A21" s="1745" t="s">
        <v>1958</v>
      </c>
      <c r="B21" s="1746" t="s">
        <v>1959</v>
      </c>
      <c r="C21" s="1741">
        <f>'数据-汇总表'!E3</f>
        <v>111281.46</v>
      </c>
      <c r="D21" s="1742" t="s">
        <v>1960</v>
      </c>
      <c r="E21" s="3857" t="s">
        <v>1998</v>
      </c>
      <c r="F21" s="3858"/>
      <c r="G21" s="3858"/>
      <c r="H21" s="3858"/>
      <c r="I21" s="3859"/>
      <c r="J21" s="1676"/>
      <c r="K21" s="1756"/>
      <c r="L21" s="1705"/>
      <c r="M21" s="1705"/>
      <c r="N21" s="1676"/>
      <c r="O21" s="1677"/>
      <c r="P21" s="1676"/>
      <c r="Q21" s="1676"/>
      <c r="R21" s="1676"/>
      <c r="S21" s="1676"/>
      <c r="T21" s="1676"/>
      <c r="U21" s="1676"/>
    </row>
    <row r="22" spans="1:21">
      <c r="A22" s="3092" t="s">
        <v>952</v>
      </c>
      <c r="B22" s="1643" t="s">
        <v>1961</v>
      </c>
      <c r="C22" s="1668">
        <f>'数据-汇总表'!D3</f>
        <v>20122.04</v>
      </c>
      <c r="D22" s="1669" t="s">
        <v>1960</v>
      </c>
      <c r="E22" s="3857" t="s">
        <v>2890</v>
      </c>
      <c r="F22" s="3858"/>
      <c r="G22" s="3858"/>
      <c r="H22" s="3858"/>
      <c r="I22" s="3859"/>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860" t="s">
        <v>1966</v>
      </c>
      <c r="C24" s="3861"/>
      <c r="D24" s="3862" t="s">
        <v>1967</v>
      </c>
      <c r="E24" s="3863"/>
      <c r="F24" s="1690" t="s">
        <v>1968</v>
      </c>
      <c r="G24" s="1676"/>
      <c r="H24" s="1676"/>
      <c r="I24" s="1689"/>
      <c r="J24" s="1676"/>
      <c r="K24" s="3848"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4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4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75" t="s">
        <v>2001</v>
      </c>
      <c r="B31" s="1746" t="s">
        <v>2002</v>
      </c>
      <c r="C31" s="3873"/>
      <c r="D31" s="3874"/>
      <c r="E31" s="1676"/>
      <c r="F31" s="1676"/>
      <c r="G31" s="1676"/>
      <c r="H31" s="1676"/>
      <c r="I31" s="1689"/>
      <c r="J31" s="1676"/>
      <c r="K31" s="2420"/>
      <c r="L31" s="1676"/>
      <c r="M31" s="1676"/>
      <c r="N31" s="1676"/>
      <c r="O31" s="1676"/>
      <c r="P31" s="1676"/>
      <c r="Q31" s="1676"/>
      <c r="R31" s="1676"/>
      <c r="S31" s="1676"/>
      <c r="T31" s="1676"/>
      <c r="U31" s="1676"/>
    </row>
    <row r="32" spans="1:21">
      <c r="A32" s="3875"/>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75"/>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76"/>
      <c r="B34" s="1643" t="s">
        <v>2005</v>
      </c>
      <c r="C34" s="3877"/>
      <c r="D34" s="3878"/>
      <c r="E34" s="1676"/>
      <c r="F34" s="1676"/>
      <c r="G34" s="1676"/>
      <c r="H34" s="1676"/>
      <c r="I34" s="1689"/>
      <c r="J34" s="1676"/>
      <c r="K34" s="2420"/>
      <c r="L34" s="1676"/>
      <c r="M34" s="1676"/>
      <c r="N34" s="1676"/>
      <c r="O34" s="1676"/>
      <c r="P34" s="1676"/>
      <c r="Q34" s="1676"/>
      <c r="R34" s="1676"/>
      <c r="S34" s="1676"/>
      <c r="T34" s="1676"/>
      <c r="U34" s="1676"/>
    </row>
    <row r="35" spans="1:21">
      <c r="A35" s="3879" t="s">
        <v>847</v>
      </c>
      <c r="B35" s="1704"/>
      <c r="C35" s="1758" t="str">
        <f>IF(B35="场地平整","——","具体情况：")</f>
        <v>具体情况：</v>
      </c>
      <c r="D35" s="3881"/>
      <c r="E35" s="3882"/>
      <c r="F35" s="3882"/>
      <c r="G35" s="3882"/>
      <c r="H35" s="3882"/>
      <c r="I35" s="3883"/>
      <c r="J35" s="1676"/>
      <c r="K35" s="1757"/>
      <c r="L35" s="1705"/>
      <c r="M35" s="1705"/>
      <c r="N35" s="1676"/>
      <c r="O35" s="1677"/>
      <c r="P35" s="1676"/>
      <c r="Q35" s="1676"/>
      <c r="R35" s="1676"/>
      <c r="S35" s="1676"/>
      <c r="T35" s="1676"/>
      <c r="U35" s="1676"/>
    </row>
    <row r="36" spans="1:21">
      <c r="A36" s="3875"/>
      <c r="B36" s="3884" t="s">
        <v>2054</v>
      </c>
      <c r="C36" s="3885"/>
      <c r="D36" s="1774"/>
      <c r="E36" s="3886"/>
      <c r="F36" s="3886"/>
      <c r="G36" s="1669" t="str">
        <f>IF(B35="场地未平整","估价结果处理","")</f>
        <v/>
      </c>
      <c r="H36" s="3887"/>
      <c r="I36" s="3887"/>
      <c r="J36" s="1676"/>
      <c r="K36" s="1757"/>
      <c r="L36" s="1705"/>
      <c r="M36" s="1705"/>
      <c r="N36" s="1676"/>
      <c r="O36" s="1677"/>
      <c r="P36" s="1676"/>
      <c r="Q36" s="1676"/>
      <c r="R36" s="1676"/>
      <c r="S36" s="1676"/>
      <c r="T36" s="1676"/>
      <c r="U36" s="1676"/>
    </row>
    <row r="37" spans="1:21" ht="28.5">
      <c r="A37" s="3875"/>
      <c r="B37" s="3864"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75"/>
      <c r="B38" s="3865"/>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876"/>
      <c r="B39" s="386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47" t="s">
        <v>1985</v>
      </c>
      <c r="T40" s="1713" t="str">
        <f>NUMBERSTRING(7-K40,1)&amp;"通"</f>
        <v>七通</v>
      </c>
      <c r="U40" s="1676"/>
    </row>
    <row r="41" spans="1:21">
      <c r="A41" s="1645"/>
      <c r="B41" s="3880" t="s">
        <v>1721</v>
      </c>
      <c r="C41" s="3880"/>
      <c r="D41" s="3880"/>
      <c r="E41" s="3880"/>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47"/>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f>
        <v>20122.04</v>
      </c>
      <c r="B3" s="22">
        <f>IF(C3="否",G5-AT5,G5)</f>
        <v>111281.46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111281.46</v>
      </c>
      <c r="H5" s="27">
        <f t="shared" ref="H5:AT5" si="0">SUM(H13:H641)</f>
        <v>108087.26000000001</v>
      </c>
      <c r="I5" s="27">
        <f t="shared" si="0"/>
        <v>82203.94</v>
      </c>
      <c r="J5" s="27">
        <f t="shared" si="0"/>
        <v>0</v>
      </c>
      <c r="K5" s="27">
        <f t="shared" si="0"/>
        <v>6493.21</v>
      </c>
      <c r="L5" s="27">
        <f t="shared" si="0"/>
        <v>0</v>
      </c>
      <c r="M5" s="27">
        <f t="shared" si="0"/>
        <v>19390.11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3194.2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2122.73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111281.46</v>
      </c>
      <c r="BA5" s="29">
        <f t="shared" si="1"/>
        <v>108087.26000000001</v>
      </c>
      <c r="BB5" s="29">
        <f t="shared" si="1"/>
        <v>82203.94</v>
      </c>
      <c r="BC5" s="29">
        <f t="shared" si="1"/>
        <v>6493.21</v>
      </c>
      <c r="BD5" s="29">
        <f t="shared" si="1"/>
        <v>19390.11</v>
      </c>
      <c r="BE5" s="29">
        <f t="shared" si="1"/>
        <v>0</v>
      </c>
      <c r="BF5" s="29">
        <f t="shared" si="1"/>
        <v>0</v>
      </c>
      <c r="BG5" s="29">
        <f t="shared" si="1"/>
        <v>0</v>
      </c>
      <c r="BH5" s="29">
        <f t="shared" si="1"/>
        <v>0</v>
      </c>
      <c r="BI5" s="29">
        <f t="shared" si="1"/>
        <v>0</v>
      </c>
      <c r="BJ5" s="29">
        <f t="shared" si="1"/>
        <v>0</v>
      </c>
      <c r="BK5" s="29">
        <f t="shared" si="1"/>
        <v>0</v>
      </c>
      <c r="BL5" s="29">
        <f t="shared" si="1"/>
        <v>3194.2</v>
      </c>
      <c r="BM5" s="29">
        <f t="shared" si="1"/>
        <v>1071.47</v>
      </c>
      <c r="BN5" s="29">
        <f t="shared" si="1"/>
        <v>0</v>
      </c>
      <c r="BO5" s="29">
        <f t="shared" si="1"/>
        <v>0</v>
      </c>
      <c r="BP5" s="29">
        <f t="shared" si="1"/>
        <v>0</v>
      </c>
      <c r="BQ5" s="29">
        <f t="shared" si="1"/>
        <v>2122.73</v>
      </c>
      <c r="BR5" s="29">
        <f t="shared" si="1"/>
        <v>0</v>
      </c>
      <c r="BS5" s="29">
        <f t="shared" si="1"/>
        <v>0</v>
      </c>
      <c r="BT5" s="30">
        <f t="shared" si="1"/>
        <v>0</v>
      </c>
    </row>
    <row r="6" spans="1:72" s="37" customFormat="1" ht="12.75">
      <c r="A6" s="26" t="s">
        <v>169</v>
      </c>
      <c r="B6" s="31"/>
      <c r="C6" s="31"/>
      <c r="D6" s="32"/>
      <c r="E6" s="27">
        <f>H6+AC6+AT6</f>
        <v>20122.03</v>
      </c>
      <c r="F6" s="27" t="s">
        <v>1</v>
      </c>
      <c r="G6" s="27" t="s">
        <v>2</v>
      </c>
      <c r="H6" s="33">
        <f>SUMIF(I$12:AB$12,"总值",I6:AB6)</f>
        <v>19544.46</v>
      </c>
      <c r="I6" s="27">
        <f t="shared" ref="I6:AB6" si="2">ROUND($A$3*I5/$B$3,2)</f>
        <v>14864.21</v>
      </c>
      <c r="J6" s="27">
        <f t="shared" si="2"/>
        <v>0</v>
      </c>
      <c r="K6" s="27">
        <f t="shared" si="2"/>
        <v>1174.1099999999999</v>
      </c>
      <c r="L6" s="27">
        <f t="shared" si="2"/>
        <v>0</v>
      </c>
      <c r="M6" s="27">
        <f t="shared" si="2"/>
        <v>3506.14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577.56999999999994</v>
      </c>
      <c r="AD6" s="27">
        <f t="shared" ref="AD6:AS6" si="3">ROUND($A$3*AD5/$B$3,2)</f>
        <v>193.74</v>
      </c>
      <c r="AE6" s="27">
        <f t="shared" si="3"/>
        <v>0</v>
      </c>
      <c r="AF6" s="27">
        <f t="shared" si="3"/>
        <v>0</v>
      </c>
      <c r="AG6" s="27">
        <f t="shared" si="3"/>
        <v>0</v>
      </c>
      <c r="AH6" s="27">
        <f t="shared" si="3"/>
        <v>0</v>
      </c>
      <c r="AI6" s="27">
        <f t="shared" si="3"/>
        <v>0</v>
      </c>
      <c r="AJ6" s="27">
        <f t="shared" si="3"/>
        <v>0</v>
      </c>
      <c r="AK6" s="27">
        <f t="shared" si="3"/>
        <v>0</v>
      </c>
      <c r="AL6" s="27">
        <f t="shared" si="3"/>
        <v>383.83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20122.04</v>
      </c>
      <c r="AZ6" s="27" t="s">
        <v>3</v>
      </c>
      <c r="BA6" s="27">
        <f>ROUND($AY$6*BA5/$AZ$5,2)</f>
        <v>19544.46</v>
      </c>
      <c r="BB6" s="27">
        <f>ROUND($AY$6*BB5/$AZ$5,2)</f>
        <v>14864.21</v>
      </c>
      <c r="BC6" s="27">
        <f t="shared" ref="BC6:BH6" si="4">ROUND($AY$6*BC5/$AZ$5,2)</f>
        <v>1174.1099999999999</v>
      </c>
      <c r="BD6" s="27">
        <f t="shared" si="4"/>
        <v>3506.14</v>
      </c>
      <c r="BE6" s="27">
        <f t="shared" si="4"/>
        <v>0</v>
      </c>
      <c r="BF6" s="27">
        <f t="shared" si="4"/>
        <v>0</v>
      </c>
      <c r="BG6" s="27">
        <f t="shared" si="4"/>
        <v>0</v>
      </c>
      <c r="BH6" s="27">
        <f t="shared" si="4"/>
        <v>0</v>
      </c>
      <c r="BI6" s="27">
        <f t="shared" ref="BI6:BT6" si="5">ROUND($AY$6*BI5/$AZ$5,2)</f>
        <v>0</v>
      </c>
      <c r="BJ6" s="27">
        <f t="shared" si="5"/>
        <v>0</v>
      </c>
      <c r="BK6" s="27">
        <f t="shared" si="5"/>
        <v>0</v>
      </c>
      <c r="BL6" s="27">
        <f t="shared" si="5"/>
        <v>577.58000000000004</v>
      </c>
      <c r="BM6" s="27">
        <f t="shared" si="5"/>
        <v>193.74</v>
      </c>
      <c r="BN6" s="27">
        <f t="shared" si="5"/>
        <v>0</v>
      </c>
      <c r="BO6" s="27">
        <f t="shared" si="5"/>
        <v>0</v>
      </c>
      <c r="BP6" s="27">
        <f t="shared" si="5"/>
        <v>0</v>
      </c>
      <c r="BQ6" s="27">
        <f t="shared" si="5"/>
        <v>383.83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20122.04</v>
      </c>
      <c r="F13" s="81"/>
      <c r="G13" s="82">
        <f t="shared" ref="G13:G20" si="7">H13+AC13+AT13</f>
        <v>111281.46</v>
      </c>
      <c r="H13" s="33">
        <f t="shared" ref="H13:H20" si="8">SUMIF(I$12:AB$12,"总值",I13:AB13)</f>
        <v>108087.26000000001</v>
      </c>
      <c r="I13" s="2967">
        <f>三块地面积表!E13</f>
        <v>82203.94</v>
      </c>
      <c r="J13" s="2967"/>
      <c r="K13" s="2967">
        <f>三块地面积表!E14</f>
        <v>6493.21</v>
      </c>
      <c r="L13" s="2967"/>
      <c r="M13" s="2967">
        <f>三块地面积表!E15</f>
        <v>19390.11</v>
      </c>
      <c r="N13" s="83"/>
      <c r="O13" s="83"/>
      <c r="P13" s="83"/>
      <c r="Q13" s="83"/>
      <c r="R13" s="83"/>
      <c r="S13" s="83"/>
      <c r="T13" s="83"/>
      <c r="U13" s="83"/>
      <c r="V13" s="83"/>
      <c r="W13" s="83"/>
      <c r="X13" s="83"/>
      <c r="Y13" s="83"/>
      <c r="Z13" s="83"/>
      <c r="AA13" s="83"/>
      <c r="AB13" s="83"/>
      <c r="AC13" s="27">
        <f t="shared" ref="AC13:AC20" si="9">SUMIF(AD$12:AS$12,"总值",AD13:AS13)</f>
        <v>3194.2</v>
      </c>
      <c r="AD13" s="2971">
        <f>三块地面积表!E16</f>
        <v>1071.47</v>
      </c>
      <c r="AE13" s="2971"/>
      <c r="AF13" s="2971"/>
      <c r="AG13" s="2971"/>
      <c r="AH13" s="2971"/>
      <c r="AI13" s="2971"/>
      <c r="AJ13" s="2971"/>
      <c r="AK13" s="2971"/>
      <c r="AL13" s="2971">
        <f>三块地面积表!E18</f>
        <v>2122.73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20122.04</v>
      </c>
      <c r="AZ13" s="27">
        <f t="shared" ref="AZ13:AZ20" si="12">BA13+BL13</f>
        <v>111281.46</v>
      </c>
      <c r="BA13" s="27">
        <f t="shared" ref="BA13:BA20" si="13">SUM(BB13:BK13)</f>
        <v>108087.26000000001</v>
      </c>
      <c r="BB13" s="27">
        <f t="shared" ref="BB13:BB20" si="14">IF($D13="是",I13-J13,0)</f>
        <v>82203.94</v>
      </c>
      <c r="BC13" s="27">
        <f t="shared" ref="BC13:BC20" si="15">IF($D13="是",K13-L13,0)</f>
        <v>6493.21</v>
      </c>
      <c r="BD13" s="27">
        <f t="shared" ref="BD13:BD20" si="16">IF($D13="是",M13-N13,0)</f>
        <v>19390.11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3194.2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2122.73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88" t="s">
        <v>0</v>
      </c>
      <c r="B1" s="3888" t="s">
        <v>4</v>
      </c>
      <c r="C1" s="3888" t="s">
        <v>5</v>
      </c>
      <c r="D1" s="3889" t="s">
        <v>40</v>
      </c>
      <c r="E1" s="3889" t="s">
        <v>41</v>
      </c>
      <c r="F1" s="3889"/>
      <c r="G1" s="3889"/>
      <c r="H1" s="3889"/>
      <c r="I1" s="3889"/>
      <c r="J1" s="3889"/>
      <c r="K1" s="3889"/>
      <c r="L1" s="3889"/>
      <c r="M1" s="3889"/>
    </row>
    <row r="2" spans="1:13" ht="27" customHeight="1">
      <c r="A2" s="3888"/>
      <c r="B2" s="3888"/>
      <c r="C2" s="3888"/>
      <c r="D2" s="3889"/>
      <c r="E2" s="3889" t="s">
        <v>24</v>
      </c>
      <c r="F2" s="3889" t="s">
        <v>25</v>
      </c>
      <c r="G2" s="3889"/>
      <c r="H2" s="3889"/>
      <c r="I2" s="3889"/>
      <c r="J2" s="3889" t="s">
        <v>26</v>
      </c>
      <c r="K2" s="3889"/>
      <c r="L2" s="3889"/>
      <c r="M2" s="3889"/>
    </row>
    <row r="3" spans="1:13" ht="28.5">
      <c r="A3" s="3888"/>
      <c r="B3" s="3888"/>
      <c r="C3" s="3888"/>
      <c r="D3" s="3889"/>
      <c r="E3" s="38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89" t="s">
        <v>42</v>
      </c>
      <c r="B9" s="3889"/>
      <c r="C9" s="38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36" t="s">
        <v>3178</v>
      </c>
      <c r="B1" s="3936"/>
      <c r="C1" s="3936"/>
      <c r="D1" s="3936"/>
      <c r="E1" s="3936"/>
      <c r="F1" s="3936"/>
      <c r="G1" s="3936"/>
      <c r="H1" s="3936"/>
      <c r="I1" s="3936"/>
      <c r="J1" s="3936"/>
      <c r="K1" s="3936"/>
      <c r="L1" s="3207"/>
      <c r="M1" s="3207"/>
      <c r="N1" s="3208"/>
      <c r="O1" s="3208"/>
      <c r="P1" s="3208"/>
      <c r="Q1" s="3208"/>
      <c r="R1" s="3208"/>
      <c r="S1" s="3208"/>
      <c r="T1" s="3208"/>
      <c r="U1" s="3208"/>
    </row>
    <row r="2" spans="1:21" ht="14.25">
      <c r="A2" s="3937" t="s">
        <v>3179</v>
      </c>
      <c r="B2" s="3938" t="s">
        <v>3180</v>
      </c>
      <c r="C2" s="3938" t="s">
        <v>3181</v>
      </c>
      <c r="D2" s="3938" t="s">
        <v>3182</v>
      </c>
      <c r="E2" s="3938" t="s">
        <v>3183</v>
      </c>
      <c r="F2" s="3938" t="s">
        <v>3184</v>
      </c>
      <c r="G2" s="3937" t="s">
        <v>3185</v>
      </c>
      <c r="H2" s="3938" t="s">
        <v>3186</v>
      </c>
      <c r="I2" s="3939" t="s">
        <v>3187</v>
      </c>
      <c r="J2" s="3938" t="s">
        <v>3188</v>
      </c>
      <c r="K2" s="3938" t="s">
        <v>3189</v>
      </c>
      <c r="L2" s="3210"/>
      <c r="M2" s="3210"/>
      <c r="N2" s="3211" t="s">
        <v>3190</v>
      </c>
      <c r="O2" s="3208"/>
      <c r="P2" s="3211"/>
      <c r="Q2" s="3208"/>
      <c r="R2" s="3208"/>
      <c r="S2" s="3208"/>
      <c r="T2" s="3208"/>
      <c r="U2" s="3208"/>
    </row>
    <row r="3" spans="1:21" ht="14.25">
      <c r="A3" s="3937"/>
      <c r="B3" s="3938"/>
      <c r="C3" s="3938"/>
      <c r="D3" s="3938"/>
      <c r="E3" s="3938"/>
      <c r="F3" s="3938"/>
      <c r="G3" s="3937"/>
      <c r="H3" s="3938"/>
      <c r="I3" s="3939"/>
      <c r="J3" s="3938"/>
      <c r="K3" s="3938"/>
      <c r="L3" s="3210"/>
      <c r="M3" s="3210"/>
      <c r="N3" s="3208"/>
      <c r="O3" s="3208"/>
      <c r="P3" s="3208"/>
      <c r="Q3" s="3208"/>
      <c r="R3" s="3208"/>
      <c r="S3" s="3208"/>
      <c r="T3" s="3208"/>
      <c r="U3" s="3208"/>
    </row>
    <row r="4" spans="1:21" ht="14.25">
      <c r="A4" s="3937"/>
      <c r="B4" s="3938"/>
      <c r="C4" s="3938"/>
      <c r="D4" s="3938"/>
      <c r="E4" s="3938"/>
      <c r="F4" s="3938"/>
      <c r="G4" s="3937"/>
      <c r="H4" s="3938"/>
      <c r="I4" s="3939"/>
      <c r="J4" s="3938"/>
      <c r="K4" s="3938"/>
      <c r="L4" s="3210"/>
      <c r="M4" s="3210"/>
      <c r="N4" s="3208"/>
      <c r="O4" s="3208"/>
      <c r="P4" s="3211"/>
      <c r="Q4" s="3211"/>
      <c r="R4" s="3211"/>
      <c r="S4" s="3212"/>
      <c r="T4" s="3212"/>
      <c r="U4" s="3212"/>
    </row>
    <row r="5" spans="1:21" ht="14.25">
      <c r="A5" s="3903" t="s">
        <v>3191</v>
      </c>
      <c r="B5" s="3913" t="s">
        <v>3192</v>
      </c>
      <c r="C5" s="3935" t="s">
        <v>3193</v>
      </c>
      <c r="D5" s="3213" t="s">
        <v>2997</v>
      </c>
      <c r="E5" s="3213" t="s">
        <v>3194</v>
      </c>
      <c r="F5" s="3935">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903"/>
      <c r="B6" s="3934"/>
      <c r="C6" s="3935"/>
      <c r="D6" s="3213" t="s">
        <v>3196</v>
      </c>
      <c r="E6" s="3213">
        <v>3</v>
      </c>
      <c r="F6" s="3935"/>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903"/>
      <c r="B7" s="3934"/>
      <c r="C7" s="3935"/>
      <c r="D7" s="3213" t="s">
        <v>3198</v>
      </c>
      <c r="E7" s="3213">
        <v>3</v>
      </c>
      <c r="F7" s="3935"/>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903"/>
      <c r="B8" s="3934"/>
      <c r="C8" s="3935"/>
      <c r="D8" s="3213" t="s">
        <v>3201</v>
      </c>
      <c r="E8" s="3213">
        <v>6</v>
      </c>
      <c r="F8" s="3935"/>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903"/>
      <c r="B9" s="3934"/>
      <c r="C9" s="3935"/>
      <c r="D9" s="3213" t="s">
        <v>3203</v>
      </c>
      <c r="E9" s="3213">
        <v>4.5</v>
      </c>
      <c r="F9" s="3935"/>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903"/>
      <c r="B10" s="3934"/>
      <c r="C10" s="3899" t="s">
        <v>3205</v>
      </c>
      <c r="D10" s="3225" t="s">
        <v>3206</v>
      </c>
      <c r="E10" s="3899">
        <v>3</v>
      </c>
      <c r="F10" s="3899">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903"/>
      <c r="B11" s="3934"/>
      <c r="C11" s="3904"/>
      <c r="D11" s="3225" t="s">
        <v>3207</v>
      </c>
      <c r="E11" s="3904"/>
      <c r="F11" s="3904"/>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903"/>
      <c r="B12" s="3934"/>
      <c r="C12" s="3900"/>
      <c r="D12" s="3225" t="s">
        <v>3208</v>
      </c>
      <c r="E12" s="3900"/>
      <c r="F12" s="3900"/>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903"/>
      <c r="B13" s="3934"/>
      <c r="C13" s="3899" t="s">
        <v>3209</v>
      </c>
      <c r="D13" s="3225" t="s">
        <v>3206</v>
      </c>
      <c r="E13" s="3899">
        <v>3</v>
      </c>
      <c r="F13" s="3899">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903"/>
      <c r="B14" s="3934"/>
      <c r="C14" s="3900"/>
      <c r="D14" s="3225" t="s">
        <v>3198</v>
      </c>
      <c r="E14" s="3900"/>
      <c r="F14" s="3900"/>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903"/>
      <c r="B15" s="3934"/>
      <c r="C15" s="3899" t="s">
        <v>3210</v>
      </c>
      <c r="D15" s="3225" t="s">
        <v>923</v>
      </c>
      <c r="E15" s="3899">
        <v>3</v>
      </c>
      <c r="F15" s="3899">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903"/>
      <c r="B16" s="3934"/>
      <c r="C16" s="3900"/>
      <c r="D16" s="3225" t="s">
        <v>3208</v>
      </c>
      <c r="E16" s="3900"/>
      <c r="F16" s="3900"/>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903"/>
      <c r="B17" s="3934"/>
      <c r="C17" s="3899" t="s">
        <v>3211</v>
      </c>
      <c r="D17" s="3225" t="s">
        <v>923</v>
      </c>
      <c r="E17" s="3899">
        <v>3</v>
      </c>
      <c r="F17" s="3899">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903"/>
      <c r="B18" s="3914"/>
      <c r="C18" s="3900"/>
      <c r="D18" s="3225" t="s">
        <v>3208</v>
      </c>
      <c r="E18" s="3900"/>
      <c r="F18" s="3900"/>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903"/>
      <c r="B19" s="3890" t="s">
        <v>27</v>
      </c>
      <c r="C19" s="3890"/>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930" t="s">
        <v>3212</v>
      </c>
      <c r="B20" s="3905"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931"/>
      <c r="B21" s="3906"/>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931"/>
      <c r="B22" s="3906"/>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931"/>
      <c r="B23" s="3906"/>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931"/>
      <c r="B24" s="3907"/>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932"/>
      <c r="B25" s="3908" t="s">
        <v>3217</v>
      </c>
      <c r="C25" s="3909"/>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924" t="s">
        <v>3218</v>
      </c>
      <c r="B26" s="3922" t="s">
        <v>3219</v>
      </c>
      <c r="C26" s="3927" t="s">
        <v>3193</v>
      </c>
      <c r="D26" s="3241" t="s">
        <v>2997</v>
      </c>
      <c r="E26" s="3241">
        <v>4.8</v>
      </c>
      <c r="F26" s="3927">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924"/>
      <c r="B27" s="3933"/>
      <c r="C27" s="3928"/>
      <c r="D27" s="3241" t="s">
        <v>3221</v>
      </c>
      <c r="E27" s="3241">
        <v>4.5</v>
      </c>
      <c r="F27" s="3928"/>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924"/>
      <c r="B28" s="3933"/>
      <c r="C28" s="3929"/>
      <c r="D28" s="3241" t="s">
        <v>3223</v>
      </c>
      <c r="E28" s="3241">
        <v>3</v>
      </c>
      <c r="F28" s="3929"/>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924"/>
      <c r="B29" s="3933"/>
      <c r="C29" s="3922" t="s">
        <v>3225</v>
      </c>
      <c r="D29" s="3249" t="s">
        <v>3226</v>
      </c>
      <c r="E29" s="3922">
        <v>3</v>
      </c>
      <c r="F29" s="3922">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924"/>
      <c r="B30" s="3933"/>
      <c r="C30" s="3923"/>
      <c r="D30" s="3249" t="s">
        <v>3227</v>
      </c>
      <c r="E30" s="3923"/>
      <c r="F30" s="3923"/>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924"/>
      <c r="B31" s="3933"/>
      <c r="C31" s="3922" t="s">
        <v>3228</v>
      </c>
      <c r="D31" s="3249" t="s">
        <v>923</v>
      </c>
      <c r="E31" s="3922">
        <v>3</v>
      </c>
      <c r="F31" s="3922">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924"/>
      <c r="B32" s="3933"/>
      <c r="C32" s="3923"/>
      <c r="D32" s="3249" t="s">
        <v>3229</v>
      </c>
      <c r="E32" s="3923"/>
      <c r="F32" s="3923"/>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924"/>
      <c r="B33" s="3933"/>
      <c r="C33" s="3922" t="s">
        <v>3230</v>
      </c>
      <c r="D33" s="3249" t="s">
        <v>923</v>
      </c>
      <c r="E33" s="3922">
        <v>3</v>
      </c>
      <c r="F33" s="3922">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924"/>
      <c r="B34" s="3923"/>
      <c r="C34" s="3923"/>
      <c r="D34" s="3249" t="s">
        <v>3231</v>
      </c>
      <c r="E34" s="3923"/>
      <c r="F34" s="3923"/>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924"/>
      <c r="B35" s="3924" t="s">
        <v>27</v>
      </c>
      <c r="C35" s="3924"/>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919" t="s">
        <v>3232</v>
      </c>
      <c r="B36" s="3919" t="s">
        <v>3233</v>
      </c>
      <c r="C36" s="3919" t="s">
        <v>3234</v>
      </c>
      <c r="D36" s="3250" t="s">
        <v>3222</v>
      </c>
      <c r="E36" s="3251">
        <v>4.8</v>
      </c>
      <c r="F36" s="3919">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921"/>
      <c r="B37" s="3921"/>
      <c r="C37" s="3921"/>
      <c r="D37" s="3250" t="s">
        <v>3220</v>
      </c>
      <c r="E37" s="3925">
        <v>3</v>
      </c>
      <c r="F37" s="3921"/>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921"/>
      <c r="B38" s="3921"/>
      <c r="C38" s="3920"/>
      <c r="D38" s="3250" t="s">
        <v>3236</v>
      </c>
      <c r="E38" s="3926"/>
      <c r="F38" s="3920"/>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921"/>
      <c r="B39" s="3921"/>
      <c r="C39" s="3919" t="s">
        <v>3237</v>
      </c>
      <c r="D39" s="3250" t="s">
        <v>3238</v>
      </c>
      <c r="E39" s="3919">
        <v>3</v>
      </c>
      <c r="F39" s="3919">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921"/>
      <c r="B40" s="3921"/>
      <c r="C40" s="3920"/>
      <c r="D40" s="3250" t="s">
        <v>3239</v>
      </c>
      <c r="E40" s="3920"/>
      <c r="F40" s="3920"/>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921"/>
      <c r="B41" s="3921"/>
      <c r="C41" s="3919" t="s">
        <v>3240</v>
      </c>
      <c r="D41" s="3250" t="s">
        <v>923</v>
      </c>
      <c r="E41" s="3919">
        <v>3</v>
      </c>
      <c r="F41" s="3919">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921"/>
      <c r="B42" s="3921"/>
      <c r="C42" s="3920"/>
      <c r="D42" s="3250" t="s">
        <v>3236</v>
      </c>
      <c r="E42" s="3920"/>
      <c r="F42" s="3920"/>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921"/>
      <c r="B43" s="3921"/>
      <c r="C43" s="3919" t="s">
        <v>3241</v>
      </c>
      <c r="D43" s="3250" t="s">
        <v>923</v>
      </c>
      <c r="E43" s="3919">
        <v>3</v>
      </c>
      <c r="F43" s="3919">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921"/>
      <c r="B44" s="3921"/>
      <c r="C44" s="3920"/>
      <c r="D44" s="3250" t="s">
        <v>3236</v>
      </c>
      <c r="E44" s="3920"/>
      <c r="F44" s="3920"/>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921"/>
      <c r="B45" s="3921"/>
      <c r="C45" s="3919" t="s">
        <v>3242</v>
      </c>
      <c r="D45" s="3250" t="s">
        <v>923</v>
      </c>
      <c r="E45" s="3919">
        <v>3</v>
      </c>
      <c r="F45" s="3919">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921"/>
      <c r="B46" s="3920"/>
      <c r="C46" s="3920"/>
      <c r="D46" s="3250" t="s">
        <v>3236</v>
      </c>
      <c r="E46" s="3920"/>
      <c r="F46" s="3920"/>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920"/>
      <c r="B47" s="3917" t="s">
        <v>27</v>
      </c>
      <c r="C47" s="3917"/>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915" t="s">
        <v>3243</v>
      </c>
      <c r="B48" s="3915" t="s">
        <v>3244</v>
      </c>
      <c r="C48" s="3915" t="s">
        <v>3245</v>
      </c>
      <c r="D48" s="3257" t="s">
        <v>3246</v>
      </c>
      <c r="E48" s="3258">
        <v>4.8</v>
      </c>
      <c r="F48" s="3915">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918"/>
      <c r="B49" s="3918"/>
      <c r="C49" s="3918"/>
      <c r="D49" s="3257" t="s">
        <v>3247</v>
      </c>
      <c r="E49" s="3263">
        <v>3</v>
      </c>
      <c r="F49" s="3918"/>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918"/>
      <c r="B50" s="3918"/>
      <c r="C50" s="3916"/>
      <c r="D50" s="3257" t="s">
        <v>3248</v>
      </c>
      <c r="E50" s="3263"/>
      <c r="F50" s="3916"/>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918"/>
      <c r="B51" s="3918"/>
      <c r="C51" s="3915" t="s">
        <v>3249</v>
      </c>
      <c r="D51" s="3257" t="s">
        <v>3250</v>
      </c>
      <c r="E51" s="3915">
        <v>3</v>
      </c>
      <c r="F51" s="3915">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918"/>
      <c r="B52" s="3918"/>
      <c r="C52" s="3916"/>
      <c r="D52" s="3257" t="s">
        <v>3248</v>
      </c>
      <c r="E52" s="3916"/>
      <c r="F52" s="3916"/>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918"/>
      <c r="B53" s="3918"/>
      <c r="C53" s="3915" t="s">
        <v>3251</v>
      </c>
      <c r="D53" s="3257" t="s">
        <v>923</v>
      </c>
      <c r="E53" s="3915">
        <v>3</v>
      </c>
      <c r="F53" s="3915">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918"/>
      <c r="B54" s="3918"/>
      <c r="C54" s="3916"/>
      <c r="D54" s="3257" t="s">
        <v>3248</v>
      </c>
      <c r="E54" s="3916"/>
      <c r="F54" s="3916"/>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918"/>
      <c r="B55" s="3918"/>
      <c r="C55" s="3915" t="s">
        <v>3252</v>
      </c>
      <c r="D55" s="3257" t="s">
        <v>923</v>
      </c>
      <c r="E55" s="3915">
        <v>3</v>
      </c>
      <c r="F55" s="3915">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918"/>
      <c r="B56" s="3918"/>
      <c r="C56" s="3916"/>
      <c r="D56" s="3257" t="s">
        <v>3248</v>
      </c>
      <c r="E56" s="3916"/>
      <c r="F56" s="3916"/>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918"/>
      <c r="B57" s="3918"/>
      <c r="C57" s="3915" t="s">
        <v>3253</v>
      </c>
      <c r="D57" s="3257" t="s">
        <v>923</v>
      </c>
      <c r="E57" s="3915">
        <v>3</v>
      </c>
      <c r="F57" s="3915">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918"/>
      <c r="B58" s="3916"/>
      <c r="C58" s="3916"/>
      <c r="D58" s="3257" t="s">
        <v>3248</v>
      </c>
      <c r="E58" s="3916"/>
      <c r="F58" s="3916"/>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916"/>
      <c r="B59" s="3912" t="s">
        <v>27</v>
      </c>
      <c r="C59" s="3912"/>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896" t="s">
        <v>3254</v>
      </c>
      <c r="B60" s="3905"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897"/>
      <c r="B61" s="3906"/>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897"/>
      <c r="B62" s="3906"/>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897"/>
      <c r="B63" s="3906"/>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897"/>
      <c r="B64" s="3907"/>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898"/>
      <c r="B65" s="3908" t="s">
        <v>3258</v>
      </c>
      <c r="C65" s="3909"/>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915" t="s">
        <v>3259</v>
      </c>
      <c r="B66" s="3915" t="s">
        <v>3255</v>
      </c>
      <c r="C66" s="3915" t="s">
        <v>3256</v>
      </c>
      <c r="D66" s="3257" t="s">
        <v>3257</v>
      </c>
      <c r="E66" s="3258">
        <v>4.8</v>
      </c>
      <c r="F66" s="3915">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918"/>
      <c r="B67" s="3918"/>
      <c r="C67" s="3918"/>
      <c r="D67" s="3257" t="s">
        <v>3250</v>
      </c>
      <c r="E67" s="3263">
        <v>3</v>
      </c>
      <c r="F67" s="3918"/>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918"/>
      <c r="B68" s="3918"/>
      <c r="C68" s="3915" t="s">
        <v>3249</v>
      </c>
      <c r="D68" s="3257" t="s">
        <v>3250</v>
      </c>
      <c r="E68" s="3915">
        <v>3</v>
      </c>
      <c r="F68" s="3915">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918"/>
      <c r="B69" s="3918"/>
      <c r="C69" s="3916"/>
      <c r="D69" s="3257" t="s">
        <v>3248</v>
      </c>
      <c r="E69" s="3916"/>
      <c r="F69" s="3916"/>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918"/>
      <c r="B70" s="3918"/>
      <c r="C70" s="3915" t="s">
        <v>3251</v>
      </c>
      <c r="D70" s="3257" t="s">
        <v>923</v>
      </c>
      <c r="E70" s="3915">
        <v>3</v>
      </c>
      <c r="F70" s="3915">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918"/>
      <c r="B71" s="3918"/>
      <c r="C71" s="3916"/>
      <c r="D71" s="3257" t="s">
        <v>3248</v>
      </c>
      <c r="E71" s="3916"/>
      <c r="F71" s="3916"/>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918"/>
      <c r="B72" s="3918"/>
      <c r="C72" s="3915" t="s">
        <v>3252</v>
      </c>
      <c r="D72" s="3257" t="s">
        <v>923</v>
      </c>
      <c r="E72" s="3915">
        <v>3</v>
      </c>
      <c r="F72" s="3915">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918"/>
      <c r="B73" s="3918"/>
      <c r="C73" s="3916"/>
      <c r="D73" s="3257" t="s">
        <v>3248</v>
      </c>
      <c r="E73" s="3916"/>
      <c r="F73" s="3916"/>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918"/>
      <c r="B74" s="3918"/>
      <c r="C74" s="3915" t="s">
        <v>3253</v>
      </c>
      <c r="D74" s="3257" t="s">
        <v>923</v>
      </c>
      <c r="E74" s="3915">
        <v>3</v>
      </c>
      <c r="F74" s="3915">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918"/>
      <c r="B75" s="3916"/>
      <c r="C75" s="3916"/>
      <c r="D75" s="3257" t="s">
        <v>3248</v>
      </c>
      <c r="E75" s="3916"/>
      <c r="F75" s="3916"/>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916"/>
      <c r="B76" s="3912" t="s">
        <v>27</v>
      </c>
      <c r="C76" s="3912"/>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919" t="s">
        <v>3260</v>
      </c>
      <c r="B77" s="3919" t="s">
        <v>3255</v>
      </c>
      <c r="C77" s="3919" t="s">
        <v>3256</v>
      </c>
      <c r="D77" s="3250" t="s">
        <v>3257</v>
      </c>
      <c r="E77" s="3251">
        <v>4.8</v>
      </c>
      <c r="F77" s="3919">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921"/>
      <c r="B78" s="3921"/>
      <c r="C78" s="3921"/>
      <c r="D78" s="3250" t="s">
        <v>3250</v>
      </c>
      <c r="E78" s="3264">
        <v>3</v>
      </c>
      <c r="F78" s="3921"/>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921"/>
      <c r="B79" s="3921"/>
      <c r="C79" s="3920"/>
      <c r="D79" s="3250" t="s">
        <v>3248</v>
      </c>
      <c r="E79" s="3264"/>
      <c r="F79" s="3920"/>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921"/>
      <c r="B80" s="3921"/>
      <c r="C80" s="3919" t="s">
        <v>3249</v>
      </c>
      <c r="D80" s="3250" t="s">
        <v>3250</v>
      </c>
      <c r="E80" s="3919">
        <v>3</v>
      </c>
      <c r="F80" s="3919">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921"/>
      <c r="B81" s="3921"/>
      <c r="C81" s="3920"/>
      <c r="D81" s="3250" t="s">
        <v>3248</v>
      </c>
      <c r="E81" s="3920"/>
      <c r="F81" s="3920"/>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921"/>
      <c r="B82" s="3921"/>
      <c r="C82" s="3919" t="s">
        <v>3251</v>
      </c>
      <c r="D82" s="3250" t="s">
        <v>923</v>
      </c>
      <c r="E82" s="3919">
        <v>3</v>
      </c>
      <c r="F82" s="3919">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921"/>
      <c r="B83" s="3921"/>
      <c r="C83" s="3920"/>
      <c r="D83" s="3250" t="s">
        <v>3248</v>
      </c>
      <c r="E83" s="3920"/>
      <c r="F83" s="3920"/>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921"/>
      <c r="B84" s="3921"/>
      <c r="C84" s="3919" t="s">
        <v>3252</v>
      </c>
      <c r="D84" s="3250" t="s">
        <v>923</v>
      </c>
      <c r="E84" s="3919">
        <v>3</v>
      </c>
      <c r="F84" s="3919">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921"/>
      <c r="B85" s="3921"/>
      <c r="C85" s="3920"/>
      <c r="D85" s="3250" t="s">
        <v>3248</v>
      </c>
      <c r="E85" s="3920"/>
      <c r="F85" s="3920"/>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921"/>
      <c r="B86" s="3921"/>
      <c r="C86" s="3919" t="s">
        <v>3253</v>
      </c>
      <c r="D86" s="3250" t="s">
        <v>923</v>
      </c>
      <c r="E86" s="3919">
        <v>3</v>
      </c>
      <c r="F86" s="3919">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921"/>
      <c r="B87" s="3920"/>
      <c r="C87" s="3920"/>
      <c r="D87" s="3250" t="s">
        <v>3248</v>
      </c>
      <c r="E87" s="3920"/>
      <c r="F87" s="3920"/>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920"/>
      <c r="B88" s="3917" t="s">
        <v>27</v>
      </c>
      <c r="C88" s="3917"/>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896" t="s">
        <v>3261</v>
      </c>
      <c r="B89" s="3905"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897"/>
      <c r="B90" s="3906"/>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897"/>
      <c r="B91" s="3906"/>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897"/>
      <c r="B92" s="3906"/>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897"/>
      <c r="B93" s="3907"/>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898"/>
      <c r="B94" s="3908" t="s">
        <v>3258</v>
      </c>
      <c r="C94" s="3909"/>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896" t="s">
        <v>3262</v>
      </c>
      <c r="B95" s="3905"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897"/>
      <c r="B96" s="3906"/>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897"/>
      <c r="B97" s="3906"/>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897"/>
      <c r="B98" s="3906"/>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897"/>
      <c r="B99" s="3907"/>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898"/>
      <c r="B100" s="3908" t="s">
        <v>3258</v>
      </c>
      <c r="C100" s="3909"/>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919" t="s">
        <v>3263</v>
      </c>
      <c r="B101" s="3919" t="s">
        <v>3255</v>
      </c>
      <c r="C101" s="3919" t="s">
        <v>3256</v>
      </c>
      <c r="D101" s="3250" t="s">
        <v>3257</v>
      </c>
      <c r="E101" s="3251">
        <v>4.8</v>
      </c>
      <c r="F101" s="3919">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921"/>
      <c r="B102" s="3921"/>
      <c r="C102" s="3921"/>
      <c r="D102" s="3250" t="s">
        <v>3250</v>
      </c>
      <c r="E102" s="3264">
        <v>3</v>
      </c>
      <c r="F102" s="3921"/>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921"/>
      <c r="B103" s="3921"/>
      <c r="C103" s="3920"/>
      <c r="D103" s="3250" t="s">
        <v>3248</v>
      </c>
      <c r="E103" s="3264"/>
      <c r="F103" s="3920"/>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921"/>
      <c r="B104" s="3921"/>
      <c r="C104" s="3919" t="s">
        <v>3249</v>
      </c>
      <c r="D104" s="3250" t="s">
        <v>3250</v>
      </c>
      <c r="E104" s="3919">
        <v>3</v>
      </c>
      <c r="F104" s="3919">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921"/>
      <c r="B105" s="3921"/>
      <c r="C105" s="3920"/>
      <c r="D105" s="3250" t="s">
        <v>3248</v>
      </c>
      <c r="E105" s="3920"/>
      <c r="F105" s="3920"/>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921"/>
      <c r="B106" s="3921"/>
      <c r="C106" s="3919" t="s">
        <v>3251</v>
      </c>
      <c r="D106" s="3250" t="s">
        <v>923</v>
      </c>
      <c r="E106" s="3919">
        <v>3</v>
      </c>
      <c r="F106" s="3919">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921"/>
      <c r="B107" s="3921"/>
      <c r="C107" s="3920"/>
      <c r="D107" s="3250" t="s">
        <v>3248</v>
      </c>
      <c r="E107" s="3920"/>
      <c r="F107" s="3920"/>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921"/>
      <c r="B108" s="3921"/>
      <c r="C108" s="3919" t="s">
        <v>3252</v>
      </c>
      <c r="D108" s="3250" t="s">
        <v>923</v>
      </c>
      <c r="E108" s="3919">
        <v>3</v>
      </c>
      <c r="F108" s="3919">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921"/>
      <c r="B109" s="3921"/>
      <c r="C109" s="3920"/>
      <c r="D109" s="3250" t="s">
        <v>3248</v>
      </c>
      <c r="E109" s="3920"/>
      <c r="F109" s="3920"/>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921"/>
      <c r="B110" s="3921"/>
      <c r="C110" s="3919" t="s">
        <v>3253</v>
      </c>
      <c r="D110" s="3250" t="s">
        <v>923</v>
      </c>
      <c r="E110" s="3919">
        <v>3</v>
      </c>
      <c r="F110" s="3919">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921"/>
      <c r="B111" s="3920"/>
      <c r="C111" s="3920"/>
      <c r="D111" s="3250" t="s">
        <v>3248</v>
      </c>
      <c r="E111" s="3920"/>
      <c r="F111" s="3920"/>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920"/>
      <c r="B112" s="3917" t="s">
        <v>27</v>
      </c>
      <c r="C112" s="3917"/>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915" t="s">
        <v>3264</v>
      </c>
      <c r="B113" s="3915" t="s">
        <v>3255</v>
      </c>
      <c r="C113" s="3915" t="s">
        <v>3256</v>
      </c>
      <c r="D113" s="3257" t="s">
        <v>3257</v>
      </c>
      <c r="E113" s="3258">
        <v>4.8</v>
      </c>
      <c r="F113" s="3915">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918"/>
      <c r="B114" s="3918"/>
      <c r="C114" s="3918"/>
      <c r="D114" s="3257" t="s">
        <v>3265</v>
      </c>
      <c r="E114" s="3263">
        <v>3</v>
      </c>
      <c r="F114" s="3918"/>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918"/>
      <c r="B115" s="3918"/>
      <c r="C115" s="3916"/>
      <c r="D115" s="3257" t="s">
        <v>3266</v>
      </c>
      <c r="E115" s="3263">
        <v>3</v>
      </c>
      <c r="F115" s="3916"/>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918"/>
      <c r="B116" s="3918"/>
      <c r="C116" s="3915" t="s">
        <v>3249</v>
      </c>
      <c r="D116" s="3257" t="s">
        <v>3250</v>
      </c>
      <c r="E116" s="3915">
        <v>3</v>
      </c>
      <c r="F116" s="3915">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918"/>
      <c r="B117" s="3918"/>
      <c r="C117" s="3916"/>
      <c r="D117" s="3257" t="s">
        <v>3248</v>
      </c>
      <c r="E117" s="3916"/>
      <c r="F117" s="3916"/>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918"/>
      <c r="B118" s="3918"/>
      <c r="C118" s="3915" t="s">
        <v>3251</v>
      </c>
      <c r="D118" s="3257" t="s">
        <v>923</v>
      </c>
      <c r="E118" s="3915">
        <v>3</v>
      </c>
      <c r="F118" s="3915">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918"/>
      <c r="B119" s="3918"/>
      <c r="C119" s="3916"/>
      <c r="D119" s="3257" t="s">
        <v>3248</v>
      </c>
      <c r="E119" s="3916"/>
      <c r="F119" s="3916"/>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918"/>
      <c r="B120" s="3918"/>
      <c r="C120" s="3915" t="s">
        <v>3268</v>
      </c>
      <c r="D120" s="3257" t="s">
        <v>923</v>
      </c>
      <c r="E120" s="3915">
        <v>3</v>
      </c>
      <c r="F120" s="3915">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918"/>
      <c r="B121" s="3918"/>
      <c r="C121" s="3916"/>
      <c r="D121" s="3257" t="s">
        <v>3248</v>
      </c>
      <c r="E121" s="3916"/>
      <c r="F121" s="3916"/>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918"/>
      <c r="B122" s="3918"/>
      <c r="C122" s="3915" t="s">
        <v>3269</v>
      </c>
      <c r="D122" s="3257" t="s">
        <v>923</v>
      </c>
      <c r="E122" s="3915">
        <v>3</v>
      </c>
      <c r="F122" s="3915">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918"/>
      <c r="B123" s="3916"/>
      <c r="C123" s="3916"/>
      <c r="D123" s="3257" t="s">
        <v>3248</v>
      </c>
      <c r="E123" s="3916"/>
      <c r="F123" s="3916"/>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916"/>
      <c r="B124" s="3912" t="s">
        <v>27</v>
      </c>
      <c r="C124" s="3912"/>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896" t="s">
        <v>3270</v>
      </c>
      <c r="B125" s="3899" t="s">
        <v>3255</v>
      </c>
      <c r="C125" s="3890" t="s">
        <v>3256</v>
      </c>
      <c r="D125" s="3225" t="s">
        <v>3257</v>
      </c>
      <c r="E125" s="3266">
        <v>4.8</v>
      </c>
      <c r="F125" s="3899">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897"/>
      <c r="B126" s="3904"/>
      <c r="C126" s="3890"/>
      <c r="D126" s="3225" t="s">
        <v>3266</v>
      </c>
      <c r="E126" s="3266">
        <v>6</v>
      </c>
      <c r="F126" s="3904"/>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897"/>
      <c r="B127" s="3904"/>
      <c r="C127" s="3890"/>
      <c r="D127" s="3225" t="s">
        <v>3265</v>
      </c>
      <c r="E127" s="3266">
        <v>3</v>
      </c>
      <c r="F127" s="3904"/>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897"/>
      <c r="B128" s="3904"/>
      <c r="C128" s="3904" t="s">
        <v>3249</v>
      </c>
      <c r="D128" s="3225" t="s">
        <v>3250</v>
      </c>
      <c r="E128" s="3913">
        <v>3</v>
      </c>
      <c r="F128" s="3904">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897"/>
      <c r="B129" s="3904"/>
      <c r="C129" s="3900"/>
      <c r="D129" s="3225" t="s">
        <v>3248</v>
      </c>
      <c r="E129" s="3914"/>
      <c r="F129" s="3900"/>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897"/>
      <c r="B130" s="3904"/>
      <c r="C130" s="3899" t="s">
        <v>3251</v>
      </c>
      <c r="D130" s="3225" t="s">
        <v>923</v>
      </c>
      <c r="E130" s="3899">
        <v>3</v>
      </c>
      <c r="F130" s="3899">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897"/>
      <c r="B131" s="3904"/>
      <c r="C131" s="3900"/>
      <c r="D131" s="3225" t="s">
        <v>3248</v>
      </c>
      <c r="E131" s="3900"/>
      <c r="F131" s="3900"/>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897"/>
      <c r="B132" s="3904"/>
      <c r="C132" s="3899" t="s">
        <v>3252</v>
      </c>
      <c r="D132" s="3225" t="s">
        <v>923</v>
      </c>
      <c r="E132" s="3899">
        <v>3</v>
      </c>
      <c r="F132" s="3899">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897"/>
      <c r="B133" s="3904"/>
      <c r="C133" s="3900"/>
      <c r="D133" s="3225" t="s">
        <v>3248</v>
      </c>
      <c r="E133" s="3900"/>
      <c r="F133" s="3900"/>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897"/>
      <c r="B134" s="3904"/>
      <c r="C134" s="3899" t="s">
        <v>3253</v>
      </c>
      <c r="D134" s="3225" t="s">
        <v>923</v>
      </c>
      <c r="E134" s="3899">
        <v>3</v>
      </c>
      <c r="F134" s="3899">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897"/>
      <c r="B135" s="3900"/>
      <c r="C135" s="3900"/>
      <c r="D135" s="3225" t="s">
        <v>3248</v>
      </c>
      <c r="E135" s="3900"/>
      <c r="F135" s="3900"/>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898"/>
      <c r="B136" s="3890" t="s">
        <v>3258</v>
      </c>
      <c r="C136" s="3890"/>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896" t="s">
        <v>3271</v>
      </c>
      <c r="B137" s="3899"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897"/>
      <c r="B138" s="3904"/>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897"/>
      <c r="B139" s="3900"/>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898"/>
      <c r="B140" s="3910" t="s">
        <v>3258</v>
      </c>
      <c r="C140" s="3911"/>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896" t="s">
        <v>3274</v>
      </c>
      <c r="B141" s="3905"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897"/>
      <c r="B142" s="3906"/>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897"/>
      <c r="B143" s="3906"/>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897"/>
      <c r="B144" s="3906"/>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897"/>
      <c r="B145" s="3907"/>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898"/>
      <c r="B146" s="3908" t="s">
        <v>3258</v>
      </c>
      <c r="C146" s="3909"/>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896" t="s">
        <v>3276</v>
      </c>
      <c r="B147" s="3905"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897"/>
      <c r="B148" s="3906"/>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897"/>
      <c r="B149" s="3906"/>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897"/>
      <c r="B150" s="3906"/>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897"/>
      <c r="B151" s="3907"/>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898"/>
      <c r="B152" s="3908" t="s">
        <v>3258</v>
      </c>
      <c r="C152" s="3909"/>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896" t="s">
        <v>3277</v>
      </c>
      <c r="B153" s="3905"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897"/>
      <c r="B154" s="3906"/>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897"/>
      <c r="B155" s="3906"/>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897"/>
      <c r="B156" s="3906"/>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897"/>
      <c r="B157" s="3907"/>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898"/>
      <c r="B158" s="3908" t="s">
        <v>3258</v>
      </c>
      <c r="C158" s="3909"/>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896" t="s">
        <v>3278</v>
      </c>
      <c r="B159" s="3899" t="s">
        <v>3255</v>
      </c>
      <c r="C159" s="3899" t="s">
        <v>3256</v>
      </c>
      <c r="D159" s="3225" t="s">
        <v>3257</v>
      </c>
      <c r="E159" s="3213">
        <v>4.8</v>
      </c>
      <c r="F159" s="3899">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897"/>
      <c r="B160" s="3904"/>
      <c r="C160" s="3904"/>
      <c r="D160" s="3225" t="s">
        <v>3265</v>
      </c>
      <c r="E160" s="3266">
        <v>3</v>
      </c>
      <c r="F160" s="3904"/>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897"/>
      <c r="B161" s="3904"/>
      <c r="C161" s="3904"/>
      <c r="D161" s="3225" t="s">
        <v>3248</v>
      </c>
      <c r="E161" s="3266">
        <v>3</v>
      </c>
      <c r="F161" s="3904"/>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897"/>
      <c r="B162" s="3904"/>
      <c r="C162" s="3900"/>
      <c r="D162" s="3225" t="s">
        <v>3266</v>
      </c>
      <c r="E162" s="3266">
        <v>6</v>
      </c>
      <c r="F162" s="3900"/>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897"/>
      <c r="B163" s="3904"/>
      <c r="C163" s="3899" t="s">
        <v>3249</v>
      </c>
      <c r="D163" s="3225" t="s">
        <v>3250</v>
      </c>
      <c r="E163" s="3899">
        <v>3</v>
      </c>
      <c r="F163" s="3899">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897"/>
      <c r="B164" s="3904"/>
      <c r="C164" s="3900"/>
      <c r="D164" s="3225" t="s">
        <v>3248</v>
      </c>
      <c r="E164" s="3900"/>
      <c r="F164" s="3900"/>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897"/>
      <c r="B165" s="3904"/>
      <c r="C165" s="3899" t="s">
        <v>3251</v>
      </c>
      <c r="D165" s="3225" t="s">
        <v>923</v>
      </c>
      <c r="E165" s="3899">
        <v>3</v>
      </c>
      <c r="F165" s="3899">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897"/>
      <c r="B166" s="3904"/>
      <c r="C166" s="3900"/>
      <c r="D166" s="3225" t="s">
        <v>3248</v>
      </c>
      <c r="E166" s="3900"/>
      <c r="F166" s="3900"/>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897"/>
      <c r="B167" s="3904"/>
      <c r="C167" s="3899" t="s">
        <v>3252</v>
      </c>
      <c r="D167" s="3225" t="s">
        <v>923</v>
      </c>
      <c r="E167" s="3899">
        <v>3</v>
      </c>
      <c r="F167" s="3899">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897"/>
      <c r="B168" s="3904"/>
      <c r="C168" s="3900"/>
      <c r="D168" s="3225" t="s">
        <v>3248</v>
      </c>
      <c r="E168" s="3900"/>
      <c r="F168" s="3900"/>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897"/>
      <c r="B169" s="3904"/>
      <c r="C169" s="3899" t="s">
        <v>3253</v>
      </c>
      <c r="D169" s="3225" t="s">
        <v>923</v>
      </c>
      <c r="E169" s="3899">
        <v>3</v>
      </c>
      <c r="F169" s="3899">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897"/>
      <c r="B170" s="3900"/>
      <c r="C170" s="3900"/>
      <c r="D170" s="3225" t="s">
        <v>3248</v>
      </c>
      <c r="E170" s="3900"/>
      <c r="F170" s="3900"/>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898"/>
      <c r="B171" s="3890" t="s">
        <v>27</v>
      </c>
      <c r="C171" s="3890"/>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896" t="s">
        <v>3279</v>
      </c>
      <c r="B172" s="3896" t="s">
        <v>3280</v>
      </c>
      <c r="C172" s="3899"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897"/>
      <c r="B173" s="3898"/>
      <c r="C173" s="3900"/>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897"/>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898"/>
      <c r="B175" s="3901" t="s">
        <v>3258</v>
      </c>
      <c r="C175" s="3902"/>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903" t="s">
        <v>3284</v>
      </c>
      <c r="B176" s="3890" t="s">
        <v>3285</v>
      </c>
      <c r="C176" s="3890" t="s">
        <v>3286</v>
      </c>
      <c r="D176" s="3225" t="s">
        <v>2998</v>
      </c>
      <c r="E176" s="3890">
        <v>3.7</v>
      </c>
      <c r="F176" s="3890">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903"/>
      <c r="B177" s="3890"/>
      <c r="C177" s="3890"/>
      <c r="D177" s="3225" t="s">
        <v>3288</v>
      </c>
      <c r="E177" s="3890"/>
      <c r="F177" s="3890"/>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903"/>
      <c r="B178" s="3890" t="s">
        <v>27</v>
      </c>
      <c r="C178" s="3890"/>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891" t="s">
        <v>3290</v>
      </c>
      <c r="B179" s="3891"/>
      <c r="C179" s="3891"/>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892" t="s">
        <v>3291</v>
      </c>
      <c r="B180" s="3892"/>
      <c r="C180" s="3892"/>
      <c r="D180" s="3892"/>
      <c r="E180" s="3892"/>
      <c r="F180" s="3892"/>
      <c r="G180" s="3892"/>
      <c r="H180" s="3892"/>
      <c r="I180" s="3892"/>
      <c r="J180" s="3892"/>
      <c r="K180" s="3892"/>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893" t="s">
        <v>3292</v>
      </c>
    </row>
    <row r="202" spans="1:21" ht="14.25" hidden="1">
      <c r="A202" s="3290"/>
      <c r="B202" s="3291"/>
      <c r="C202" s="3291"/>
      <c r="D202" s="3291"/>
      <c r="E202" s="3291"/>
      <c r="F202" s="3291"/>
      <c r="G202" s="3292"/>
      <c r="H202" s="3291"/>
      <c r="I202" s="3292"/>
      <c r="J202" s="3291"/>
      <c r="K202" s="3291"/>
      <c r="L202" s="3291"/>
      <c r="M202" s="3291"/>
      <c r="U202" s="3894"/>
    </row>
    <row r="203" spans="1:21" ht="14.25" hidden="1">
      <c r="A203" s="3290"/>
      <c r="B203" s="3291"/>
      <c r="C203" s="3291"/>
      <c r="D203" s="3291"/>
      <c r="E203" s="3291"/>
      <c r="F203" s="3291"/>
      <c r="G203" s="3292"/>
      <c r="H203" s="3291"/>
      <c r="I203" s="3292"/>
      <c r="J203" s="3291"/>
      <c r="K203" s="3291"/>
      <c r="L203" s="3291"/>
      <c r="M203" s="3291"/>
      <c r="U203" s="3894"/>
    </row>
    <row r="204" spans="1:21" ht="14.25" hidden="1">
      <c r="A204" s="3290"/>
      <c r="B204" s="3291"/>
      <c r="C204" s="3291"/>
      <c r="D204" s="3291"/>
      <c r="E204" s="3291"/>
      <c r="F204" s="3291"/>
      <c r="G204" s="3292"/>
      <c r="H204" s="3291"/>
      <c r="I204" s="3292"/>
      <c r="J204" s="3291"/>
      <c r="K204" s="3291"/>
      <c r="L204" s="3291"/>
      <c r="M204" s="3291"/>
      <c r="U204" s="3895"/>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C6" sqref="C6:C7"/>
    </sheetView>
  </sheetViews>
  <sheetFormatPr defaultRowHeight="13.5"/>
  <cols>
    <col min="1" max="1" width="4.25" customWidth="1"/>
    <col min="2" max="2" width="8.125" customWidth="1"/>
    <col min="3" max="3" width="13.75" customWidth="1"/>
    <col min="4" max="4" width="12.125" customWidth="1"/>
    <col min="5" max="5" width="17" style="3772" customWidth="1"/>
    <col min="6" max="7" width="9" style="3768"/>
    <col min="8" max="8" width="9" style="3772"/>
    <col min="9" max="9" width="8" style="3758" customWidth="1"/>
    <col min="10" max="10" width="9" style="3762"/>
    <col min="11" max="11" width="8.5" style="3758" customWidth="1"/>
    <col min="12" max="12" width="9" style="3758"/>
    <col min="13" max="13" width="9" style="3762"/>
    <col min="14" max="14" width="10.75" customWidth="1"/>
    <col min="15" max="15" width="9" style="3758"/>
  </cols>
  <sheetData>
    <row r="1" spans="1:16" ht="21">
      <c r="A1" s="3940" t="s">
        <v>3583</v>
      </c>
      <c r="B1" s="3940"/>
      <c r="C1" s="3940"/>
      <c r="D1" s="3940"/>
      <c r="E1" s="3940"/>
      <c r="F1" s="3940"/>
      <c r="G1" s="3940"/>
      <c r="H1" s="3940"/>
      <c r="I1" s="3940"/>
      <c r="J1" s="3940"/>
      <c r="K1" s="3940"/>
      <c r="L1" s="3940"/>
      <c r="M1" s="3940"/>
      <c r="N1" s="3940"/>
      <c r="O1" s="3940"/>
      <c r="P1" s="3940"/>
    </row>
    <row r="2" spans="1:16" ht="16.5">
      <c r="A2" s="3745"/>
      <c r="B2" s="3745"/>
      <c r="C2" s="3745"/>
      <c r="D2" s="3745"/>
      <c r="E2" s="3769"/>
      <c r="F2" s="3764"/>
      <c r="G2" s="3764"/>
      <c r="H2" s="3769"/>
      <c r="I2" s="3755"/>
      <c r="J2" s="3759"/>
      <c r="K2" s="3755"/>
      <c r="L2" s="3755"/>
      <c r="M2" s="3759"/>
      <c r="N2" s="3746"/>
      <c r="O2" s="3755"/>
      <c r="P2" s="3745" t="s">
        <v>3584</v>
      </c>
    </row>
    <row r="3" spans="1:16" ht="16.5">
      <c r="A3" s="3747" t="s">
        <v>3585</v>
      </c>
      <c r="B3" s="3747" t="s">
        <v>3586</v>
      </c>
      <c r="C3" s="3747" t="s">
        <v>3587</v>
      </c>
      <c r="D3" s="3747" t="s">
        <v>3588</v>
      </c>
      <c r="E3" s="3770" t="str">
        <f>[2]高十指标计算书!D44</f>
        <v>居住</v>
      </c>
      <c r="F3" s="3765" t="str">
        <f>[2]高十指标计算书!D42</f>
        <v>商业</v>
      </c>
      <c r="G3" s="3765" t="str">
        <f>[2]高十指标计算书!D43</f>
        <v>商烟</v>
      </c>
      <c r="H3" s="3770" t="str">
        <f>[2]高十指标计算书!D56</f>
        <v>梯帽</v>
      </c>
      <c r="I3" s="3756" t="str">
        <f>[2]高十指标计算书!D45</f>
        <v>物管用房</v>
      </c>
      <c r="J3" s="3760" t="str">
        <f>[2]高十指标计算书!D77</f>
        <v>架空层</v>
      </c>
      <c r="K3" s="3756" t="str">
        <f>[2]高十指标计算书!D41</f>
        <v>公厕</v>
      </c>
      <c r="L3" s="3756" t="str">
        <f>[2]高十指标计算书!D132</f>
        <v>消控室</v>
      </c>
      <c r="M3" s="3760" t="str">
        <f>[2]高十指标计算书!D134</f>
        <v>设备用房</v>
      </c>
      <c r="N3" s="3748" t="str">
        <f>[2]高十指标计算书!D133</f>
        <v>车库</v>
      </c>
      <c r="O3" s="3756" t="s">
        <v>3589</v>
      </c>
      <c r="P3" s="3747" t="s">
        <v>3590</v>
      </c>
    </row>
    <row r="4" spans="1:16" ht="16.5">
      <c r="A4" s="3749">
        <v>1</v>
      </c>
      <c r="B4" s="3749" t="s">
        <v>3591</v>
      </c>
      <c r="C4" s="3750">
        <f>SUM(E4:O4)</f>
        <v>22435.82</v>
      </c>
      <c r="D4" s="3750">
        <f>C4-J4-L4-M4-N4</f>
        <v>22435.82</v>
      </c>
      <c r="E4" s="3771">
        <f>SUMPRODUCT(([2]高十指标计算书!$A$40:$A$137=[2]高十楼栋面积表!$B4)*([2]高十指标计算书!$D$40:$D$137=[2]高十楼栋面积表!E$3)*[2]高十指标计算书!$H$40:$H$137)</f>
        <v>20118.77</v>
      </c>
      <c r="F4" s="3766">
        <f>SUMPRODUCT(([2]高十指标计算书!$A$40:$A$137=[2]高十楼栋面积表!$B4)*([2]高十指标计算书!$D$40:$D$137=[2]高十楼栋面积表!F$3)*[2]高十指标计算书!$H$40:$H$137)</f>
        <v>1808.14</v>
      </c>
      <c r="G4" s="3766">
        <f>SUMPRODUCT(([2]高十指标计算书!$A$40:$A$137=[2]高十楼栋面积表!$B4)*([2]高十指标计算书!$D$40:$D$137=[2]高十楼栋面积表!G$3)*[2]高十指标计算书!$H$40:$H$137)</f>
        <v>71.660000000000011</v>
      </c>
      <c r="H4" s="3771">
        <f>SUMPRODUCT(([2]高十指标计算书!$A$40:$A$137=[2]高十楼栋面积表!$B4)*([2]高十指标计算书!$D$40:$D$137=[2]高十楼栋面积表!H$3)*[2]高十指标计算书!$H$40:$H$137)</f>
        <v>97.12</v>
      </c>
      <c r="I4" s="3757">
        <f>SUMPRODUCT(([2]高十指标计算书!$A$40:$A$137=[2]高十楼栋面积表!$B4)*([2]高十指标计算书!$D$40:$D$137=[2]高十楼栋面积表!I$3)*[2]高十指标计算书!$H$40:$H$137)</f>
        <v>219.72</v>
      </c>
      <c r="J4" s="3761">
        <f>SUMPRODUCT(([2]高十指标计算书!$A$40:$A$137=[2]高十楼栋面积表!$B4)*([2]高十指标计算书!$D$40:$D$137=[2]高十楼栋面积表!J$3)*[2]高十指标计算书!$H$40:$H$137)</f>
        <v>0</v>
      </c>
      <c r="K4" s="3757">
        <f>SUMPRODUCT(([2]高十指标计算书!$A$40:$A$137=[2]高十楼栋面积表!$B4)*([2]高十指标计算书!$D$40:$D$137=[2]高十楼栋面积表!K$3)*[2]高十指标计算书!$H$40:$H$137)</f>
        <v>120.41</v>
      </c>
      <c r="L4" s="3757">
        <f>SUMPRODUCT(([2]高十指标计算书!$A$40:$A$137=[2]高十楼栋面积表!$B4)*([2]高十指标计算书!$D$40:$D$137=[2]高十楼栋面积表!L$3)*[2]高十指标计算书!$H$40:$H$137)</f>
        <v>0</v>
      </c>
      <c r="M4" s="3761">
        <f>SUMPRODUCT(([2]高十指标计算书!$A$40:$A$137=[2]高十楼栋面积表!$B4)*([2]高十指标计算书!$D$40:$D$137=[2]高十楼栋面积表!M$3)*[2]高十指标计算书!$H$40:$H$137)</f>
        <v>0</v>
      </c>
      <c r="N4" s="3751">
        <f>SUMPRODUCT(([2]高十指标计算书!$A$40:$A$137=[2]高十楼栋面积表!$B4)*([2]高十指标计算书!$D$40:$D$137=[2]高十楼栋面积表!N$3)*[2]高十指标计算书!$H$40:$H$137)</f>
        <v>0</v>
      </c>
      <c r="O4" s="3757">
        <f>SUMPRODUCT(([2]高十指标计算书!$A$40:$A$137=[2]高十楼栋面积表!$B4)*([2]高十指标计算书!$D$40:$D$137=[2]高十楼栋面积表!O$3)*[2]高十指标计算书!$H$40:$H$137)</f>
        <v>0</v>
      </c>
      <c r="P4" s="3749"/>
    </row>
    <row r="5" spans="1:16" ht="16.5">
      <c r="A5" s="3749">
        <v>2</v>
      </c>
      <c r="B5" s="3749" t="s">
        <v>3592</v>
      </c>
      <c r="C5" s="3750">
        <f t="shared" ref="C5:C10" si="0">SUM(E5:O5)</f>
        <v>22521.479999999996</v>
      </c>
      <c r="D5" s="3750">
        <f t="shared" ref="D5:D10" si="1">C5-J5-L5-M5-N5</f>
        <v>22521.479999999996</v>
      </c>
      <c r="E5" s="3771">
        <f>SUMPRODUCT(([2]高十指标计算书!$A$40:$A$137=[2]高十楼栋面积表!$B5)*([2]高十指标计算书!$D$40:$D$137=[2]高十楼栋面积表!E$3)*[2]高十指标计算书!$H$40:$H$137)</f>
        <v>20522.399999999998</v>
      </c>
      <c r="F5" s="3766">
        <f>SUMPRODUCT(([2]高十指标计算书!$A$40:$A$137=[2]高十楼栋面积表!$B5)*([2]高十指标计算书!$D$40:$D$137=[2]高十楼栋面积表!F$3)*[2]高十指标计算书!$H$40:$H$137)</f>
        <v>1814.1200000000001</v>
      </c>
      <c r="G5" s="3766">
        <f>SUMPRODUCT(([2]高十指标计算书!$A$40:$A$137=[2]高十楼栋面积表!$B5)*([2]高十指标计算书!$D$40:$D$137=[2]高十楼栋面积表!G$3)*[2]高十指标计算书!$H$40:$H$137)</f>
        <v>87.84</v>
      </c>
      <c r="H5" s="3771">
        <f>SUMPRODUCT(([2]高十指标计算书!$A$40:$A$137=[2]高十楼栋面积表!$B5)*([2]高十指标计算书!$D$40:$D$137=[2]高十楼栋面积表!H$3)*[2]高十指标计算书!$H$40:$H$137)</f>
        <v>97.12</v>
      </c>
      <c r="I5" s="3757">
        <f>SUMPRODUCT(([2]高十指标计算书!$A$40:$A$137=[2]高十楼栋面积表!$B5)*([2]高十指标计算书!$D$40:$D$137=[2]高十楼栋面积表!I$3)*[2]高十指标计算书!$H$40:$H$137)</f>
        <v>0</v>
      </c>
      <c r="J5" s="3761">
        <f>SUMPRODUCT(([2]高十指标计算书!$A$40:$A$137=[2]高十楼栋面积表!$B5)*([2]高十指标计算书!$D$40:$D$137=[2]高十楼栋面积表!J$3)*[2]高十指标计算书!$H$40:$H$137)</f>
        <v>0</v>
      </c>
      <c r="K5" s="3757">
        <f>SUMPRODUCT(([2]高十指标计算书!$A$40:$A$137=[2]高十楼栋面积表!$B5)*([2]高十指标计算书!$D$40:$D$137=[2]高十楼栋面积表!K$3)*[2]高十指标计算书!$H$40:$H$137)</f>
        <v>0</v>
      </c>
      <c r="L5" s="3757">
        <f>SUMPRODUCT(([2]高十指标计算书!$A$40:$A$137=[2]高十楼栋面积表!$B5)*([2]高十指标计算书!$D$40:$D$137=[2]高十楼栋面积表!L$3)*[2]高十指标计算书!$H$40:$H$137)</f>
        <v>0</v>
      </c>
      <c r="M5" s="3761">
        <f>SUMPRODUCT(([2]高十指标计算书!$A$40:$A$137=[2]高十楼栋面积表!$B5)*([2]高十指标计算书!$D$40:$D$137=[2]高十楼栋面积表!M$3)*[2]高十指标计算书!$H$40:$H$137)</f>
        <v>0</v>
      </c>
      <c r="N5" s="3751">
        <f>SUMPRODUCT(([2]高十指标计算书!$A$40:$A$137=[2]高十楼栋面积表!$B5)*([2]高十指标计算书!$D$40:$D$137=[2]高十楼栋面积表!N$3)*[2]高十指标计算书!$H$40:$H$137)</f>
        <v>0</v>
      </c>
      <c r="O5" s="3757">
        <f>SUMPRODUCT(([2]高十指标计算书!$A$40:$A$137=[2]高十楼栋面积表!$B5)*([2]高十指标计算书!$D$40:$D$137=[2]高十楼栋面积表!O$3)*[2]高十指标计算书!$H$40:$H$137)</f>
        <v>0</v>
      </c>
      <c r="P5" s="3749"/>
    </row>
    <row r="6" spans="1:16" s="3194" customFormat="1" ht="16.5">
      <c r="A6" s="3752">
        <v>3</v>
      </c>
      <c r="B6" s="3752" t="s">
        <v>3593</v>
      </c>
      <c r="C6" s="3753">
        <f t="shared" si="0"/>
        <v>21328.91</v>
      </c>
      <c r="D6" s="3753">
        <f t="shared" si="1"/>
        <v>20837.73</v>
      </c>
      <c r="E6" s="3771">
        <f>SUMPRODUCT(([2]高十指标计算书!$A$40:$A$137=[2]高十楼栋面积表!$B6)*([2]高十指标计算书!$D$40:$D$137=[2]高十楼栋面积表!E$3)*[2]高十指标计算书!$H$40:$H$137)</f>
        <v>19522.18</v>
      </c>
      <c r="F6" s="3766">
        <f>SUMPRODUCT(([2]高十指标计算书!$A$40:$A$137=[2]高十楼栋面积表!$B6)*([2]高十指标计算书!$D$40:$D$137=[2]高十楼栋面积表!F$3)*[2]高十指标计算书!$H$40:$H$137)</f>
        <v>1147.8699999999999</v>
      </c>
      <c r="G6" s="3766">
        <f>SUMPRODUCT(([2]高十指标计算书!$A$40:$A$137=[2]高十楼栋面积表!$B6)*([2]高十指标计算书!$D$40:$D$137=[2]高十楼栋面积表!G$3)*[2]高十指标计算书!$H$40:$H$137)</f>
        <v>70.56</v>
      </c>
      <c r="H6" s="3771">
        <f>SUMPRODUCT(([2]高十指标计算书!$A$40:$A$137=[2]高十楼栋面积表!$B6)*([2]高十指标计算书!$D$40:$D$137=[2]高十楼栋面积表!H$3)*[2]高十指标计算书!$H$40:$H$137)</f>
        <v>97.12</v>
      </c>
      <c r="I6" s="3754">
        <f>SUMPRODUCT(([2]高十指标计算书!$A$40:$A$137=[2]高十楼栋面积表!$B6)*([2]高十指标计算书!$D$40:$D$137=[2]高十楼栋面积表!I$3)*[2]高十指标计算书!$H$40:$H$137)</f>
        <v>0</v>
      </c>
      <c r="J6" s="3754">
        <f>SUMPRODUCT(([2]高十指标计算书!$A$40:$A$137=[2]高十楼栋面积表!$B6)*([2]高十指标计算书!$D$40:$D$137=[2]高十楼栋面积表!J$3)*[2]高十指标计算书!$H$40:$H$137)</f>
        <v>491.18</v>
      </c>
      <c r="K6" s="3754">
        <f>SUMPRODUCT(([2]高十指标计算书!$A$40:$A$137=[2]高十楼栋面积表!$B6)*([2]高十指标计算书!$D$40:$D$137=[2]高十楼栋面积表!K$3)*[2]高十指标计算书!$H$40:$H$137)</f>
        <v>0</v>
      </c>
      <c r="L6" s="3754">
        <f>SUMPRODUCT(([2]高十指标计算书!$A$40:$A$137=[2]高十楼栋面积表!$B6)*([2]高十指标计算书!$D$40:$D$137=[2]高十楼栋面积表!L$3)*[2]高十指标计算书!$H$40:$H$137)</f>
        <v>0</v>
      </c>
      <c r="M6" s="3754">
        <f>SUMPRODUCT(([2]高十指标计算书!$A$40:$A$137=[2]高十楼栋面积表!$B6)*([2]高十指标计算书!$D$40:$D$137=[2]高十楼栋面积表!M$3)*[2]高十指标计算书!$H$40:$H$137)</f>
        <v>0</v>
      </c>
      <c r="N6" s="3754">
        <f>SUMPRODUCT(([2]高十指标计算书!$A$40:$A$137=[2]高十楼栋面积表!$B6)*([2]高十指标计算书!$D$40:$D$137=[2]高十楼栋面积表!N$3)*[2]高十指标计算书!$H$40:$H$137)</f>
        <v>0</v>
      </c>
      <c r="O6" s="3754">
        <f>SUMPRODUCT(([2]高十指标计算书!$A$40:$A$137=[2]高十楼栋面积表!$B6)*([2]高十指标计算书!$D$40:$D$137=[2]高十楼栋面积表!O$3)*[2]高十指标计算书!$H$40:$H$137)</f>
        <v>0</v>
      </c>
      <c r="P6" s="3752"/>
    </row>
    <row r="7" spans="1:16" s="3194" customFormat="1" ht="16.5">
      <c r="A7" s="3752">
        <v>4</v>
      </c>
      <c r="B7" s="3752" t="s">
        <v>3594</v>
      </c>
      <c r="C7" s="3753">
        <f t="shared" si="0"/>
        <v>21843.019999999997</v>
      </c>
      <c r="D7" s="3753">
        <f t="shared" si="1"/>
        <v>21661.199999999997</v>
      </c>
      <c r="E7" s="3771">
        <f>SUMPRODUCT(([2]高十指标计算书!$A$40:$A$137=[2]高十楼栋面积表!$B7)*([2]高十指标计算书!$D$40:$D$137=[2]高十楼栋面积表!E$3)*[2]高十指标计算书!$H$40:$H$137)</f>
        <v>20199.559999999998</v>
      </c>
      <c r="F7" s="3766">
        <f>SUMPRODUCT(([2]高十指标计算书!$A$40:$A$137=[2]高十楼栋面积表!$B7)*([2]高十指标计算书!$D$40:$D$137=[2]高十楼栋面积表!F$3)*[2]高十指标计算书!$H$40:$H$137)</f>
        <v>1292.8599999999999</v>
      </c>
      <c r="G7" s="3766">
        <f>SUMPRODUCT(([2]高十指标计算书!$A$40:$A$137=[2]高十楼栋面积表!$B7)*([2]高十指标计算书!$D$40:$D$137=[2]高十楼栋面积表!G$3)*[2]高十指标计算书!$H$40:$H$137)</f>
        <v>71.660000000000011</v>
      </c>
      <c r="H7" s="3771">
        <f>SUMPRODUCT(([2]高十指标计算书!$A$40:$A$137=[2]高十楼栋面积表!$B7)*([2]高十指标计算书!$D$40:$D$137=[2]高十楼栋面积表!H$3)*[2]高十指标计算书!$H$40:$H$137)</f>
        <v>97.12</v>
      </c>
      <c r="I7" s="3754">
        <f>SUMPRODUCT(([2]高十指标计算书!$A$40:$A$137=[2]高十楼栋面积表!$B7)*([2]高十指标计算书!$D$40:$D$137=[2]高十楼栋面积表!I$3)*[2]高十指标计算书!$H$40:$H$137)</f>
        <v>0</v>
      </c>
      <c r="J7" s="3754">
        <f>SUMPRODUCT(([2]高十指标计算书!$A$40:$A$137=[2]高十楼栋面积表!$B7)*([2]高十指标计算书!$D$40:$D$137=[2]高十楼栋面积表!J$3)*[2]高十指标计算书!$H$40:$H$137)</f>
        <v>181.82</v>
      </c>
      <c r="K7" s="3754">
        <f>SUMPRODUCT(([2]高十指标计算书!$A$40:$A$137=[2]高十楼栋面积表!$B7)*([2]高十指标计算书!$D$40:$D$137=[2]高十楼栋面积表!K$3)*[2]高十指标计算书!$H$40:$H$137)</f>
        <v>0</v>
      </c>
      <c r="L7" s="3754">
        <f>SUMPRODUCT(([2]高十指标计算书!$A$40:$A$137=[2]高十楼栋面积表!$B7)*([2]高十指标计算书!$D$40:$D$137=[2]高十楼栋面积表!L$3)*[2]高十指标计算书!$H$40:$H$137)</f>
        <v>0</v>
      </c>
      <c r="M7" s="3754">
        <f>SUMPRODUCT(([2]高十指标计算书!$A$40:$A$137=[2]高十楼栋面积表!$B7)*([2]高十指标计算书!$D$40:$D$137=[2]高十楼栋面积表!M$3)*[2]高十指标计算书!$H$40:$H$137)</f>
        <v>0</v>
      </c>
      <c r="N7" s="3754">
        <f>SUMPRODUCT(([2]高十指标计算书!$A$40:$A$137=[2]高十楼栋面积表!$B7)*([2]高十指标计算书!$D$40:$D$137=[2]高十楼栋面积表!N$3)*[2]高十指标计算书!$H$40:$H$137)</f>
        <v>0</v>
      </c>
      <c r="O7" s="3754">
        <f>SUMPRODUCT(([2]高十指标计算书!$A$40:$A$137=[2]高十楼栋面积表!$B7)*([2]高十指标计算书!$D$40:$D$137=[2]高十楼栋面积表!O$3)*[2]高十指标计算书!$H$40:$H$137)</f>
        <v>0</v>
      </c>
      <c r="P7" s="3752"/>
    </row>
    <row r="8" spans="1:16" ht="16.5">
      <c r="A8" s="3749">
        <v>5</v>
      </c>
      <c r="B8" s="3749" t="s">
        <v>3595</v>
      </c>
      <c r="C8" s="3750">
        <f t="shared" si="0"/>
        <v>22469.929999999997</v>
      </c>
      <c r="D8" s="3750">
        <f t="shared" si="1"/>
        <v>22261.889999999996</v>
      </c>
      <c r="E8" s="3771">
        <f>SUMPRODUCT(([2]高十指标计算书!$A$40:$A$137=[2]高十楼栋面积表!$B8)*([2]高十指标计算书!$D$40:$D$137=[2]高十楼栋面积表!E$3)*[2]高十指标计算书!$H$40:$H$137)</f>
        <v>20878.719999999998</v>
      </c>
      <c r="F8" s="3766">
        <f>SUMPRODUCT(([2]高十指标计算书!$A$40:$A$137=[2]高十楼栋面积表!$B8)*([2]高十指标计算书!$D$40:$D$137=[2]高十楼栋面积表!F$3)*[2]高十指标计算书!$H$40:$H$137)</f>
        <v>1211.0899999999999</v>
      </c>
      <c r="G8" s="3766">
        <f>SUMPRODUCT(([2]高十指标计算书!$A$40:$A$137=[2]高十楼栋面积表!$B8)*([2]高十指标计算书!$D$40:$D$137=[2]高十楼栋面积表!G$3)*[2]高十指标计算书!$H$40:$H$137)</f>
        <v>74.960000000000022</v>
      </c>
      <c r="H8" s="3771">
        <f>SUMPRODUCT(([2]高十指标计算书!$A$40:$A$137=[2]高十楼栋面积表!$B8)*([2]高十指标计算书!$D$40:$D$137=[2]高十楼栋面积表!H$3)*[2]高十指标计算书!$H$40:$H$137)</f>
        <v>97.12</v>
      </c>
      <c r="I8" s="3757">
        <f>SUMPRODUCT(([2]高十指标计算书!$A$40:$A$137=[2]高十楼栋面积表!$B8)*([2]高十指标计算书!$D$40:$D$137=[2]高十楼栋面积表!I$3)*[2]高十指标计算书!$H$40:$H$137)</f>
        <v>0</v>
      </c>
      <c r="J8" s="3761">
        <f>SUMPRODUCT(([2]高十指标计算书!$A$40:$A$137=[2]高十楼栋面积表!$B8)*([2]高十指标计算书!$D$40:$D$137=[2]高十楼栋面积表!J$3)*[2]高十指标计算书!$H$40:$H$137)</f>
        <v>208.04</v>
      </c>
      <c r="K8" s="3757">
        <f>SUMPRODUCT(([2]高十指标计算书!$A$40:$A$137=[2]高十楼栋面积表!$B8)*([2]高十指标计算书!$D$40:$D$137=[2]高十楼栋面积表!K$3)*[2]高十指标计算书!$H$40:$H$137)</f>
        <v>0</v>
      </c>
      <c r="L8" s="3757">
        <f>SUMPRODUCT(([2]高十指标计算书!$A$40:$A$137=[2]高十楼栋面积表!$B8)*([2]高十指标计算书!$D$40:$D$137=[2]高十楼栋面积表!L$3)*[2]高十指标计算书!$H$40:$H$137)</f>
        <v>0</v>
      </c>
      <c r="M8" s="3761">
        <f>SUMPRODUCT(([2]高十指标计算书!$A$40:$A$137=[2]高十楼栋面积表!$B8)*([2]高十指标计算书!$D$40:$D$137=[2]高十楼栋面积表!M$3)*[2]高十指标计算书!$H$40:$H$137)</f>
        <v>0</v>
      </c>
      <c r="N8" s="3751">
        <f>SUMPRODUCT(([2]高十指标计算书!$A$40:$A$137=[2]高十楼栋面积表!$B8)*([2]高十指标计算书!$D$40:$D$137=[2]高十楼栋面积表!N$3)*[2]高十指标计算书!$H$40:$H$137)</f>
        <v>0</v>
      </c>
      <c r="O8" s="3757">
        <f>SUMPRODUCT(([2]高十指标计算书!$A$40:$A$137=[2]高十楼栋面积表!$B8)*([2]高十指标计算书!$D$40:$D$137=[2]高十楼栋面积表!O$3)*[2]高十指标计算书!$H$40:$H$137)</f>
        <v>0</v>
      </c>
      <c r="P8" s="3749"/>
    </row>
    <row r="9" spans="1:16" ht="16.5">
      <c r="A9" s="3749">
        <v>6</v>
      </c>
      <c r="B9" s="3749" t="s">
        <v>3596</v>
      </c>
      <c r="C9" s="3750">
        <f t="shared" si="0"/>
        <v>22378.100000000002</v>
      </c>
      <c r="D9" s="3750">
        <f t="shared" si="1"/>
        <v>22273.980000000003</v>
      </c>
      <c r="E9" s="3771">
        <f>SUMPRODUCT(([2]高十指标计算书!$A$40:$A$137=[2]高十楼栋面积表!$B9)*([2]高十指标计算书!$D$40:$D$137=[2]高十楼栋面积表!E$3)*[2]高十指标计算书!$H$40:$H$137)</f>
        <v>20198.45</v>
      </c>
      <c r="F9" s="3766">
        <f>SUMPRODUCT(([2]高十指标计算书!$A$40:$A$137=[2]高十楼栋面积表!$B9)*([2]高十指标计算书!$D$40:$D$137=[2]高十楼栋面积表!F$3)*[2]高十指标计算书!$H$40:$H$137)</f>
        <v>1353.74</v>
      </c>
      <c r="G9" s="3766">
        <f>SUMPRODUCT(([2]高十指标计算书!$A$40:$A$137=[2]高十楼栋面积表!$B9)*([2]高十指标计算书!$D$40:$D$137=[2]高十楼栋面积表!G$3)*[2]高十指标计算书!$H$40:$H$137)</f>
        <v>71.660000000000011</v>
      </c>
      <c r="H9" s="3771">
        <f>SUMPRODUCT(([2]高十指标计算书!$A$40:$A$137=[2]高十楼栋面积表!$B9)*([2]高十指标计算书!$D$40:$D$137=[2]高十楼栋面积表!H$3)*[2]高十指标计算书!$H$40:$H$137)</f>
        <v>97.12</v>
      </c>
      <c r="I9" s="3757">
        <f>SUMPRODUCT(([2]高十指标计算书!$A$40:$A$137=[2]高十楼栋面积表!$B9)*([2]高十指标计算书!$D$40:$D$137=[2]高十楼栋面积表!I$3)*[2]高十指标计算书!$H$40:$H$137)</f>
        <v>546.61</v>
      </c>
      <c r="J9" s="3761">
        <f>SUMPRODUCT(([2]高十指标计算书!$A$40:$A$137=[2]高十楼栋面积表!$B9)*([2]高十指标计算书!$D$40:$D$137=[2]高十楼栋面积表!J$3)*[2]高十指标计算书!$H$40:$H$137)</f>
        <v>104.12</v>
      </c>
      <c r="K9" s="3757">
        <f>SUMPRODUCT(([2]高十指标计算书!$A$40:$A$137=[2]高十楼栋面积表!$B9)*([2]高十指标计算书!$D$40:$D$137=[2]高十楼栋面积表!K$3)*[2]高十指标计算书!$H$40:$H$137)</f>
        <v>0</v>
      </c>
      <c r="L9" s="3757">
        <f>SUMPRODUCT(([2]高十指标计算书!$A$40:$A$137=[2]高十楼栋面积表!$B9)*([2]高十指标计算书!$D$40:$D$137=[2]高十楼栋面积表!L$3)*[2]高十指标计算书!$H$40:$H$137)</f>
        <v>0</v>
      </c>
      <c r="M9" s="3761">
        <f>SUMPRODUCT(([2]高十指标计算书!$A$40:$A$137=[2]高十楼栋面积表!$B9)*([2]高十指标计算书!$D$40:$D$137=[2]高十楼栋面积表!M$3)*[2]高十指标计算书!$H$40:$H$137)</f>
        <v>0</v>
      </c>
      <c r="N9" s="3751">
        <f>SUMPRODUCT(([2]高十指标计算书!$A$40:$A$137=[2]高十楼栋面积表!$B9)*([2]高十指标计算书!$D$40:$D$137=[2]高十楼栋面积表!N$3)*[2]高十指标计算书!$H$40:$H$137)</f>
        <v>0</v>
      </c>
      <c r="O9" s="3757">
        <f>SUMPRODUCT(([2]高十指标计算书!$A$40:$A$137=[2]高十楼栋面积表!$B9)*([2]高十指标计算书!$D$40:$D$137=[2]高十楼栋面积表!O$3)*[2]高十指标计算书!$H$40:$H$137)</f>
        <v>6.4</v>
      </c>
      <c r="P9" s="3749"/>
    </row>
    <row r="10" spans="1:16" ht="16.5">
      <c r="A10" s="3749">
        <v>7</v>
      </c>
      <c r="B10" s="3749" t="s">
        <v>3597</v>
      </c>
      <c r="C10" s="3750">
        <f t="shared" si="0"/>
        <v>30587.07</v>
      </c>
      <c r="D10" s="3750">
        <f t="shared" si="1"/>
        <v>0</v>
      </c>
      <c r="E10" s="3771">
        <f>SUMPRODUCT(([2]高十指标计算书!$A$40:$A$137=[2]高十楼栋面积表!$B10)*([2]高十指标计算书!$D$40:$D$137=[2]高十楼栋面积表!E$3)*[2]高十指标计算书!$H$40:$H$137)</f>
        <v>0</v>
      </c>
      <c r="F10" s="3767">
        <f>SUMPRODUCT(([2]高十指标计算书!$A$40:$A$137=[2]高十楼栋面积表!$B10)*([2]高十指标计算书!$D$40:$D$137=[2]高十楼栋面积表!F$3)*[2]高十指标计算书!$H$40:$H$137)</f>
        <v>0</v>
      </c>
      <c r="G10" s="3766">
        <f>SUMPRODUCT(([2]高十指标计算书!$A$40:$A$137=[2]高十楼栋面积表!$B10)*([2]高十指标计算书!$D$40:$D$137=[2]高十楼栋面积表!G$3)*[2]高十指标计算书!$H$40:$H$137)</f>
        <v>0</v>
      </c>
      <c r="H10" s="3771">
        <f>SUMPRODUCT(([2]高十指标计算书!$A$40:$A$137=[2]高十楼栋面积表!$B10)*([2]高十指标计算书!$D$40:$D$137=[2]高十楼栋面积表!H$3)*[2]高十指标计算书!$H$40:$H$137)</f>
        <v>0</v>
      </c>
      <c r="I10" s="3757">
        <f>SUMPRODUCT(([2]高十指标计算书!$A$40:$A$137=[2]高十楼栋面积表!$B10)*([2]高十指标计算书!$D$40:$D$137=[2]高十楼栋面积表!I$3)*[2]高十指标计算书!$H$40:$H$137)</f>
        <v>0</v>
      </c>
      <c r="J10" s="3761">
        <f>SUMPRODUCT(([2]高十指标计算书!$A$40:$A$137=[2]高十楼栋面积表!$B10)*([2]高十指标计算书!$D$40:$D$137=[2]高十楼栋面积表!J$3)*[2]高十指标计算书!$H$40:$H$137)</f>
        <v>0</v>
      </c>
      <c r="K10" s="3757">
        <f>SUMPRODUCT(([2]高十指标计算书!$A$40:$A$137=[2]高十楼栋面积表!$B10)*([2]高十指标计算书!$D$40:$D$137=[2]高十楼栋面积表!K$3)*[2]高十指标计算书!$H$40:$H$137)</f>
        <v>0</v>
      </c>
      <c r="L10" s="3757">
        <f>SUMPRODUCT(([2]高十指标计算书!$A$40:$A$137=[2]高十楼栋面积表!$B10)*([2]高十指标计算书!$D$40:$D$137=[2]高十楼栋面积表!L$3)*[2]高十指标计算书!$H$40:$H$137)</f>
        <v>178.33</v>
      </c>
      <c r="M10" s="3761">
        <f>SUMPRODUCT(([2]高十指标计算书!$A$40:$A$137=[2]高十楼栋面积表!$B10)*([2]高十指标计算书!$D$40:$D$137=[2]高十楼栋面积表!M$3)*[2]高十指标计算书!$H$40:$H$137)</f>
        <v>1810.57</v>
      </c>
      <c r="N10" s="3751">
        <f>SUMPRODUCT(([2]高十指标计算书!$A$40:$A$137=[2]高十楼栋面积表!$B10)*([2]高十指标计算书!$D$40:$D$137=[2]高十楼栋面积表!N$3)*[2]高十指标计算书!$H$40:$H$137)</f>
        <v>28598.17</v>
      </c>
      <c r="O10" s="3757">
        <f>SUMPRODUCT(([2]高十指标计算书!$A$40:$A$137=[2]高十楼栋面积表!$B10)*([2]高十指标计算书!$D$40:$D$137=[2]高十楼栋面积表!O$3)*[2]高十指标计算书!$H$40:$H$137)</f>
        <v>0</v>
      </c>
      <c r="P10" s="3749"/>
    </row>
    <row r="11" spans="1:16" ht="33">
      <c r="A11" s="3748" t="s">
        <v>3598</v>
      </c>
      <c r="B11" s="3748">
        <f>SUM(B4:B10)</f>
        <v>0</v>
      </c>
      <c r="C11" s="3748">
        <f t="shared" ref="C11:O11" si="2">SUM(C4:C10)</f>
        <v>163564.32999999999</v>
      </c>
      <c r="D11" s="3748">
        <f t="shared" si="2"/>
        <v>131992.1</v>
      </c>
      <c r="E11" s="3770">
        <f t="shared" si="2"/>
        <v>121440.08</v>
      </c>
      <c r="F11" s="3765">
        <f t="shared" si="2"/>
        <v>8627.82</v>
      </c>
      <c r="G11" s="3765">
        <f t="shared" si="2"/>
        <v>448.34000000000009</v>
      </c>
      <c r="H11" s="3770">
        <f t="shared" si="2"/>
        <v>582.72</v>
      </c>
      <c r="I11" s="3756">
        <f t="shared" si="2"/>
        <v>766.33</v>
      </c>
      <c r="J11" s="3760">
        <f t="shared" si="2"/>
        <v>985.16</v>
      </c>
      <c r="K11" s="3756">
        <f t="shared" si="2"/>
        <v>120.41</v>
      </c>
      <c r="L11" s="3756">
        <f t="shared" si="2"/>
        <v>178.33</v>
      </c>
      <c r="M11" s="3760">
        <f t="shared" si="2"/>
        <v>1810.57</v>
      </c>
      <c r="N11" s="3748">
        <f t="shared" si="2"/>
        <v>28598.17</v>
      </c>
      <c r="O11" s="3756">
        <f t="shared" si="2"/>
        <v>6.4</v>
      </c>
      <c r="P11" s="3748"/>
    </row>
    <row r="12" spans="1:16">
      <c r="A12" t="s">
        <v>3605</v>
      </c>
    </row>
    <row r="13" spans="1:16">
      <c r="A13" t="s">
        <v>3599</v>
      </c>
      <c r="C13" s="3772"/>
      <c r="E13" s="3774">
        <f>ROUND((E11+H11-E6-E7-H6-F13),2)</f>
        <v>82203.94</v>
      </c>
    </row>
    <row r="14" spans="1:16">
      <c r="A14" t="s">
        <v>3600</v>
      </c>
      <c r="C14" s="3768"/>
      <c r="E14" s="3774">
        <f>ROUND((F11+G11-F6-F7-G6-G7),2)</f>
        <v>6493.21</v>
      </c>
    </row>
    <row r="15" spans="1:16">
      <c r="A15" t="s">
        <v>3601</v>
      </c>
      <c r="E15" s="3774">
        <f>ROUND((N11*(D11-D6-D7)/D11),2)</f>
        <v>19390.11</v>
      </c>
    </row>
    <row r="16" spans="1:16">
      <c r="A16" t="s">
        <v>3602</v>
      </c>
      <c r="C16" s="3763"/>
      <c r="E16" s="3774">
        <f>ROUND((I11+K11+L11+O11),2)</f>
        <v>1071.47</v>
      </c>
    </row>
    <row r="17" spans="1:5">
      <c r="E17" s="3774"/>
    </row>
    <row r="18" spans="1:5">
      <c r="A18" t="s">
        <v>3603</v>
      </c>
      <c r="C18" s="3762"/>
      <c r="E18" s="3774">
        <f>ROUND((J11+M11-J6-J7),2)</f>
        <v>2122.73</v>
      </c>
    </row>
    <row r="19" spans="1:5">
      <c r="A19" t="s">
        <v>3604</v>
      </c>
      <c r="E19" s="3774">
        <f>ROUND((E13+E14+E15+E16+E18),2)</f>
        <v>111281.46</v>
      </c>
    </row>
    <row r="20" spans="1:5">
      <c r="E20" s="3773"/>
    </row>
    <row r="21" spans="1:5">
      <c r="A21" s="3775" t="s">
        <v>3606</v>
      </c>
      <c r="E21" s="3773">
        <f>D11-D6-D7</f>
        <v>89493.170000000013</v>
      </c>
    </row>
  </sheetData>
  <mergeCells count="1">
    <mergeCell ref="A1:P1"/>
  </mergeCells>
  <phoneticPr fontId="2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0"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50" t="s">
        <v>203</v>
      </c>
      <c r="B2" s="3950"/>
      <c r="C2" s="3950"/>
      <c r="D2" s="1958" t="s">
        <v>204</v>
      </c>
      <c r="E2" s="106" t="s">
        <v>205</v>
      </c>
      <c r="F2" s="1967"/>
      <c r="G2" s="1193"/>
      <c r="H2" s="1194"/>
      <c r="I2" s="1195" t="s">
        <v>857</v>
      </c>
      <c r="J2" s="1967"/>
      <c r="K2" s="1967"/>
      <c r="L2" s="1967"/>
    </row>
    <row r="3" spans="1:16" ht="15.75" thickBot="1">
      <c r="A3" s="3951" t="s">
        <v>206</v>
      </c>
      <c r="B3" s="3951"/>
      <c r="C3" s="3951"/>
      <c r="D3" s="107">
        <f>'数据-基础表'!AY6</f>
        <v>20122.04</v>
      </c>
      <c r="E3" s="107">
        <f>'数据-基础表'!AZ5</f>
        <v>111281.46</v>
      </c>
      <c r="F3" s="1967"/>
      <c r="G3" s="279" t="s">
        <v>858</v>
      </c>
      <c r="H3" s="274" t="s">
        <v>859</v>
      </c>
      <c r="I3" s="1959">
        <f>ROUND('数据-基础表'!B3/'数据-基础表'!A3,2)</f>
        <v>5.53</v>
      </c>
      <c r="J3" s="1967"/>
      <c r="K3" s="1967"/>
      <c r="L3" s="1967"/>
    </row>
    <row r="4" spans="1:16" ht="15">
      <c r="A4" s="3952"/>
      <c r="B4" s="3953"/>
      <c r="C4" s="3954"/>
      <c r="D4" s="108" t="s">
        <v>204</v>
      </c>
      <c r="E4" s="109" t="s">
        <v>205</v>
      </c>
      <c r="F4" s="1967"/>
      <c r="G4" s="1196"/>
      <c r="H4" s="274" t="s">
        <v>860</v>
      </c>
      <c r="I4" s="1959">
        <f>ROUND(SUMIF('数据-基础表'!I9:AS9,"地上",'数据-基础表'!I5:AS5)/'数据-基础表'!A3,2)</f>
        <v>4.57</v>
      </c>
      <c r="J4" s="1967"/>
      <c r="K4" s="1967"/>
      <c r="L4" s="1967"/>
    </row>
    <row r="5" spans="1:16">
      <c r="A5" s="110" t="s">
        <v>207</v>
      </c>
      <c r="B5" s="3955" t="s">
        <v>230</v>
      </c>
      <c r="C5" s="3955"/>
      <c r="D5" s="111">
        <f>ROUND($D$3*E5/$E$3,2)</f>
        <v>14864.21</v>
      </c>
      <c r="E5" s="112">
        <f>SUMIF('数据-基础表'!$11:$11,"住宅",'数据-基础表'!$5:$5)</f>
        <v>82203.94</v>
      </c>
      <c r="F5" s="1967"/>
      <c r="G5" s="279" t="s">
        <v>861</v>
      </c>
      <c r="H5" s="274" t="s">
        <v>859</v>
      </c>
      <c r="I5" s="1959">
        <f>ROUND(E31/D31,2)</f>
        <v>5.53</v>
      </c>
      <c r="J5" s="1967"/>
      <c r="K5" s="1967"/>
      <c r="L5" s="1967"/>
    </row>
    <row r="6" spans="1:16" ht="15" thickBot="1">
      <c r="A6" s="113"/>
      <c r="B6" s="3955" t="s">
        <v>208</v>
      </c>
      <c r="C6" s="3955"/>
      <c r="D6" s="111">
        <f>ROUND($D$3*E6/$E$3,2)</f>
        <v>5257.83</v>
      </c>
      <c r="E6" s="112">
        <f>E3-E5</f>
        <v>29077.520000000004</v>
      </c>
      <c r="F6" s="1967"/>
      <c r="G6" s="1196"/>
      <c r="H6" s="274" t="s">
        <v>860</v>
      </c>
      <c r="I6" s="1959">
        <f>ROUND(F31/D31,2)</f>
        <v>4.57</v>
      </c>
      <c r="J6" s="1967"/>
      <c r="K6" s="1967"/>
      <c r="L6" s="1967"/>
    </row>
    <row r="7" spans="1:16" ht="15">
      <c r="A7" s="3947"/>
      <c r="B7" s="3948"/>
      <c r="C7" s="3949"/>
      <c r="D7" s="108" t="s">
        <v>204</v>
      </c>
      <c r="E7" s="114" t="s">
        <v>231</v>
      </c>
      <c r="F7" s="1967"/>
      <c r="G7" s="1151" t="s">
        <v>1645</v>
      </c>
      <c r="H7" s="1152"/>
      <c r="I7" s="1829">
        <f>ROUND(三块地面积表!E21/'数据-基础表'!A3,1)</f>
        <v>4.4000000000000004</v>
      </c>
      <c r="J7" s="1967"/>
      <c r="K7" s="1967"/>
      <c r="L7" s="1967"/>
    </row>
    <row r="8" spans="1:16">
      <c r="A8" s="110" t="s">
        <v>209</v>
      </c>
      <c r="B8" s="115" t="s">
        <v>210</v>
      </c>
      <c r="C8" s="111" t="s">
        <v>211</v>
      </c>
      <c r="D8" s="111">
        <f t="shared" ref="D8:D15" si="0">ROUND($D$3*E8/$E$3,2)</f>
        <v>16038.32</v>
      </c>
      <c r="E8" s="116">
        <f>SUMIF('数据-基础表'!BB10:BK10,"地上",'数据-基础表'!BB5:BK5)</f>
        <v>88697.150000000009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3506.14</v>
      </c>
      <c r="E13" s="116">
        <f>SUMPRODUCT(('数据-基础表'!BB10:BK10="地下")*('数据-基础表'!BB11:BK11="车库")*('数据-基础表'!BB5:BK5))</f>
        <v>19390.11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19544.46</v>
      </c>
      <c r="E16" s="120">
        <f>SUM(E8:E15)</f>
        <v>108087.26000000001</v>
      </c>
      <c r="F16" s="1967"/>
      <c r="G16" s="1969"/>
      <c r="H16" s="967" t="s">
        <v>219</v>
      </c>
      <c r="I16" s="968"/>
      <c r="J16" s="1967"/>
      <c r="K16" s="3941" t="s">
        <v>2565</v>
      </c>
      <c r="L16" s="3942"/>
      <c r="M16" s="3942"/>
      <c r="N16" s="3942"/>
      <c r="O16" s="3942"/>
      <c r="P16" s="3943"/>
    </row>
    <row r="17" spans="1:19" ht="15">
      <c r="A17" s="121" t="s">
        <v>216</v>
      </c>
      <c r="B17" s="122" t="s">
        <v>217</v>
      </c>
      <c r="C17" s="2281" t="s">
        <v>2313</v>
      </c>
      <c r="D17" s="108" t="s">
        <v>204</v>
      </c>
      <c r="E17" s="124" t="s">
        <v>205</v>
      </c>
      <c r="F17" s="125"/>
      <c r="G17" s="1361"/>
      <c r="H17" s="969" t="s">
        <v>218</v>
      </c>
      <c r="I17" s="970" t="s">
        <v>2312</v>
      </c>
      <c r="J17" s="1967"/>
      <c r="K17" s="3944" t="s">
        <v>2566</v>
      </c>
      <c r="L17" s="3945"/>
      <c r="M17" s="3946"/>
      <c r="N17" s="3944" t="s">
        <v>2567</v>
      </c>
      <c r="O17" s="3945"/>
      <c r="P17" s="3946"/>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14864.21</v>
      </c>
      <c r="E19" s="134">
        <f t="shared" ref="E19:E26" si="2">SUM(F19:G19)</f>
        <v>82203.94</v>
      </c>
      <c r="F19" s="135">
        <f>'数据-基础表'!I13</f>
        <v>82203.94</v>
      </c>
      <c r="G19" s="1363"/>
      <c r="H19" s="973">
        <f>ROUND($D$3*I19/$E$3,2)</f>
        <v>485.66</v>
      </c>
      <c r="I19" s="116">
        <f>IF($I$17="自定义",P19,M19)</f>
        <v>2685.88</v>
      </c>
      <c r="J19" s="1967"/>
      <c r="K19" s="2570">
        <f t="shared" ref="K19:K26" si="3">ROUND(E$28*E19/E$27,2)</f>
        <v>1614.41</v>
      </c>
      <c r="L19" s="274">
        <f t="shared" ref="L19:L26" si="4">ROUND(IF(COUNTIF(C19,"*住宅*")&gt;0,E$29*E19/E$32,0),2)</f>
        <v>1071.47</v>
      </c>
      <c r="M19" s="2571">
        <f>K19+L19</f>
        <v>2685.88</v>
      </c>
      <c r="N19" s="2572"/>
      <c r="O19" s="2573"/>
      <c r="P19" s="2574">
        <f>N19+O19</f>
        <v>0</v>
      </c>
      <c r="R19" s="274">
        <f t="shared" ref="R19:S26" si="5">D19+H19</f>
        <v>15349.869999999999</v>
      </c>
      <c r="S19" s="2284">
        <f t="shared" si="5"/>
        <v>84889.82</v>
      </c>
    </row>
    <row r="20" spans="1:19">
      <c r="A20" s="138"/>
      <c r="B20" s="115" t="s">
        <v>226</v>
      </c>
      <c r="C20" s="2974" t="s">
        <v>3003</v>
      </c>
      <c r="D20" s="111">
        <f t="shared" si="1"/>
        <v>1174.1099999999999</v>
      </c>
      <c r="E20" s="134">
        <f t="shared" si="2"/>
        <v>6493.21</v>
      </c>
      <c r="F20" s="135">
        <f>'数据-基础表'!K13</f>
        <v>6493.21</v>
      </c>
      <c r="G20" s="1363"/>
      <c r="H20" s="973">
        <f t="shared" ref="H20:H26" si="6">ROUND($D$3*I20/$E$3,2)</f>
        <v>23.06</v>
      </c>
      <c r="I20" s="116">
        <f t="shared" ref="I20:I26" si="7">IF($I$17="自定义",P20,M20)</f>
        <v>127.52</v>
      </c>
      <c r="J20" s="1967"/>
      <c r="K20" s="2570">
        <f t="shared" si="3"/>
        <v>127.52</v>
      </c>
      <c r="L20" s="274">
        <f t="shared" si="4"/>
        <v>0</v>
      </c>
      <c r="M20" s="2571">
        <f t="shared" ref="M20:M26" si="8">K20+L20</f>
        <v>127.52</v>
      </c>
      <c r="N20" s="2572"/>
      <c r="O20" s="2573"/>
      <c r="P20" s="2574">
        <f t="shared" ref="P20:P26" si="9">N20+O20</f>
        <v>0</v>
      </c>
      <c r="R20" s="274">
        <f t="shared" si="5"/>
        <v>1197.1699999999998</v>
      </c>
      <c r="S20" s="2284">
        <f t="shared" si="5"/>
        <v>6620.7300000000005</v>
      </c>
    </row>
    <row r="21" spans="1:19">
      <c r="A21" s="138"/>
      <c r="B21" s="115" t="s">
        <v>226</v>
      </c>
      <c r="C21" s="2974" t="s">
        <v>3004</v>
      </c>
      <c r="D21" s="111">
        <f t="shared" si="1"/>
        <v>3506.14</v>
      </c>
      <c r="E21" s="134">
        <f t="shared" si="2"/>
        <v>19390.11</v>
      </c>
      <c r="F21" s="135"/>
      <c r="G21" s="1363">
        <f>'数据-基础表'!M13</f>
        <v>19390.11</v>
      </c>
      <c r="H21" s="973">
        <f t="shared" si="6"/>
        <v>68.86</v>
      </c>
      <c r="I21" s="116">
        <f t="shared" si="7"/>
        <v>380.8</v>
      </c>
      <c r="J21" s="1967"/>
      <c r="K21" s="2570">
        <f t="shared" si="3"/>
        <v>380.8</v>
      </c>
      <c r="L21" s="274">
        <f t="shared" si="4"/>
        <v>0</v>
      </c>
      <c r="M21" s="2571">
        <f t="shared" si="8"/>
        <v>380.8</v>
      </c>
      <c r="N21" s="2572"/>
      <c r="O21" s="2573"/>
      <c r="P21" s="2574">
        <f t="shared" si="9"/>
        <v>0</v>
      </c>
      <c r="R21" s="274">
        <f t="shared" si="5"/>
        <v>3575</v>
      </c>
      <c r="S21" s="2284">
        <f t="shared" si="5"/>
        <v>19770.91</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19544.46</v>
      </c>
      <c r="E27" s="143">
        <f>IF(SUM(E19:E26)='数据-基础表'!BA5,SUM(E19:E26),IF(F27="地上面积有误","面积有误","地下面积有误"))</f>
        <v>108087.26000000001</v>
      </c>
      <c r="F27" s="134">
        <f>IF(SUM(F19:F26)=E8,SUM(F19:F26),"地上面积有误")</f>
        <v>88697.150000000009</v>
      </c>
      <c r="G27" s="112">
        <f>SUM(G19:G26)</f>
        <v>19390.11</v>
      </c>
      <c r="H27" s="974">
        <f>SUM(H19:H26)</f>
        <v>577.58000000000004</v>
      </c>
      <c r="I27" s="975">
        <f>SUM(I19:I26)</f>
        <v>3194.2000000000003</v>
      </c>
      <c r="J27" s="1967"/>
      <c r="K27" s="2579">
        <f>SUM(K19:K26)</f>
        <v>2122.73</v>
      </c>
      <c r="L27" s="2580">
        <f>SUM(L19:L26)</f>
        <v>1071.47</v>
      </c>
      <c r="M27" s="2581">
        <f>SUM(M19:M26)</f>
        <v>3194.2000000000003</v>
      </c>
      <c r="N27" s="2579">
        <f t="shared" ref="N27:O27" si="10">SUM(N19:N26)</f>
        <v>0</v>
      </c>
      <c r="O27" s="2580">
        <f t="shared" si="10"/>
        <v>0</v>
      </c>
      <c r="P27" s="2582">
        <f>SUM(P19:P26)</f>
        <v>0</v>
      </c>
      <c r="R27" s="2288">
        <f>IF(SUM(R19:R26)=$D$3,SUM(R19:R26),SUM(R19:R26)&amp;"误差"&amp;ROUND(SUM(R19:R26)-$D$3,2))</f>
        <v>20122.039999999997</v>
      </c>
      <c r="S27" s="274">
        <f>IF(SUM(S19:S26)=$E$3,SUM(S19:S26),SUM(S19:S26)&amp;"误差"&amp;ROUND(SUM(S19:S26)-E3,2))</f>
        <v>111281.46</v>
      </c>
    </row>
    <row r="28" spans="1:19">
      <c r="A28" s="138"/>
      <c r="B28" s="115" t="s">
        <v>227</v>
      </c>
      <c r="C28" s="136" t="s">
        <v>228</v>
      </c>
      <c r="D28" s="111">
        <f>ROUND($D$3*E28/$E$3,2)</f>
        <v>383.83</v>
      </c>
      <c r="E28" s="134">
        <f>SUM(F28:G28)</f>
        <v>2122.73</v>
      </c>
      <c r="F28" s="144">
        <f>'数据-基础表'!BQ5+'数据-基础表'!BS5</f>
        <v>2122.73</v>
      </c>
      <c r="G28" s="145">
        <f>'数据-基础表'!BR5+'数据-基础表'!BT5</f>
        <v>0</v>
      </c>
      <c r="H28" s="1967"/>
      <c r="I28" s="1967"/>
      <c r="J28" s="1967"/>
      <c r="K28" s="1967"/>
      <c r="L28" s="1967"/>
    </row>
    <row r="29" spans="1:19">
      <c r="A29" s="138"/>
      <c r="B29" s="115" t="s">
        <v>227</v>
      </c>
      <c r="C29" s="2296" t="s">
        <v>2320</v>
      </c>
      <c r="D29" s="111">
        <f>ROUND($D$3*E29/$E$3,2)</f>
        <v>193.74</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577.56999999999994</v>
      </c>
      <c r="E30" s="134">
        <f>SUM(E28:E29)</f>
        <v>3194.2</v>
      </c>
      <c r="F30" s="134">
        <f>SUM(F28:F29)</f>
        <v>3194.2</v>
      </c>
      <c r="G30" s="112">
        <f>SUM(G28:G29)</f>
        <v>0</v>
      </c>
      <c r="H30" s="1967"/>
      <c r="I30" s="1967"/>
      <c r="J30" s="1967"/>
      <c r="K30" s="1967"/>
      <c r="L30" s="1967"/>
    </row>
    <row r="31" spans="1:19" ht="32.25" customHeight="1" thickBot="1">
      <c r="A31" s="1365"/>
      <c r="B31" s="1366" t="s">
        <v>229</v>
      </c>
      <c r="C31" s="2313" t="s">
        <v>2322</v>
      </c>
      <c r="D31" s="1367">
        <f>D27+D30</f>
        <v>20122.03</v>
      </c>
      <c r="E31" s="1367">
        <f>E27+E30</f>
        <v>111281.46</v>
      </c>
      <c r="F31" s="1368">
        <f>F27+F30</f>
        <v>91891.35</v>
      </c>
      <c r="G31" s="1369">
        <f>G27+G30</f>
        <v>19390.11</v>
      </c>
      <c r="H31" s="1967"/>
      <c r="I31" s="1967"/>
      <c r="J31" s="1967"/>
      <c r="K31" s="1967"/>
      <c r="L31" s="1967"/>
    </row>
    <row r="32" spans="1:19">
      <c r="A32" s="1967"/>
      <c r="B32" s="2325" t="s">
        <v>2321</v>
      </c>
      <c r="C32" s="2609"/>
      <c r="D32" s="1196"/>
      <c r="E32" s="1196">
        <f>SUMIF(C19:C26,"*住宅*",E19:E26)</f>
        <v>82203.94</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L21" sqref="AL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82203.94</v>
      </c>
      <c r="L6" s="3327">
        <v>1800</v>
      </c>
      <c r="M6" s="177">
        <f t="shared" ref="M6:M14" si="0">ROUND(K6*L6/10000,0)</f>
        <v>14797</v>
      </c>
      <c r="N6" s="2976">
        <v>0</v>
      </c>
      <c r="O6" s="177">
        <f>IF($N$5="成新度","——",ROUND(M6*N6,0))</f>
        <v>0</v>
      </c>
      <c r="P6" s="178">
        <f>IF($N$5="成新度","——",M6-O6)</f>
        <v>14797</v>
      </c>
      <c r="Q6" s="3328">
        <v>0.15</v>
      </c>
      <c r="R6" s="179">
        <f>SUMIF('数据-汇总表'!C$19:C$33,A6,'数据-汇总表'!R$19:R$33)</f>
        <v>15349.869999999999</v>
      </c>
      <c r="S6" s="132">
        <f>IF('数据-汇总表'!$I$17="按面积比例",SUMIF('数据-汇总表'!C$19:C$33,A6,'数据-汇总表'!K$19:K$33),SUMIF('数据-汇总表'!C$19:C$33,A6,'数据-汇总表'!N$19:N$33))</f>
        <v>1614.41</v>
      </c>
      <c r="T6" s="2217">
        <f>IF($T$4="按面积比例",IF(ISERROR(ROUND($M$14*S6/S$16,0)),"0",ROUND($M$14*S6/S$16,0)),"需自行计算录入")</f>
        <v>291</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v>
      </c>
      <c r="G7" s="175">
        <f t="shared" ref="G7:G11" si="2">IF(ISERROR(ROUND(POWER(1+H7,D7-F7)*(POWER(1+H7,F7)-1)/(POWER(1+H7,D7)-1),3)),0,ROUND(POWER(1+H7,D7-F7)*(POWER(1+H7,F7)-1)/(POWER(1+H7,D7)-1),3))</f>
        <v>0.94899999999999995</v>
      </c>
      <c r="H7" s="2975">
        <v>0.05</v>
      </c>
      <c r="I7" s="2975">
        <v>5.5E-2</v>
      </c>
      <c r="J7" s="176">
        <v>0.08</v>
      </c>
      <c r="K7" s="179">
        <f>SUMIF('数据-汇总表'!C$19:C$33,'数据-取费表'!A7,'数据-汇总表'!E$19:E$33)</f>
        <v>6493.21</v>
      </c>
      <c r="L7" s="3327">
        <v>1800</v>
      </c>
      <c r="M7" s="177">
        <f t="shared" si="0"/>
        <v>1169</v>
      </c>
      <c r="N7" s="2976">
        <v>0</v>
      </c>
      <c r="O7" s="177">
        <f t="shared" ref="O7:O14" si="3">IF($N$5="成新度","——",ROUND(M7*N7,0))</f>
        <v>0</v>
      </c>
      <c r="P7" s="178">
        <f t="shared" ref="P7:P14" si="4">IF($N$5="成新度","——",M7-O7)</f>
        <v>1169</v>
      </c>
      <c r="Q7" s="3328">
        <v>0.2</v>
      </c>
      <c r="R7" s="179">
        <f>SUMIF('数据-汇总表'!C$19:C$33,A7,'数据-汇总表'!R$19:R$33)</f>
        <v>1197.1699999999998</v>
      </c>
      <c r="S7" s="132">
        <f>IF('数据-汇总表'!$I$17="按面积比例",SUMIF('数据-汇总表'!C$19:C$33,A7,'数据-汇总表'!K$19:K$33),SUMIF('数据-汇总表'!C$19:C$33,A7,'数据-汇总表'!N$19:N$33))</f>
        <v>127.52</v>
      </c>
      <c r="T7" s="2217">
        <f t="shared" ref="T7:T13" si="5">IF($T$4="按面积比例",IF(ISERROR(ROUND($M$14*S7/S$16,0)),"0",ROUND($M$14*S7/S$16,0)),"需自行计算录入")</f>
        <v>23</v>
      </c>
      <c r="U7" s="3320"/>
      <c r="V7" s="181"/>
      <c r="W7" s="3321"/>
      <c r="X7" s="2304"/>
      <c r="Y7" s="3326">
        <v>1</v>
      </c>
      <c r="Z7" s="183"/>
      <c r="AA7" s="176"/>
      <c r="AB7" s="176"/>
      <c r="AC7" s="2307"/>
      <c r="AD7" s="184"/>
      <c r="AE7" s="971">
        <f t="shared" ref="AE7:AE13" ca="1" si="6">IF(AN7="",0,SUMIF(INDIRECT("'"&amp;AN7&amp;"'"&amp;"!E:E"),$AE$5,INDIRECT("'"&amp;AN7&amp;"'"&amp;"!F:F")))</f>
        <v>32.5</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0.81399999999999995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v>
      </c>
      <c r="G8" s="175">
        <f t="shared" si="2"/>
        <v>0.93700000000000006</v>
      </c>
      <c r="H8" s="3317">
        <v>0.04</v>
      </c>
      <c r="I8" s="3317">
        <v>4.4999999999999998E-2</v>
      </c>
      <c r="J8" s="176">
        <v>0.08</v>
      </c>
      <c r="K8" s="179">
        <f>SUMIF('数据-汇总表'!C$19:C$33,'数据-取费表'!A8,'数据-汇总表'!E$19:E$33)</f>
        <v>19390.11</v>
      </c>
      <c r="L8" s="3327">
        <v>1800</v>
      </c>
      <c r="M8" s="177">
        <f>ROUND(K8*L8/10000,0)</f>
        <v>3490</v>
      </c>
      <c r="N8" s="2976">
        <v>0</v>
      </c>
      <c r="O8" s="177">
        <f t="shared" si="3"/>
        <v>0</v>
      </c>
      <c r="P8" s="178">
        <f t="shared" si="4"/>
        <v>3490</v>
      </c>
      <c r="Q8" s="2977">
        <v>0.03</v>
      </c>
      <c r="R8" s="179">
        <f>SUMIF('数据-汇总表'!C$19:C$33,A8,'数据-汇总表'!R$19:R$33)</f>
        <v>3575</v>
      </c>
      <c r="S8" s="132">
        <f>IF('数据-汇总表'!$I$17="按面积比例",SUMIF('数据-汇总表'!C$19:C$33,A8,'数据-汇总表'!K$19:K$33),SUMIF('数据-汇总表'!C$19:C$33,A8,'数据-汇总表'!N$19:N$33))</f>
        <v>380.8</v>
      </c>
      <c r="T8" s="2217">
        <f t="shared" si="5"/>
        <v>69</v>
      </c>
      <c r="U8" s="3320">
        <v>0.5</v>
      </c>
      <c r="V8" s="181">
        <v>0</v>
      </c>
      <c r="W8" s="3321">
        <v>0.03</v>
      </c>
      <c r="X8" s="2304"/>
      <c r="Y8" s="3326">
        <v>1</v>
      </c>
      <c r="Z8" s="183"/>
      <c r="AA8" s="176"/>
      <c r="AB8" s="176"/>
      <c r="AC8" s="2307"/>
      <c r="AD8" s="184"/>
      <c r="AE8" s="971">
        <f t="shared" ca="1" si="6"/>
        <v>32.5</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2122.73</v>
      </c>
      <c r="L14" s="3318">
        <v>1800</v>
      </c>
      <c r="M14" s="177">
        <f t="shared" si="0"/>
        <v>382</v>
      </c>
      <c r="N14" s="3319">
        <v>0</v>
      </c>
      <c r="O14" s="177">
        <f t="shared" si="3"/>
        <v>0</v>
      </c>
      <c r="P14" s="178">
        <f t="shared" si="4"/>
        <v>382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111281.46</v>
      </c>
      <c r="L16" s="206">
        <f>ROUND(M16*10000/SUM(K6:K14),0)</f>
        <v>1800</v>
      </c>
      <c r="M16" s="206">
        <f>SUM(M6:M14)</f>
        <v>19838</v>
      </c>
      <c r="N16" s="207">
        <f>ROUND(SUMPRODUCT(M6:M14,N6:N14)/M16,3)</f>
        <v>0</v>
      </c>
      <c r="O16" s="206">
        <f>SUM(O6:O14)</f>
        <v>0</v>
      </c>
      <c r="P16" s="206">
        <f>SUM(P6:P14)</f>
        <v>19838</v>
      </c>
      <c r="Q16" s="208">
        <f>ROUND(SUMPRODUCT(Q6:Q13,K6:K13)/SUMPRODUCT((Q6:Q13&gt;0)*(K6:K13)),2)</f>
        <v>0.13</v>
      </c>
      <c r="R16" s="2294">
        <f>SUM(R6:R13)</f>
        <v>20122.039999999997</v>
      </c>
      <c r="S16" s="209">
        <f>SUM(S6:S13)</f>
        <v>2122.73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56" t="s">
        <v>1663</v>
      </c>
      <c r="B1" s="3957"/>
      <c r="C1" s="3957"/>
      <c r="D1" s="3957"/>
      <c r="E1" s="3957"/>
      <c r="F1" s="3957"/>
      <c r="G1" s="3957"/>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2993" t="s">
        <v>2843</v>
      </c>
      <c r="B1" s="2993">
        <f>SUM(B14:B23)</f>
        <v>173172.69</v>
      </c>
      <c r="C1" s="2994"/>
      <c r="D1" s="2994"/>
      <c r="E1" s="2994"/>
      <c r="F1" s="2994"/>
    </row>
    <row r="2" spans="1:9" ht="16.5">
      <c r="A2" s="2993" t="s">
        <v>2844</v>
      </c>
      <c r="B2" s="2993">
        <f>SUM(C14:C23)</f>
        <v>46103.41</v>
      </c>
      <c r="C2" s="2994"/>
      <c r="D2" s="2994"/>
      <c r="E2" s="2994"/>
      <c r="F2" s="2994"/>
    </row>
    <row r="3" spans="1:9" ht="16.5">
      <c r="A3" s="2993" t="s">
        <v>2845</v>
      </c>
      <c r="B3" s="2995">
        <f>项目基本情况!D3</f>
        <v>43671</v>
      </c>
      <c r="C3" s="2994"/>
      <c r="D3" s="2994"/>
      <c r="E3" s="2994"/>
      <c r="F3" s="2994"/>
    </row>
    <row r="4" spans="1:9" ht="33">
      <c r="A4" s="2993" t="s">
        <v>2846</v>
      </c>
      <c r="B4" s="2993" t="s">
        <v>2847</v>
      </c>
      <c r="C4" s="2993" t="s">
        <v>2848</v>
      </c>
      <c r="D4" s="2993" t="s">
        <v>2849</v>
      </c>
      <c r="E4" s="2994"/>
      <c r="F4" s="2994"/>
    </row>
    <row r="5" spans="1:9" ht="16.5">
      <c r="A5" s="2993" t="s">
        <v>2850</v>
      </c>
      <c r="B5" s="2993">
        <f ca="1">SUM(D14:D23)</f>
        <v>24537</v>
      </c>
      <c r="C5" s="2993">
        <f ca="1">ROUND(B5*10000/$B$1,0)</f>
        <v>1417</v>
      </c>
      <c r="D5" s="2993">
        <f ca="1">ROUND(B5*10000/$B$2,0)</f>
        <v>5322</v>
      </c>
      <c r="E5" s="2994"/>
      <c r="F5" s="2994"/>
    </row>
    <row r="6" spans="1:9" ht="16.5">
      <c r="A6" s="2993" t="s">
        <v>2851</v>
      </c>
      <c r="B6" s="2993">
        <f ca="1">SUM(G14:G23)</f>
        <v>24537</v>
      </c>
      <c r="C6" s="2993">
        <f t="shared" ref="C6:C8" ca="1" si="0">ROUND(B6*10000/$B$1,0)</f>
        <v>1417</v>
      </c>
      <c r="D6" s="2993">
        <f t="shared" ref="D6:D8" ca="1" si="1">ROUND(B6*10000/$B$2,0)</f>
        <v>5322</v>
      </c>
      <c r="E6" s="2994"/>
      <c r="F6" s="2994"/>
    </row>
    <row r="7" spans="1:9" ht="16.5">
      <c r="A7" s="2993" t="s">
        <v>2852</v>
      </c>
      <c r="B7" s="2993">
        <f>SUM(H14:H23)</f>
        <v>0</v>
      </c>
      <c r="C7" s="2993">
        <f t="shared" si="0"/>
        <v>0</v>
      </c>
      <c r="D7" s="2993">
        <f t="shared" si="1"/>
        <v>0</v>
      </c>
      <c r="E7" s="2994"/>
      <c r="F7" s="2994"/>
    </row>
    <row r="8" spans="1:9" ht="16.5">
      <c r="A8" s="2993" t="s">
        <v>2853</v>
      </c>
      <c r="B8" s="2993">
        <f ca="1">SUM(I14:I23)</f>
        <v>18630</v>
      </c>
      <c r="C8" s="2993">
        <f t="shared" ca="1" si="0"/>
        <v>1076</v>
      </c>
      <c r="D8" s="2993">
        <f t="shared" ca="1" si="1"/>
        <v>4041</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111281.46</v>
      </c>
      <c r="C14" s="2997">
        <f>结果表!K38</f>
        <v>20122.04</v>
      </c>
      <c r="D14" s="2997">
        <f ca="1">结果表!C42</f>
        <v>14372</v>
      </c>
      <c r="E14" s="2997">
        <f ca="1">ROUND(D14*10000/B14,0)</f>
        <v>1291</v>
      </c>
      <c r="F14" s="2997">
        <f ca="1">ROUND(D14*10000/C14,0)</f>
        <v>7142</v>
      </c>
      <c r="G14" s="2997">
        <f ca="1">结果表!C44</f>
        <v>14372</v>
      </c>
      <c r="H14" s="2997" t="str">
        <f>结果表!C45</f>
        <v>——</v>
      </c>
      <c r="I14" s="2997">
        <f ca="1">结果表!C46</f>
        <v>10178</v>
      </c>
    </row>
    <row r="15" spans="1:9" ht="16.5">
      <c r="A15" s="3000" t="s">
        <v>2860</v>
      </c>
      <c r="B15" s="3742">
        <f>[3]系统读取表!$B$14</f>
        <v>61891.23</v>
      </c>
      <c r="C15" s="3743">
        <f>'[4]数据-基础表'!$A$3</f>
        <v>25981.37</v>
      </c>
      <c r="D15" s="3742">
        <f ca="1">[5]系统读取表!$D$14</f>
        <v>10165</v>
      </c>
      <c r="E15" s="2997">
        <f t="shared" ref="E15:E23" ca="1" si="2">ROUND(D15*10000/B15,0)</f>
        <v>1642</v>
      </c>
      <c r="F15" s="2997">
        <f t="shared" ref="F15:F23" ca="1" si="3">ROUND(D15*10000/C15,0)</f>
        <v>3912</v>
      </c>
      <c r="G15" s="3744">
        <f ca="1">D15</f>
        <v>10165</v>
      </c>
      <c r="H15" s="2998"/>
      <c r="I15" s="3742">
        <v>8452</v>
      </c>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776" t="str">
        <f>项目基本情况!B1</f>
        <v>出让国有建设用地使用权抵押价格预评估</v>
      </c>
      <c r="C37" s="3776"/>
      <c r="D37" s="3776"/>
      <c r="E37" s="3776"/>
      <c r="F37" s="3776"/>
      <c r="G37" s="3776"/>
      <c r="H37" s="3776"/>
      <c r="I37" s="3776"/>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K76" zoomScaleNormal="100" zoomScaleSheetLayoutView="100" zoomScalePageLayoutView="80" workbookViewId="0">
      <selection activeCell="P85" sqref="P8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4003" t="str">
        <f>项目基本情况!K2</f>
        <v>出让国有建设用地使用权</v>
      </c>
      <c r="B2" s="4004"/>
      <c r="C2" s="4005"/>
      <c r="D2" s="4005"/>
      <c r="E2" s="4005"/>
      <c r="F2" s="4005"/>
      <c r="G2" s="4004"/>
      <c r="H2" s="4004"/>
      <c r="I2" s="4006"/>
      <c r="J2" s="2013"/>
      <c r="K2" s="2012"/>
      <c r="L2" s="2012"/>
      <c r="M2" s="2012"/>
      <c r="N2" s="2012"/>
      <c r="O2" s="2012"/>
      <c r="P2" s="2012"/>
      <c r="Q2" s="2012"/>
      <c r="R2" s="2012"/>
      <c r="S2" s="2012"/>
      <c r="T2" s="2012"/>
      <c r="U2" s="2012"/>
      <c r="V2" s="2012"/>
    </row>
    <row r="3" spans="1:22" ht="14.25">
      <c r="A3" s="4014" t="s">
        <v>298</v>
      </c>
      <c r="B3" s="4015"/>
      <c r="C3" s="4015"/>
      <c r="D3" s="4015"/>
      <c r="E3" s="4015"/>
      <c r="F3" s="4015"/>
      <c r="G3" s="4015"/>
      <c r="H3" s="4015"/>
      <c r="I3" s="4015"/>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3978" t="s">
        <v>301</v>
      </c>
      <c r="F4" s="4020"/>
      <c r="G4" s="4020"/>
      <c r="H4" s="4020"/>
      <c r="I4" s="3979"/>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4007" t="s">
        <v>302</v>
      </c>
      <c r="B5" s="4008">
        <v>25</v>
      </c>
      <c r="C5" s="4016"/>
      <c r="D5" s="4019"/>
      <c r="E5" s="260" t="s">
        <v>303</v>
      </c>
      <c r="F5" s="261"/>
      <c r="G5" s="261"/>
      <c r="H5" s="261"/>
      <c r="I5" s="262"/>
      <c r="J5" s="2013"/>
      <c r="K5" s="2012"/>
      <c r="L5" s="2012"/>
      <c r="M5" s="2012"/>
      <c r="N5" s="2012"/>
      <c r="O5" s="2012"/>
      <c r="P5" s="2012"/>
      <c r="Q5" s="2012"/>
      <c r="R5" s="2012"/>
      <c r="S5" s="2012"/>
      <c r="T5" s="2012"/>
      <c r="U5" s="2012"/>
      <c r="V5" s="2012"/>
    </row>
    <row r="6" spans="1:22" ht="14.25">
      <c r="A6" s="4007"/>
      <c r="B6" s="4008"/>
      <c r="C6" s="4017"/>
      <c r="D6" s="4019"/>
      <c r="E6" s="260" t="s">
        <v>304</v>
      </c>
      <c r="F6" s="261"/>
      <c r="G6" s="261"/>
      <c r="H6" s="261"/>
      <c r="I6" s="262"/>
      <c r="J6" s="2013"/>
      <c r="K6" s="2012"/>
      <c r="L6" s="2012"/>
      <c r="M6" s="2012"/>
      <c r="N6" s="2012"/>
      <c r="O6" s="2012"/>
      <c r="P6" s="2012"/>
      <c r="Q6" s="2012"/>
      <c r="R6" s="2012"/>
      <c r="S6" s="2012"/>
      <c r="T6" s="2012"/>
      <c r="U6" s="2012"/>
      <c r="V6" s="2012"/>
    </row>
    <row r="7" spans="1:22" ht="14.25">
      <c r="A7" s="4007"/>
      <c r="B7" s="4008"/>
      <c r="C7" s="4018"/>
      <c r="D7" s="4019"/>
      <c r="E7" s="260" t="s">
        <v>305</v>
      </c>
      <c r="F7" s="261"/>
      <c r="G7" s="261"/>
      <c r="H7" s="261"/>
      <c r="I7" s="262"/>
      <c r="J7" s="2013"/>
      <c r="K7" s="2012"/>
      <c r="L7" s="2012"/>
      <c r="M7" s="2012"/>
      <c r="N7" s="2012"/>
      <c r="O7" s="2012"/>
      <c r="P7" s="2012"/>
      <c r="Q7" s="2012"/>
      <c r="R7" s="2012"/>
      <c r="S7" s="2012"/>
      <c r="T7" s="2012"/>
      <c r="U7" s="2012"/>
      <c r="V7" s="2012"/>
    </row>
    <row r="8" spans="1:22" ht="14.25">
      <c r="A8" s="4007" t="s">
        <v>306</v>
      </c>
      <c r="B8" s="4008">
        <v>15</v>
      </c>
      <c r="C8" s="4016"/>
      <c r="D8" s="4019"/>
      <c r="E8" s="260" t="s">
        <v>307</v>
      </c>
      <c r="F8" s="261"/>
      <c r="G8" s="261"/>
      <c r="H8" s="261"/>
      <c r="I8" s="262"/>
      <c r="J8" s="2013"/>
      <c r="K8" s="2012"/>
      <c r="L8" s="2012"/>
      <c r="M8" s="2012"/>
      <c r="N8" s="2012"/>
      <c r="O8" s="2012"/>
      <c r="P8" s="2012"/>
      <c r="Q8" s="2012"/>
      <c r="R8" s="2012"/>
      <c r="S8" s="2012"/>
      <c r="T8" s="2012"/>
      <c r="U8" s="2012"/>
      <c r="V8" s="2012"/>
    </row>
    <row r="9" spans="1:22" ht="14.25">
      <c r="A9" s="4007"/>
      <c r="B9" s="4008"/>
      <c r="C9" s="4018"/>
      <c r="D9" s="4019"/>
      <c r="E9" s="260" t="s">
        <v>308</v>
      </c>
      <c r="F9" s="261"/>
      <c r="G9" s="261"/>
      <c r="H9" s="261"/>
      <c r="I9" s="262"/>
      <c r="J9" s="2013"/>
      <c r="K9" s="2012"/>
      <c r="L9" s="2012"/>
      <c r="M9" s="2012"/>
      <c r="N9" s="2012"/>
      <c r="O9" s="2012"/>
      <c r="P9" s="2012"/>
      <c r="Q9" s="2012"/>
      <c r="R9" s="2012"/>
      <c r="S9" s="2012"/>
      <c r="T9" s="2012"/>
      <c r="U9" s="2012"/>
      <c r="V9" s="2012"/>
    </row>
    <row r="10" spans="1:22" ht="14.25">
      <c r="A10" s="4007" t="s">
        <v>309</v>
      </c>
      <c r="B10" s="4008">
        <v>15</v>
      </c>
      <c r="C10" s="4016"/>
      <c r="D10" s="4019"/>
      <c r="E10" s="260" t="s">
        <v>310</v>
      </c>
      <c r="F10" s="261"/>
      <c r="G10" s="261"/>
      <c r="H10" s="261"/>
      <c r="I10" s="262"/>
      <c r="J10" s="2013"/>
      <c r="K10" s="2012"/>
      <c r="L10" s="2012"/>
      <c r="M10" s="2012"/>
      <c r="N10" s="2012"/>
      <c r="O10" s="2012"/>
      <c r="P10" s="2012"/>
      <c r="Q10" s="2012"/>
      <c r="R10" s="2012"/>
      <c r="S10" s="2012"/>
      <c r="T10" s="2012"/>
      <c r="U10" s="2012"/>
      <c r="V10" s="2012"/>
    </row>
    <row r="11" spans="1:22" ht="14.25">
      <c r="A11" s="4007"/>
      <c r="B11" s="4008"/>
      <c r="C11" s="4018"/>
      <c r="D11" s="4019"/>
      <c r="E11" s="260" t="s">
        <v>311</v>
      </c>
      <c r="F11" s="261"/>
      <c r="G11" s="261"/>
      <c r="H11" s="261"/>
      <c r="I11" s="262"/>
      <c r="J11" s="2013"/>
      <c r="K11" s="2012"/>
      <c r="L11" s="2012"/>
      <c r="M11" s="2012"/>
      <c r="N11" s="2012"/>
      <c r="O11" s="2012"/>
      <c r="P11" s="2012"/>
      <c r="Q11" s="2012"/>
      <c r="R11" s="2012"/>
      <c r="S11" s="2012"/>
      <c r="T11" s="2012"/>
      <c r="U11" s="2012"/>
      <c r="V11" s="2012"/>
    </row>
    <row r="12" spans="1:22" ht="14.25">
      <c r="A12" s="4007" t="s">
        <v>312</v>
      </c>
      <c r="B12" s="4008">
        <v>15</v>
      </c>
      <c r="C12" s="4016"/>
      <c r="D12" s="4019"/>
      <c r="E12" s="260" t="s">
        <v>313</v>
      </c>
      <c r="F12" s="261"/>
      <c r="G12" s="261"/>
      <c r="H12" s="261"/>
      <c r="I12" s="262"/>
      <c r="J12" s="2013"/>
      <c r="K12" s="2012"/>
      <c r="L12" s="2012"/>
      <c r="M12" s="2012"/>
      <c r="N12" s="2012"/>
      <c r="O12" s="2012"/>
      <c r="P12" s="2012"/>
      <c r="Q12" s="2012"/>
      <c r="R12" s="2012"/>
      <c r="S12" s="2012"/>
      <c r="T12" s="2012"/>
      <c r="U12" s="2012"/>
      <c r="V12" s="2012"/>
    </row>
    <row r="13" spans="1:22" ht="14.25">
      <c r="A13" s="4007"/>
      <c r="B13" s="4008"/>
      <c r="C13" s="4018"/>
      <c r="D13" s="4019"/>
      <c r="E13" s="260" t="s">
        <v>314</v>
      </c>
      <c r="F13" s="261"/>
      <c r="G13" s="261"/>
      <c r="H13" s="261"/>
      <c r="I13" s="262"/>
      <c r="J13" s="2013"/>
      <c r="K13" s="2012"/>
      <c r="L13" s="2012"/>
      <c r="M13" s="2012"/>
      <c r="N13" s="2012"/>
      <c r="O13" s="2012"/>
      <c r="P13" s="2012"/>
      <c r="Q13" s="2012"/>
      <c r="R13" s="2012"/>
      <c r="S13" s="2012"/>
      <c r="T13" s="2012"/>
      <c r="U13" s="2012"/>
      <c r="V13" s="2012"/>
    </row>
    <row r="14" spans="1:22" ht="14.25">
      <c r="A14" s="4007" t="s">
        <v>315</v>
      </c>
      <c r="B14" s="4008">
        <v>30</v>
      </c>
      <c r="C14" s="4016">
        <v>40</v>
      </c>
      <c r="D14" s="4019">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4007"/>
      <c r="B15" s="4008"/>
      <c r="C15" s="4017"/>
      <c r="D15" s="4019"/>
      <c r="E15" s="260" t="s">
        <v>317</v>
      </c>
      <c r="F15" s="261"/>
      <c r="G15" s="261"/>
      <c r="H15" s="261"/>
      <c r="I15" s="262"/>
      <c r="J15" s="2013"/>
      <c r="K15" s="2012"/>
      <c r="L15" s="2012"/>
      <c r="M15" s="2012"/>
      <c r="N15" s="2012"/>
      <c r="O15" s="2012"/>
      <c r="P15" s="2012"/>
      <c r="Q15" s="2012"/>
      <c r="R15" s="2012"/>
      <c r="S15" s="2012"/>
      <c r="T15" s="2012"/>
      <c r="U15" s="2012"/>
      <c r="V15" s="2012"/>
    </row>
    <row r="16" spans="1:22" ht="14.25">
      <c r="A16" s="4007"/>
      <c r="B16" s="4008"/>
      <c r="C16" s="4018"/>
      <c r="D16" s="4019"/>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11637</v>
      </c>
      <c r="D19" s="270">
        <f ca="1">SUMIF(INDIRECT("'"&amp;D4&amp;"'"&amp;"!A:A"),结果表!B19,INDIRECT("'"&amp;D4&amp;"'"&amp;"!B:B"))</f>
        <v>16195</v>
      </c>
      <c r="E19" s="267" t="s">
        <v>323</v>
      </c>
      <c r="F19" s="268" t="s">
        <v>322</v>
      </c>
      <c r="G19" s="271">
        <f ca="1">ROUND(C19*$C$18+D19*$D$18,0)</f>
        <v>14372</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1046</v>
      </c>
      <c r="D20" s="276">
        <f ca="1">SUMIF(INDIRECT("'"&amp;D4&amp;"'"&amp;"!A:A"),结果表!B20,INDIRECT("'"&amp;D4&amp;"'"&amp;"!B:B"))</f>
        <v>1455</v>
      </c>
      <c r="E20" s="273"/>
      <c r="F20" s="274" t="s">
        <v>325</v>
      </c>
      <c r="G20" s="277">
        <f ca="1">ROUND(C20*$C$18+D20*$D$18,0)</f>
        <v>1291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5783</v>
      </c>
      <c r="D21" s="151">
        <f ca="1">SUMIF(INDIRECT("'"&amp;D4&amp;"'"&amp;"!A:A"),结果表!B21,INDIRECT("'"&amp;D4&amp;"'"&amp;"!B:B"))</f>
        <v>8048</v>
      </c>
      <c r="E21" s="273"/>
      <c r="F21" s="279" t="s">
        <v>327</v>
      </c>
      <c r="G21" s="281">
        <f ca="1">ROUND(C21*$C$18+D21*$D$18,0)</f>
        <v>7142</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0.39168170490676291</v>
      </c>
      <c r="E22" s="283"/>
      <c r="F22" s="284"/>
      <c r="G22" s="285">
        <f ca="1">ROUND(G19/('数据-汇总表'!D3/666.67),0)</f>
        <v>476</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80"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4022"/>
      <c r="B25" s="1316" t="s">
        <v>331</v>
      </c>
      <c r="C25" s="289">
        <f>IF(B30=0,0,C30)</f>
        <v>0</v>
      </c>
      <c r="D25" s="290"/>
      <c r="E25" s="310"/>
      <c r="F25" s="310"/>
      <c r="G25" s="310"/>
      <c r="H25" s="310"/>
      <c r="I25" s="310"/>
      <c r="J25" s="2012"/>
      <c r="K25" s="1250" t="str">
        <f ca="1">项目基本情况!B16&amp;"国有建设用地使用权价格："&amp;O38&amp;"万元"</f>
        <v>出让国有建设用地使用权价格：14372万元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大写金额：人民币壹亿肆仟叁佰柒拾贰万元整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单位面积地价：7142元/平方米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抵押价格：14372万元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大写金额：人民币壹亿肆仟叁佰柒拾贰万元整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14372</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1291</v>
      </c>
      <c r="D33" s="1380" t="s">
        <v>1691</v>
      </c>
      <c r="E33" s="3980" t="s">
        <v>338</v>
      </c>
      <c r="F33" s="295" t="s">
        <v>339</v>
      </c>
      <c r="G33" s="296"/>
      <c r="H33" s="979"/>
      <c r="I33" s="1254"/>
      <c r="J33" s="2012"/>
      <c r="K33" s="1253" t="str">
        <f ca="1">IF(项目基本情况!E9="——","——","抵押净值："&amp;C46&amp;"万元")</f>
        <v>抵押净值：10178万元</v>
      </c>
      <c r="L33" s="1247"/>
      <c r="M33" s="1247"/>
      <c r="N33" s="1247"/>
      <c r="O33" s="1246"/>
      <c r="P33" s="2012"/>
      <c r="V33" s="2012"/>
    </row>
    <row r="34" spans="1:26" s="1249" customFormat="1" ht="18.75" thickBot="1">
      <c r="A34" s="299"/>
      <c r="B34" s="1381" t="s">
        <v>1692</v>
      </c>
      <c r="C34" s="263">
        <f ca="1">ROUND(C32*10000/'数据-汇总表'!D3,0)</f>
        <v>7142</v>
      </c>
      <c r="D34" s="1382" t="s">
        <v>1691</v>
      </c>
      <c r="E34" s="3981"/>
      <c r="F34" s="127" t="s">
        <v>341</v>
      </c>
      <c r="G34" s="298"/>
      <c r="H34" s="105"/>
      <c r="I34" s="310"/>
      <c r="J34" s="2012"/>
      <c r="K34" s="1256" t="str">
        <f ca="1">IF(K33="——","——","大写金额：人民币"&amp;NUMBERSTRING(INT(O41*10000),2)&amp;"元整")</f>
        <v>大写金额：人民币壹亿零壹佰柒拾捌万元整</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476</v>
      </c>
      <c r="D35" s="1385" t="s">
        <v>1693</v>
      </c>
      <c r="E35" s="3982"/>
      <c r="F35" s="300" t="s">
        <v>342</v>
      </c>
      <c r="G35" s="981"/>
      <c r="H35" s="980" t="s">
        <v>343</v>
      </c>
      <c r="I35" s="310"/>
      <c r="J35" s="2012"/>
      <c r="K35" s="3986" t="s">
        <v>350</v>
      </c>
      <c r="L35" s="3986" t="s">
        <v>351</v>
      </c>
      <c r="M35" s="1259" t="s">
        <v>352</v>
      </c>
      <c r="N35" s="3986" t="s">
        <v>353</v>
      </c>
      <c r="O35" s="3986" t="s">
        <v>354</v>
      </c>
      <c r="P35" s="2012"/>
      <c r="V35" s="2012"/>
    </row>
    <row r="36" spans="1:26" ht="16.5" customHeight="1">
      <c r="A36" s="302" t="s">
        <v>344</v>
      </c>
      <c r="B36" s="303" t="s">
        <v>333</v>
      </c>
      <c r="C36" s="304" t="s">
        <v>345</v>
      </c>
      <c r="D36" s="304" t="s">
        <v>346</v>
      </c>
      <c r="E36" s="305" t="s">
        <v>347</v>
      </c>
      <c r="F36" s="310"/>
      <c r="G36" s="310"/>
      <c r="H36" s="310"/>
      <c r="I36" s="310"/>
      <c r="J36" s="2014"/>
      <c r="K36" s="3987"/>
      <c r="L36" s="3987"/>
      <c r="M36" s="1261" t="s">
        <v>355</v>
      </c>
      <c r="N36" s="3987"/>
      <c r="O36" s="3987"/>
      <c r="P36" s="2012"/>
      <c r="V36" s="2012"/>
    </row>
    <row r="37" spans="1:26" ht="16.5" customHeight="1" thickBot="1">
      <c r="A37" s="1255" t="s">
        <v>348</v>
      </c>
      <c r="B37" s="306"/>
      <c r="C37" s="293"/>
      <c r="D37" s="293"/>
      <c r="E37" s="294"/>
      <c r="F37" s="310"/>
      <c r="G37" s="310"/>
      <c r="H37" s="310"/>
      <c r="I37" s="310"/>
      <c r="J37" s="2014"/>
      <c r="K37" s="3988"/>
      <c r="L37" s="3988"/>
      <c r="M37" s="1262"/>
      <c r="N37" s="3988"/>
      <c r="O37" s="3988"/>
      <c r="P37" s="2012"/>
      <c r="V37" s="2012"/>
    </row>
    <row r="38" spans="1:26" ht="16.5" customHeight="1" thickBot="1">
      <c r="A38" s="1255" t="s">
        <v>349</v>
      </c>
      <c r="B38" s="306"/>
      <c r="C38" s="293"/>
      <c r="D38" s="293"/>
      <c r="E38" s="294"/>
      <c r="F38" s="310"/>
      <c r="G38" s="310"/>
      <c r="H38" s="310"/>
      <c r="I38" s="310"/>
      <c r="J38" s="2014"/>
      <c r="K38" s="1263">
        <f>'数据-汇总表'!D3</f>
        <v>20122.04</v>
      </c>
      <c r="L38" s="1264">
        <f>'数据-汇总表'!E3</f>
        <v>111281.46</v>
      </c>
      <c r="M38" s="1264">
        <f ca="1">C34</f>
        <v>7142</v>
      </c>
      <c r="N38" s="1264">
        <f ca="1">C33</f>
        <v>1291</v>
      </c>
      <c r="O38" s="1265">
        <f ca="1">C32</f>
        <v>14372</v>
      </c>
      <c r="P38" s="2012"/>
      <c r="V38" s="2012"/>
    </row>
    <row r="39" spans="1:26" ht="16.5" customHeight="1" thickBot="1">
      <c r="A39" s="1260"/>
      <c r="B39" s="307"/>
      <c r="C39" s="308"/>
      <c r="D39" s="308"/>
      <c r="E39" s="309"/>
      <c r="F39" s="310"/>
      <c r="G39" s="310"/>
      <c r="H39" s="310"/>
      <c r="I39" s="310"/>
      <c r="J39" s="2014"/>
      <c r="K39" s="3963" t="str">
        <f>MID(A44,3,LEN(A44)-2)</f>
        <v>抵押价格</v>
      </c>
      <c r="L39" s="3964"/>
      <c r="M39" s="3964"/>
      <c r="N39" s="3965"/>
      <c r="O39" s="1387">
        <f ca="1">C44</f>
        <v>14372</v>
      </c>
      <c r="P39" s="2012"/>
      <c r="V39" s="2012"/>
    </row>
    <row r="40" spans="1:26" ht="19.5" thickBot="1">
      <c r="A40" s="104" t="s">
        <v>873</v>
      </c>
      <c r="B40" s="310"/>
      <c r="C40" s="310"/>
      <c r="D40" s="310"/>
      <c r="E40" s="310"/>
      <c r="F40" s="310"/>
      <c r="G40" s="310"/>
      <c r="H40" s="310"/>
      <c r="I40" s="310"/>
      <c r="J40" s="2014"/>
      <c r="K40" s="3963" t="str">
        <f t="shared" ref="K40:K41" si="0">MID(A45,3,LEN(A45)-2)</f>
        <v/>
      </c>
      <c r="L40" s="3964"/>
      <c r="M40" s="3964"/>
      <c r="N40" s="3965"/>
      <c r="O40" s="1387" t="str">
        <f>C45</f>
        <v>——</v>
      </c>
      <c r="P40" s="2012"/>
      <c r="V40" s="2012"/>
    </row>
    <row r="41" spans="1:26" ht="16.5" thickBot="1">
      <c r="A41" s="311" t="s">
        <v>356</v>
      </c>
      <c r="B41" s="312"/>
      <c r="C41" s="313" t="s">
        <v>357</v>
      </c>
      <c r="D41" s="314" t="s">
        <v>358</v>
      </c>
      <c r="E41" s="314" t="s">
        <v>359</v>
      </c>
      <c r="F41" s="315" t="s">
        <v>360</v>
      </c>
      <c r="G41" s="310"/>
      <c r="H41" s="310"/>
      <c r="I41" s="310"/>
      <c r="J41" s="2014"/>
      <c r="K41" s="3963" t="str">
        <f t="shared" si="0"/>
        <v>抵押净值</v>
      </c>
      <c r="L41" s="3964"/>
      <c r="M41" s="3964"/>
      <c r="N41" s="3965"/>
      <c r="O41" s="1387">
        <f ca="1">C46</f>
        <v>10178</v>
      </c>
      <c r="P41" s="2012"/>
      <c r="V41" s="2012"/>
    </row>
    <row r="42" spans="1:26" ht="29.25">
      <c r="A42" s="4023" t="s">
        <v>2067</v>
      </c>
      <c r="B42" s="4024"/>
      <c r="C42" s="263">
        <f ca="1">C32</f>
        <v>14372</v>
      </c>
      <c r="D42" s="316">
        <f ca="1">C33</f>
        <v>1291</v>
      </c>
      <c r="E42" s="316">
        <f ca="1">C34</f>
        <v>7142</v>
      </c>
      <c r="F42" s="317">
        <f ca="1">C35</f>
        <v>476</v>
      </c>
      <c r="G42" s="310"/>
      <c r="H42" s="310"/>
      <c r="I42" s="318"/>
      <c r="J42" s="2014"/>
      <c r="K42" s="1266" t="s">
        <v>361</v>
      </c>
      <c r="L42" s="2031" t="s">
        <v>362</v>
      </c>
      <c r="M42" s="1267" t="s">
        <v>363</v>
      </c>
      <c r="N42" s="2032" t="s">
        <v>364</v>
      </c>
      <c r="O42" s="2033" t="s">
        <v>365</v>
      </c>
      <c r="P42" s="2012"/>
      <c r="V42" s="2012"/>
    </row>
    <row r="43" spans="1:26" ht="30">
      <c r="A43" s="4033" t="s">
        <v>2729</v>
      </c>
      <c r="B43" s="4034"/>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11637</v>
      </c>
      <c r="M43" s="1270">
        <f>C18</f>
        <v>0.4</v>
      </c>
      <c r="N43" s="1271">
        <f ca="1">IF(N42="测算结果/万元",G19,G20)</f>
        <v>14372</v>
      </c>
      <c r="O43" s="1272">
        <f ca="1">IF(O42="最终结果/万元",C32,C33)</f>
        <v>14372</v>
      </c>
      <c r="P43" s="2012"/>
      <c r="V43" s="2012"/>
    </row>
    <row r="44" spans="1:26" ht="30.75" thickBot="1">
      <c r="A44" s="4023" t="str">
        <f>IF(OR(项目基本情况!E8="抵押价格",项目基本情况!E8="已注销及未注销"),"3.抵押价格","——")</f>
        <v>3.抵押价格</v>
      </c>
      <c r="B44" s="4024"/>
      <c r="C44" s="263">
        <f ca="1">IF(A44="——","——",C42-C43)</f>
        <v>14372</v>
      </c>
      <c r="D44" s="316">
        <f ca="1">ROUND(C44*10000/'数据-汇总表'!E3,0)</f>
        <v>1291</v>
      </c>
      <c r="E44" s="316">
        <f ca="1">ROUND(C44*10000/'数据-汇总表'!D3,0)</f>
        <v>7142</v>
      </c>
      <c r="F44" s="317">
        <f ca="1">ROUND(C44/('数据-汇总表'!D3/666.67),0)</f>
        <v>476</v>
      </c>
      <c r="G44" s="310"/>
      <c r="H44" s="310"/>
      <c r="I44" s="318"/>
      <c r="J44" s="2014"/>
      <c r="K44" s="1273" t="str">
        <f>D4</f>
        <v>剩余法-待开发</v>
      </c>
      <c r="L44" s="1274">
        <f ca="1">IF(L42="估价结果/万元",D19,D20)</f>
        <v>16195</v>
      </c>
      <c r="M44" s="1275">
        <f>D18</f>
        <v>0.6</v>
      </c>
      <c r="N44" s="1276"/>
      <c r="O44" s="1277"/>
      <c r="P44" s="2012"/>
      <c r="V44" s="2012"/>
    </row>
    <row r="45" spans="1:26" ht="15">
      <c r="A45" s="4028" t="str">
        <f>IF(项目基本情况!E8="已注销及未注销","4.抵押担保权已注销时的抵押价格",IF(项目基本情况!E8="已注销","3.抵押担保权已注销时的抵押价格","——"))</f>
        <v>——</v>
      </c>
      <c r="B45" s="4029"/>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4025" t="str">
        <f>IF(项目基本情况!E9="抵押净值",IF(A45="——","4.抵押净值","5.抵押净值"),"——")</f>
        <v>4.抵押净值</v>
      </c>
      <c r="B46" s="4026"/>
      <c r="C46" s="319">
        <f ca="1">IF(A46="——","——",O79)</f>
        <v>10178</v>
      </c>
      <c r="D46" s="316">
        <f ca="1">ROUND(C46*10000/'数据-汇总表'!E3,0)</f>
        <v>915</v>
      </c>
      <c r="E46" s="316">
        <f ca="1">ROUND(C46*10000/'数据-汇总表'!D3,0)</f>
        <v>5058</v>
      </c>
      <c r="F46" s="317">
        <f ca="1">ROUND(C46/('数据-汇总表'!D3/666.67),0)</f>
        <v>337</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991" t="s">
        <v>374</v>
      </c>
      <c r="B63" s="3992"/>
      <c r="C63" s="3993"/>
      <c r="D63" s="340">
        <f ca="1">ROUND(C42*F63,0)</f>
        <v>14372</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4030" t="s">
        <v>378</v>
      </c>
      <c r="B64" s="4031"/>
      <c r="C64" s="4031"/>
      <c r="D64" s="4031"/>
      <c r="E64" s="4031"/>
      <c r="F64" s="4031"/>
      <c r="G64" s="4032"/>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4027" t="s">
        <v>386</v>
      </c>
      <c r="B66" s="3998"/>
      <c r="C66" s="3998"/>
      <c r="D66" s="260">
        <f ca="1">IF(H66="情况1",0,IF(H66="情况2",D70,IF(H66="情况3",D71,IF(H66="情况4",D72))))</f>
        <v>753</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967" t="s">
        <v>385</v>
      </c>
      <c r="M66" s="3968"/>
      <c r="N66" s="2421"/>
      <c r="O66" s="2422"/>
      <c r="P66" s="2423"/>
      <c r="Q66" s="2012"/>
      <c r="R66" s="2012"/>
      <c r="S66" s="2012"/>
      <c r="T66" s="2012"/>
      <c r="U66" s="2012"/>
      <c r="V66" s="2012"/>
    </row>
    <row r="67" spans="1:22" ht="25.5" customHeight="1">
      <c r="A67" s="351" t="s">
        <v>390</v>
      </c>
      <c r="B67" s="4010" t="s">
        <v>391</v>
      </c>
      <c r="C67" s="4010"/>
      <c r="D67" s="352">
        <v>0</v>
      </c>
      <c r="E67" s="41" t="s">
        <v>392</v>
      </c>
      <c r="F67" s="62" t="s">
        <v>21</v>
      </c>
      <c r="G67" s="3994"/>
      <c r="H67" s="310"/>
      <c r="I67" s="1287"/>
      <c r="J67" s="2019"/>
      <c r="K67" s="1960">
        <v>2</v>
      </c>
      <c r="L67" s="3966" t="s">
        <v>389</v>
      </c>
      <c r="M67" s="3966"/>
      <c r="N67" s="1320">
        <f>'数据-取费表'!B2</f>
        <v>43671</v>
      </c>
      <c r="O67" s="1320"/>
      <c r="P67" s="1320"/>
      <c r="Q67" s="2012"/>
      <c r="R67" s="2012"/>
      <c r="S67" s="2012"/>
      <c r="T67" s="2012"/>
      <c r="U67" s="2012"/>
      <c r="V67" s="2012"/>
    </row>
    <row r="68" spans="1:22" ht="25.5" customHeight="1">
      <c r="A68" s="353"/>
      <c r="B68" s="4010" t="s">
        <v>394</v>
      </c>
      <c r="C68" s="4010"/>
      <c r="D68" s="354"/>
      <c r="E68" s="77"/>
      <c r="F68" s="355"/>
      <c r="G68" s="3995"/>
      <c r="H68" s="310"/>
      <c r="I68" s="1287"/>
      <c r="J68" s="2019"/>
      <c r="K68" s="1960">
        <v>3</v>
      </c>
      <c r="L68" s="3966" t="s">
        <v>393</v>
      </c>
      <c r="M68" s="3966"/>
      <c r="N68" s="1288">
        <f ca="1">C42</f>
        <v>14372</v>
      </c>
      <c r="O68" s="1288"/>
      <c r="P68" s="1288"/>
      <c r="Q68" s="2012"/>
      <c r="R68" s="2012"/>
      <c r="S68" s="2012"/>
      <c r="T68" s="2012"/>
      <c r="U68" s="2012"/>
      <c r="V68" s="2012"/>
    </row>
    <row r="69" spans="1:22" ht="12" customHeight="1">
      <c r="A69" s="356"/>
      <c r="B69" s="4010" t="s">
        <v>395</v>
      </c>
      <c r="C69" s="4010"/>
      <c r="D69" s="357"/>
      <c r="E69" s="73"/>
      <c r="F69" s="355"/>
      <c r="G69" s="3996"/>
      <c r="H69" s="310"/>
      <c r="I69" s="1287"/>
      <c r="J69" s="2019"/>
      <c r="K69" s="1289">
        <v>4</v>
      </c>
      <c r="L69" s="3972" t="s">
        <v>2882</v>
      </c>
      <c r="M69" s="3973"/>
      <c r="N69" s="1290">
        <f ca="1">C44</f>
        <v>14372</v>
      </c>
      <c r="O69" s="1290"/>
      <c r="P69" s="1290"/>
      <c r="Q69" s="2012"/>
      <c r="R69" s="2012"/>
      <c r="S69" s="2012"/>
      <c r="T69" s="2012"/>
      <c r="U69" s="2012"/>
      <c r="V69" s="2012"/>
    </row>
    <row r="70" spans="1:22" ht="24" customHeight="1">
      <c r="A70" s="358" t="s">
        <v>396</v>
      </c>
      <c r="B70" s="4010" t="s">
        <v>397</v>
      </c>
      <c r="C70" s="4010"/>
      <c r="D70" s="357">
        <f ca="1">ROUND(D63*'数据-取费表'!B41/(1+'数据-取费表'!C42),0)</f>
        <v>753</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4009" t="s">
        <v>405</v>
      </c>
      <c r="C71" s="4021"/>
      <c r="D71" s="357">
        <f ca="1">ROUND(D63*'数据-取费表'!B41/(1+'数据-取费表'!C42),0)</f>
        <v>753</v>
      </c>
      <c r="E71" s="17" t="s">
        <v>398</v>
      </c>
      <c r="F71" s="359">
        <f>'数据-取费表'!B41</f>
        <v>5.5000000000000007E-2</v>
      </c>
      <c r="G71" s="360"/>
      <c r="H71" s="310"/>
      <c r="I71" s="1287"/>
      <c r="J71" s="2019"/>
      <c r="K71" s="3009" t="s">
        <v>399</v>
      </c>
      <c r="L71" s="3974" t="s">
        <v>400</v>
      </c>
      <c r="M71" s="3974"/>
      <c r="N71" s="3009" t="s">
        <v>401</v>
      </c>
      <c r="O71" s="3009" t="s">
        <v>402</v>
      </c>
      <c r="P71" s="3009" t="s">
        <v>403</v>
      </c>
      <c r="Q71" s="2012"/>
      <c r="R71" s="2012"/>
      <c r="S71" s="2012"/>
      <c r="T71" s="2012"/>
      <c r="U71" s="2012"/>
      <c r="V71" s="2012"/>
    </row>
    <row r="72" spans="1:22" ht="12" customHeight="1">
      <c r="A72" s="358" t="s">
        <v>407</v>
      </c>
      <c r="B72" s="4009" t="s">
        <v>408</v>
      </c>
      <c r="C72" s="4021"/>
      <c r="D72" s="357">
        <f ca="1">C86</f>
        <v>643</v>
      </c>
      <c r="E72" s="73" t="s">
        <v>409</v>
      </c>
      <c r="F72" s="359">
        <f>'数据-取费表'!B41</f>
        <v>5.5000000000000007E-2</v>
      </c>
      <c r="G72" s="360"/>
      <c r="H72" s="1293"/>
      <c r="I72" s="1287"/>
      <c r="J72" s="2019"/>
      <c r="K72" s="1960">
        <v>1</v>
      </c>
      <c r="L72" s="3971" t="s">
        <v>406</v>
      </c>
      <c r="M72" s="3971"/>
      <c r="N72" s="1291">
        <f ca="1">D66</f>
        <v>753</v>
      </c>
      <c r="O72" s="1843" t="str">
        <f>E66</f>
        <v>销售额×税（费）率</v>
      </c>
      <c r="P72" s="1292">
        <f>F66</f>
        <v>5.5000000000000007E-2</v>
      </c>
      <c r="Q72" s="2012"/>
      <c r="R72" s="2012"/>
      <c r="S72" s="2012"/>
      <c r="T72" s="2012"/>
      <c r="U72" s="2012"/>
      <c r="V72" s="2012"/>
    </row>
    <row r="73" spans="1:22" ht="24" customHeight="1">
      <c r="A73" s="3997" t="s">
        <v>411</v>
      </c>
      <c r="B73" s="3998"/>
      <c r="C73" s="3998"/>
      <c r="D73" s="361">
        <f ca="1">IF(H73="个人住宅",0,ROUND(D63*I73,0))</f>
        <v>7</v>
      </c>
      <c r="E73" s="17" t="s">
        <v>412</v>
      </c>
      <c r="F73" s="359">
        <f>IF(H73="正常",I73,"免征")</f>
        <v>5.0000000000000001E-4</v>
      </c>
      <c r="G73" s="360"/>
      <c r="H73" s="191" t="s">
        <v>3012</v>
      </c>
      <c r="I73" s="359">
        <f>'数据-取费表'!B49</f>
        <v>5.0000000000000001E-4</v>
      </c>
      <c r="J73" s="2019"/>
      <c r="K73" s="1960">
        <v>2</v>
      </c>
      <c r="L73" s="3971" t="s">
        <v>410</v>
      </c>
      <c r="M73" s="3971"/>
      <c r="N73" s="1291">
        <f t="shared" ref="N73:P74" ca="1" si="1">D73</f>
        <v>7</v>
      </c>
      <c r="O73" s="1843" t="str">
        <f t="shared" si="1"/>
        <v>销售额×税（费）率</v>
      </c>
      <c r="P73" s="1292">
        <f t="shared" si="1"/>
        <v>5.0000000000000001E-4</v>
      </c>
      <c r="Q73" s="2012"/>
      <c r="R73" s="2012"/>
      <c r="S73" s="2012"/>
      <c r="T73" s="2012"/>
      <c r="U73" s="2012"/>
      <c r="V73" s="2012"/>
    </row>
    <row r="74" spans="1:22" ht="24.75">
      <c r="A74" s="3997" t="s">
        <v>415</v>
      </c>
      <c r="B74" s="3998"/>
      <c r="C74" s="3998"/>
      <c r="D74" s="361">
        <f ca="1">IF(H74="个人住宅",D75,D76)</f>
        <v>3434</v>
      </c>
      <c r="E74" s="17" t="s">
        <v>416</v>
      </c>
      <c r="F74" s="359" t="str">
        <f>IF(H74="正常",F76,"免征")</f>
        <v>——</v>
      </c>
      <c r="G74" s="982" t="s">
        <v>417</v>
      </c>
      <c r="H74" s="362" t="s">
        <v>413</v>
      </c>
      <c r="I74" s="42"/>
      <c r="J74" s="2019"/>
      <c r="K74" s="1960">
        <v>3</v>
      </c>
      <c r="L74" s="3971" t="s">
        <v>414</v>
      </c>
      <c r="M74" s="3971"/>
      <c r="N74" s="1291">
        <f t="shared" ca="1" si="1"/>
        <v>3434</v>
      </c>
      <c r="O74" s="1843" t="str">
        <f t="shared" si="1"/>
        <v>增值额×税（费）率</v>
      </c>
      <c r="P74" s="1294" t="str">
        <f t="shared" si="1"/>
        <v>——</v>
      </c>
      <c r="Q74" s="2012"/>
      <c r="R74" s="2012"/>
      <c r="S74" s="2012"/>
      <c r="T74" s="2012"/>
      <c r="U74" s="2012"/>
      <c r="V74" s="2012"/>
    </row>
    <row r="75" spans="1:22" ht="12.75">
      <c r="A75" s="358" t="s">
        <v>418</v>
      </c>
      <c r="B75" s="3978" t="s">
        <v>419</v>
      </c>
      <c r="C75" s="3979"/>
      <c r="D75" s="363">
        <v>0</v>
      </c>
      <c r="E75" s="41" t="s">
        <v>420</v>
      </c>
      <c r="F75" s="364"/>
      <c r="G75" s="360"/>
      <c r="H75" s="42"/>
      <c r="I75" s="42"/>
      <c r="J75" s="2019"/>
      <c r="K75" s="3002" t="str">
        <f>IF(H77="非个人房产","",4)</f>
        <v/>
      </c>
      <c r="L75" s="3971" t="str">
        <f>IF(H77="非个人房产","——","个人所得税")</f>
        <v>——</v>
      </c>
      <c r="M75" s="3971"/>
      <c r="N75" s="1295" t="str">
        <f>D77</f>
        <v>——</v>
      </c>
      <c r="O75" s="1856" t="str">
        <f>E77</f>
        <v>——</v>
      </c>
      <c r="P75" s="1296" t="str">
        <f>F77</f>
        <v>——</v>
      </c>
      <c r="Q75" s="2012"/>
      <c r="R75" s="2012"/>
      <c r="S75" s="2012"/>
      <c r="T75" s="2012"/>
      <c r="U75" s="2012"/>
      <c r="V75" s="2012"/>
    </row>
    <row r="76" spans="1:22" ht="24.75">
      <c r="A76" s="358" t="s">
        <v>396</v>
      </c>
      <c r="B76" s="3978" t="s">
        <v>422</v>
      </c>
      <c r="C76" s="4020"/>
      <c r="D76" s="361">
        <f ca="1">IF(H76="转让取得",C99,C115)</f>
        <v>3434</v>
      </c>
      <c r="E76" s="17" t="s">
        <v>423</v>
      </c>
      <c r="F76" s="53" t="s">
        <v>21</v>
      </c>
      <c r="G76" s="360"/>
      <c r="H76" s="362" t="s">
        <v>424</v>
      </c>
      <c r="I76" s="42"/>
      <c r="J76" s="2019"/>
      <c r="K76" s="3002" t="str">
        <f>IF(项目基本情况!K6="上海银行",IF(K75="",4,K75+1),"")</f>
        <v/>
      </c>
      <c r="L76" s="3959" t="str">
        <f>IF(项目基本情况!K6="上海银行","其他处置费用","")</f>
        <v/>
      </c>
      <c r="M76" s="3960"/>
      <c r="N76" s="1291" t="str">
        <f>IF(项目基本情况!K6="上海银行",N89,"")</f>
        <v/>
      </c>
      <c r="O76" s="3961" t="str">
        <f>IF(项目基本情况!K6="上海银行","包含处置中涉及的律师、诉讼、拍卖、评估等费用","")</f>
        <v/>
      </c>
      <c r="P76" s="3962"/>
      <c r="Q76" s="2012"/>
      <c r="R76" s="2012"/>
      <c r="S76" s="2012"/>
      <c r="T76" s="2012"/>
      <c r="U76" s="2012"/>
      <c r="V76" s="2012"/>
    </row>
    <row r="77" spans="1:22" ht="24.75" thickBot="1">
      <c r="A77" s="3989" t="s">
        <v>426</v>
      </c>
      <c r="B77" s="3990"/>
      <c r="C77" s="3990"/>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3985">
        <f>IF(AND(K75="",K76=""),4,IF(项目基本情况!K6="上海银行",K76+1,K75+1))</f>
        <v>4</v>
      </c>
      <c r="L77" s="3971" t="s">
        <v>2883</v>
      </c>
      <c r="M77" s="3008" t="s">
        <v>421</v>
      </c>
      <c r="N77" s="1297"/>
      <c r="O77" s="1298">
        <f ca="1">SUMIF(N72:N76,"&lt;9e307")</f>
        <v>4194</v>
      </c>
      <c r="P77" s="1299"/>
      <c r="Q77" s="3006">
        <f ca="1">O77/N69</f>
        <v>0.29181742276649042</v>
      </c>
      <c r="R77" s="2012"/>
      <c r="S77" s="2012"/>
      <c r="T77" s="2012"/>
      <c r="U77" s="2012"/>
      <c r="V77" s="2012"/>
    </row>
    <row r="78" spans="1:22" ht="12" customHeight="1">
      <c r="A78" s="1300"/>
      <c r="B78" s="310"/>
      <c r="C78" s="310"/>
      <c r="D78" s="310"/>
      <c r="E78" s="42"/>
      <c r="F78" s="42"/>
      <c r="G78" s="42"/>
      <c r="H78" s="1002"/>
      <c r="I78" s="310"/>
      <c r="J78" s="2019"/>
      <c r="K78" s="3985"/>
      <c r="L78" s="3971"/>
      <c r="M78" s="3008" t="s">
        <v>425</v>
      </c>
      <c r="N78" s="1297"/>
      <c r="O78" s="1298" t="str">
        <f ca="1">NUMBERSTRING(INT(O77*10000),2)&amp;"元整"</f>
        <v>肆仟壹佰玖拾肆万元整</v>
      </c>
      <c r="P78" s="1299"/>
      <c r="Q78" s="2012"/>
      <c r="R78" s="2012"/>
      <c r="S78" s="2012"/>
      <c r="T78" s="2012"/>
      <c r="U78" s="2012"/>
      <c r="V78" s="2012"/>
    </row>
    <row r="79" spans="1:22" ht="13.5" thickBot="1">
      <c r="A79" s="3975" t="s">
        <v>427</v>
      </c>
      <c r="B79" s="3975"/>
      <c r="C79" s="3975"/>
      <c r="D79" s="3975"/>
      <c r="E79" s="3975"/>
      <c r="F79" s="42"/>
      <c r="G79" s="42"/>
      <c r="H79" s="1002"/>
      <c r="I79" s="310"/>
      <c r="J79" s="2019"/>
      <c r="K79" s="3969">
        <f>K77+1</f>
        <v>5</v>
      </c>
      <c r="L79" s="3971" t="s">
        <v>2884</v>
      </c>
      <c r="M79" s="3008" t="s">
        <v>421</v>
      </c>
      <c r="N79" s="1297"/>
      <c r="O79" s="1298">
        <f ca="1">N69-O77</f>
        <v>10178</v>
      </c>
      <c r="P79" s="1299"/>
      <c r="Q79" s="2012"/>
      <c r="R79" s="2012"/>
      <c r="S79" s="2012"/>
      <c r="T79" s="2012"/>
      <c r="U79" s="2012"/>
      <c r="V79" s="2012"/>
    </row>
    <row r="80" spans="1:22" ht="25.5">
      <c r="A80" s="3976" t="s">
        <v>428</v>
      </c>
      <c r="B80" s="3977"/>
      <c r="C80" s="993"/>
      <c r="D80" s="993" t="s">
        <v>429</v>
      </c>
      <c r="E80" s="369" t="s">
        <v>430</v>
      </c>
      <c r="F80" s="42"/>
      <c r="G80" s="42"/>
      <c r="H80" s="1002"/>
      <c r="I80" s="310"/>
      <c r="J80" s="2012"/>
      <c r="K80" s="3970"/>
      <c r="L80" s="3971"/>
      <c r="M80" s="3008" t="s">
        <v>425</v>
      </c>
      <c r="N80" s="1297"/>
      <c r="O80" s="1298" t="str">
        <f ca="1">NUMBERSTRING(INT(O79*10000),2)&amp;"元整"</f>
        <v>壹亿零壹佰柒拾捌万元整</v>
      </c>
      <c r="P80" s="1299"/>
      <c r="Q80" s="2012"/>
      <c r="R80" s="2012"/>
      <c r="S80" s="2012"/>
      <c r="T80" s="2012"/>
      <c r="U80" s="2012"/>
      <c r="V80" s="2012"/>
    </row>
    <row r="81" spans="1:26" ht="13.5" thickBot="1">
      <c r="A81" s="380" t="s">
        <v>1823</v>
      </c>
      <c r="B81" s="370" t="s">
        <v>431</v>
      </c>
      <c r="C81" s="371">
        <f ca="1">ROUND((C82+C83)/(1+'数据-取费表'!C42),0)</f>
        <v>13688</v>
      </c>
      <c r="D81" s="372"/>
      <c r="E81" s="373"/>
      <c r="F81" s="42"/>
      <c r="G81" s="42"/>
      <c r="H81" s="1002"/>
      <c r="I81" s="310"/>
      <c r="J81" s="2012"/>
      <c r="K81" s="3002">
        <f>K79+1</f>
        <v>6</v>
      </c>
      <c r="L81" s="3983" t="s">
        <v>2885</v>
      </c>
      <c r="M81" s="3984"/>
      <c r="N81" s="1301"/>
      <c r="O81" s="1302">
        <f ca="1">ROUND(O79*10000/'数据-汇总表'!E3,0)</f>
        <v>915</v>
      </c>
      <c r="P81" s="1303"/>
      <c r="Q81" s="2012"/>
      <c r="R81" s="2012"/>
      <c r="S81" s="2012"/>
      <c r="T81" s="2012"/>
      <c r="U81" s="2012"/>
      <c r="V81" s="2012"/>
    </row>
    <row r="82" spans="1:26" ht="13.5" thickTop="1">
      <c r="A82" s="374" t="s">
        <v>1824</v>
      </c>
      <c r="B82" s="375" t="s">
        <v>432</v>
      </c>
      <c r="C82" s="376">
        <f ca="1">D63</f>
        <v>14372</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958" t="s">
        <v>2873</v>
      </c>
      <c r="L83" s="3014" t="s">
        <v>2874</v>
      </c>
      <c r="M83" s="3004">
        <f ca="1">IF(N69&gt;10000,N69*0.5%,IF(AND(N69&gt;1000,N69&lt;=10000),N69*1%,IF(AND(N69&gt;100,N69&lt;=1000),N69*3%,IF(AND(N69&gt;10,N69&lt;=100),N69*5%,N69*8%))))</f>
        <v>71.86</v>
      </c>
      <c r="N83" s="53">
        <f ca="1">ROUND(M83,1)</f>
        <v>71.900000000000006</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3958"/>
      <c r="L84" s="3014" t="s">
        <v>2875</v>
      </c>
      <c r="M84" s="3004">
        <f ca="1">IF(N69&gt;2000,N69*0.5%,IF(AND(N69&gt;1000,N69&lt;=2000),N69*0.6%,IF(AND(N69&gt;500,N69&lt;=1000),N69*0.7%,IF(AND(N69&gt;200,N69&lt;=500),N69*0.8%,IF(AND(N69&gt;100,N69&lt;=200),N69*0.9%,IF(AND(N69&gt;50,N69&lt;=100),N69*1%,IF(AND(N69&gt;20,N69&lt;=50),N69*1.5%,IF(AND(N69&gt;10,N69&lt;=20),N69*2%,IF(AND(N69&gt;1,N69&lt;=10),N69*2.5%)))))))))</f>
        <v>71.86</v>
      </c>
      <c r="N84" s="53">
        <f t="shared" ref="N84:N85" ca="1" si="2">ROUND(M84,1)</f>
        <v>71.900000000000006</v>
      </c>
      <c r="O84" s="2012" t="s">
        <v>2876</v>
      </c>
      <c r="P84" s="2012">
        <f ca="1">O79+[5]结果表!$O$79</f>
        <v>18603</v>
      </c>
      <c r="Q84" s="2012"/>
      <c r="R84" s="2012"/>
      <c r="S84" s="2012"/>
      <c r="T84" s="2012"/>
      <c r="U84" s="2012"/>
      <c r="V84" s="2012"/>
    </row>
    <row r="85" spans="1:26" ht="12.75">
      <c r="A85" s="380" t="s">
        <v>1827</v>
      </c>
      <c r="B85" s="381" t="s">
        <v>435</v>
      </c>
      <c r="C85" s="384">
        <f ca="1">C81-C84</f>
        <v>11688</v>
      </c>
      <c r="D85" s="377" t="s">
        <v>19</v>
      </c>
      <c r="E85" s="378"/>
      <c r="F85" s="42"/>
      <c r="G85" s="42"/>
      <c r="H85" s="1002"/>
      <c r="I85" s="310"/>
      <c r="J85" s="2012"/>
      <c r="K85" s="3958"/>
      <c r="L85" s="3014" t="s">
        <v>2877</v>
      </c>
      <c r="M85" s="3004">
        <f ca="1">IF(N69&gt;1000,N69*0.1%,IF(AND(N69&gt;500,N69&lt;=1000),N69*0.5%,IF(AND(N69&gt;50,N69&lt;=500),N69*1%,IF(AND(N69&gt;1,N69&lt;=50),N69*1.5%))))</f>
        <v>14.372</v>
      </c>
      <c r="N85" s="53">
        <f t="shared" ca="1" si="2"/>
        <v>14.4</v>
      </c>
      <c r="O85" s="2012" t="s">
        <v>2876</v>
      </c>
      <c r="P85" s="2012"/>
      <c r="Q85" s="2012"/>
      <c r="R85" s="2012"/>
      <c r="S85" s="2012"/>
      <c r="T85" s="2012"/>
      <c r="U85" s="2012"/>
      <c r="V85" s="2012"/>
    </row>
    <row r="86" spans="1:26" ht="13.5" thickBot="1">
      <c r="A86" s="385" t="s">
        <v>1828</v>
      </c>
      <c r="B86" s="386" t="s">
        <v>436</v>
      </c>
      <c r="C86" s="387">
        <f ca="1">IF(C85&lt;=0,0,ROUND(C85*D86,0))</f>
        <v>643</v>
      </c>
      <c r="D86" s="388">
        <f>'数据-取费表'!B41</f>
        <v>5.5000000000000007E-2</v>
      </c>
      <c r="E86" s="389"/>
      <c r="F86" s="42"/>
      <c r="G86" s="42"/>
      <c r="H86" s="1002"/>
      <c r="I86" s="310"/>
      <c r="J86" s="2012"/>
      <c r="K86" s="3958"/>
      <c r="L86" s="3014" t="s">
        <v>2878</v>
      </c>
      <c r="M86" s="3004">
        <f ca="1">N69*0.5%</f>
        <v>71.86</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958"/>
      <c r="L87" s="3014" t="s">
        <v>2880</v>
      </c>
      <c r="M87" s="3004">
        <f ca="1">IF(N69&gt;=10000,(8.25+(N69-10000)*0.01%),IF(AND(N69&gt;=8000,N69&lt;10000),(7.85+(N69-8000)*0.02%),IF(AND(N69&gt;=5000,N69&lt;8000),(6.65+(N69-5000)*0.04%),IF(AND(N69&gt;=2000,N69&lt;5000),(4.25+(PN69-2000)*0.08%),IF(AND(N69&gt;=1000,N69&lt;2000),(2.75+(N69-1000)*0.15%),IF(AND(N69&gt;=100,N69&lt;1000),(0.5+(N69-100)*0.25%),IF(AND(N69&gt;0,N69&lt;100),N69*0.5%)))))))</f>
        <v>8.6872000000000007</v>
      </c>
      <c r="N87" s="53">
        <f ca="1">ROUND(M87*0.9,1)</f>
        <v>7.8</v>
      </c>
      <c r="O87" s="3007"/>
      <c r="P87" s="310"/>
      <c r="Q87" s="2012"/>
      <c r="R87" s="2012"/>
      <c r="S87" s="2012"/>
      <c r="T87" s="2012"/>
      <c r="U87" s="2012"/>
      <c r="V87" s="2012"/>
      <c r="W87" s="291"/>
      <c r="X87" s="291"/>
      <c r="Y87" s="291"/>
      <c r="Z87" s="291"/>
    </row>
    <row r="88" spans="1:26" s="1309" customFormat="1" ht="15" thickBot="1">
      <c r="A88" s="4012" t="s">
        <v>437</v>
      </c>
      <c r="B88" s="4013"/>
      <c r="C88" s="4013"/>
      <c r="D88" s="4013"/>
      <c r="E88" s="4013"/>
      <c r="F88" s="4013"/>
      <c r="G88" s="4013"/>
      <c r="H88" s="4013"/>
      <c r="I88" s="1310"/>
      <c r="J88" s="2020"/>
      <c r="K88" s="3958"/>
      <c r="L88" s="3014" t="s">
        <v>2881</v>
      </c>
      <c r="M88" s="3004">
        <f ca="1">IF(N69&gt;10000,N69*0.5%,IF(AND(N69&gt;5000,N69&lt;=10000),N69*1%,IF(AND(N69&gt;1000,N69&lt;=5000),N69*2%,IF(AND(N69&gt;200,N69&lt;=1000),N69*3%,N69*5%))))</f>
        <v>71.86</v>
      </c>
      <c r="N88" s="53">
        <f ca="1">ROUND(M88,1)</f>
        <v>71.900000000000006</v>
      </c>
      <c r="O88" s="3007"/>
      <c r="P88" s="11"/>
      <c r="Q88" s="2017"/>
      <c r="R88" s="2017"/>
      <c r="S88" s="2017"/>
      <c r="T88" s="2017"/>
      <c r="U88" s="2017"/>
      <c r="V88" s="2017"/>
      <c r="W88" s="2021"/>
      <c r="X88" s="2021"/>
      <c r="Y88" s="2021"/>
      <c r="Z88" s="2021"/>
    </row>
    <row r="89" spans="1:26" s="1309" customFormat="1" ht="14.25">
      <c r="A89" s="3976" t="s">
        <v>428</v>
      </c>
      <c r="B89" s="3977"/>
      <c r="C89" s="993"/>
      <c r="D89" s="993" t="s">
        <v>429</v>
      </c>
      <c r="E89" s="390" t="s">
        <v>438</v>
      </c>
      <c r="F89" s="391"/>
      <c r="G89" s="391"/>
      <c r="H89" s="392"/>
      <c r="I89" s="1311"/>
      <c r="J89" s="2022"/>
      <c r="K89" s="3958"/>
      <c r="L89" s="3014" t="s">
        <v>27</v>
      </c>
      <c r="M89" s="3005"/>
      <c r="N89" s="53">
        <f ca="1">ROUND(SUM(N83:N88),0)</f>
        <v>238</v>
      </c>
      <c r="O89" s="3015">
        <f ca="1">N89/N69</f>
        <v>1.6559977734483717E-2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13688</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4009" t="s">
        <v>447</v>
      </c>
      <c r="F94" s="4010"/>
      <c r="G94" s="4010"/>
      <c r="H94" s="4011"/>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68</v>
      </c>
      <c r="D96" s="405">
        <f>'数据-取费表'!B43</f>
        <v>5.000000000000001E-3</v>
      </c>
      <c r="E96" s="3999" t="s">
        <v>2428</v>
      </c>
      <c r="F96" s="4000"/>
      <c r="G96" s="4000"/>
      <c r="H96" s="4001"/>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11059</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4.2065424115633316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5715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4012" t="s">
        <v>454</v>
      </c>
      <c r="B101" s="4013"/>
      <c r="C101" s="4013"/>
      <c r="D101" s="4013"/>
      <c r="E101" s="4013"/>
      <c r="F101" s="4013"/>
      <c r="G101" s="4013"/>
      <c r="H101" s="4013"/>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976" t="s">
        <v>428</v>
      </c>
      <c r="B102" s="3977"/>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13688</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5246.58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4002" t="s">
        <v>462</v>
      </c>
      <c r="F109" s="4000"/>
      <c r="G109" s="4000"/>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471</v>
      </c>
      <c r="D110" s="405">
        <v>0.1</v>
      </c>
      <c r="E110" s="4002" t="s">
        <v>464</v>
      </c>
      <c r="F110" s="4000"/>
      <c r="G110" s="4000"/>
      <c r="H110" s="4001"/>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68</v>
      </c>
      <c r="D111" s="405">
        <f>'数据-取费表'!B43</f>
        <v>5.000000000000001E-3</v>
      </c>
      <c r="E111" s="3999" t="s">
        <v>2428</v>
      </c>
      <c r="F111" s="4000"/>
      <c r="G111" s="4000"/>
      <c r="H111" s="4001"/>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4002" t="s">
        <v>2453</v>
      </c>
      <c r="F112" s="4000"/>
      <c r="G112" s="4000"/>
      <c r="H112" s="4001"/>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8441</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1.6088575796042375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3434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0" zoomScale="80" zoomScaleNormal="95" zoomScaleSheetLayoutView="80" workbookViewId="0">
      <selection activeCell="E58" sqref="E58"/>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11637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1046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5783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386</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57" t="s">
        <v>522</v>
      </c>
      <c r="D6" s="4058"/>
      <c r="E6" s="4057" t="s">
        <v>523</v>
      </c>
      <c r="F6" s="4058"/>
      <c r="G6" s="4057" t="s">
        <v>524</v>
      </c>
      <c r="H6" s="4058"/>
      <c r="I6" s="4057" t="s">
        <v>525</v>
      </c>
      <c r="J6" s="4058"/>
      <c r="K6" s="513" t="s">
        <v>526</v>
      </c>
      <c r="L6" s="2117"/>
      <c r="M6" s="2116"/>
      <c r="N6" s="2116"/>
      <c r="O6" s="2118"/>
      <c r="P6" s="4059" t="s">
        <v>527</v>
      </c>
      <c r="Q6" s="4060"/>
      <c r="R6" s="4045" t="s">
        <v>523</v>
      </c>
      <c r="S6" s="4046"/>
      <c r="T6" s="4045" t="s">
        <v>524</v>
      </c>
      <c r="U6" s="4046"/>
      <c r="V6" s="4065" t="s">
        <v>525</v>
      </c>
      <c r="W6" s="4065"/>
      <c r="X6" s="1552"/>
      <c r="Y6" s="4045" t="s">
        <v>527</v>
      </c>
      <c r="Z6" s="4046"/>
      <c r="AA6" s="4040" t="s">
        <v>523</v>
      </c>
      <c r="AB6" s="4041" t="s">
        <v>524</v>
      </c>
      <c r="AC6" s="4040" t="s">
        <v>525</v>
      </c>
    </row>
    <row r="7" spans="1:30" ht="39" customHeight="1">
      <c r="A7" s="514"/>
      <c r="B7" s="515"/>
      <c r="C7" s="4068" t="s">
        <v>2926</v>
      </c>
      <c r="D7" s="4069"/>
      <c r="E7" s="4068" t="str">
        <f>Sheet2!A2</f>
        <v>工业园区南区G9-02/01(规划编号E-53-02)地块</v>
      </c>
      <c r="F7" s="4069"/>
      <c r="G7" s="4068" t="str">
        <f>Sheet2!A8</f>
        <v>组团江北新城分区D6-6号地块</v>
      </c>
      <c r="H7" s="4069"/>
      <c r="I7" s="4068" t="str">
        <f>Sheet2!A16</f>
        <v>江北新城组团两桥片区分区B-92-01/01地块</v>
      </c>
      <c r="J7" s="4069"/>
      <c r="K7" s="513"/>
      <c r="L7" s="2117"/>
      <c r="M7" s="2116"/>
      <c r="N7" s="2116"/>
      <c r="O7" s="2118"/>
      <c r="P7" s="4061"/>
      <c r="Q7" s="4062"/>
      <c r="R7" s="4047"/>
      <c r="S7" s="4048"/>
      <c r="T7" s="4047"/>
      <c r="U7" s="4048"/>
      <c r="V7" s="4065"/>
      <c r="W7" s="4065"/>
      <c r="X7" s="1552"/>
      <c r="Y7" s="4047"/>
      <c r="Z7" s="4048"/>
      <c r="AA7" s="4041"/>
      <c r="AB7" s="4041"/>
      <c r="AC7" s="4041"/>
    </row>
    <row r="8" spans="1:30" ht="21" thickBot="1">
      <c r="A8" s="514"/>
      <c r="B8" s="515"/>
      <c r="C8" s="4070" t="s">
        <v>2930</v>
      </c>
      <c r="D8" s="4071"/>
      <c r="E8" s="4070" t="s">
        <v>2930</v>
      </c>
      <c r="F8" s="4071"/>
      <c r="G8" s="4066" t="s">
        <v>2930</v>
      </c>
      <c r="H8" s="4067"/>
      <c r="I8" s="4066" t="s">
        <v>2930</v>
      </c>
      <c r="J8" s="4067"/>
      <c r="K8" s="513" t="s">
        <v>528</v>
      </c>
      <c r="L8" s="2117"/>
      <c r="M8" s="2116"/>
      <c r="N8" s="2116"/>
      <c r="O8" s="2118"/>
      <c r="P8" s="4063"/>
      <c r="Q8" s="4064"/>
      <c r="R8" s="4047"/>
      <c r="S8" s="4048"/>
      <c r="T8" s="4049"/>
      <c r="U8" s="4050"/>
      <c r="V8" s="4065"/>
      <c r="W8" s="4065"/>
      <c r="X8" s="1552"/>
      <c r="Y8" s="4049"/>
      <c r="Z8" s="4050"/>
      <c r="AA8" s="4042"/>
      <c r="AB8" s="4042"/>
      <c r="AC8" s="4042"/>
    </row>
    <row r="9" spans="1:30" s="1215" customFormat="1" ht="21" thickBot="1">
      <c r="A9" s="2865"/>
      <c r="B9" s="2872" t="s">
        <v>529</v>
      </c>
      <c r="C9" s="2864">
        <f>'数据-取费表'!B2</f>
        <v>43671</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043" t="s">
        <v>530</v>
      </c>
      <c r="Q9" s="4052"/>
      <c r="R9" s="1553" t="s">
        <v>8</v>
      </c>
      <c r="S9" s="1554">
        <f t="shared" ref="S9:S17" si="0">F9</f>
        <v>99</v>
      </c>
      <c r="T9" s="1553" t="s">
        <v>8</v>
      </c>
      <c r="U9" s="1554">
        <f t="shared" ref="U9:U17" si="1">H9</f>
        <v>98</v>
      </c>
      <c r="V9" s="1553" t="s">
        <v>8</v>
      </c>
      <c r="W9" s="1554">
        <f t="shared" ref="W9:W17" si="2">J9</f>
        <v>97</v>
      </c>
      <c r="X9" s="1555"/>
      <c r="Y9" s="4043" t="s">
        <v>530</v>
      </c>
      <c r="Z9" s="4044"/>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043" t="s">
        <v>533</v>
      </c>
      <c r="Q10" s="4044"/>
      <c r="R10" s="1553" t="s">
        <v>8</v>
      </c>
      <c r="S10" s="1554">
        <f t="shared" si="0"/>
        <v>100</v>
      </c>
      <c r="T10" s="1553" t="s">
        <v>8</v>
      </c>
      <c r="U10" s="1554">
        <f t="shared" si="1"/>
        <v>100</v>
      </c>
      <c r="V10" s="1553" t="s">
        <v>8</v>
      </c>
      <c r="W10" s="1554">
        <f t="shared" si="2"/>
        <v>100</v>
      </c>
      <c r="X10" s="1555"/>
      <c r="Y10" s="4043" t="s">
        <v>533</v>
      </c>
      <c r="Z10" s="4044"/>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51" t="s">
        <v>535</v>
      </c>
      <c r="Q11" s="1146" t="str">
        <f t="shared" ref="Q11:Q17" si="6">B11</f>
        <v>用途</v>
      </c>
      <c r="R11" s="1553" t="s">
        <v>8</v>
      </c>
      <c r="S11" s="1554">
        <f t="shared" si="0"/>
        <v>100</v>
      </c>
      <c r="T11" s="1553" t="s">
        <v>8</v>
      </c>
      <c r="U11" s="1554">
        <f t="shared" si="1"/>
        <v>100</v>
      </c>
      <c r="V11" s="1553" t="s">
        <v>8</v>
      </c>
      <c r="W11" s="1554">
        <f t="shared" si="2"/>
        <v>100</v>
      </c>
      <c r="X11" s="1555"/>
      <c r="Y11" s="4008"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51"/>
      <c r="Q12" s="1146" t="str">
        <f t="shared" si="6"/>
        <v>土地使用年限（年）</v>
      </c>
      <c r="R12" s="1553" t="s">
        <v>8</v>
      </c>
      <c r="S12" s="1554">
        <f t="shared" si="0"/>
        <v>104</v>
      </c>
      <c r="T12" s="1553" t="s">
        <v>8</v>
      </c>
      <c r="U12" s="1554">
        <f t="shared" si="1"/>
        <v>104</v>
      </c>
      <c r="V12" s="1553" t="s">
        <v>8</v>
      </c>
      <c r="W12" s="1554">
        <f t="shared" si="2"/>
        <v>104</v>
      </c>
      <c r="X12" s="1555"/>
      <c r="Y12" s="4008"/>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4.4000000000000004</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51"/>
      <c r="Q13" s="1146" t="str">
        <f t="shared" si="6"/>
        <v>容积率</v>
      </c>
      <c r="R13" s="1553" t="s">
        <v>8</v>
      </c>
      <c r="S13" s="1554">
        <f t="shared" si="0"/>
        <v>109</v>
      </c>
      <c r="T13" s="1553" t="s">
        <v>8</v>
      </c>
      <c r="U13" s="1554">
        <f t="shared" si="1"/>
        <v>106</v>
      </c>
      <c r="V13" s="1553" t="s">
        <v>8</v>
      </c>
      <c r="W13" s="1554">
        <f t="shared" si="2"/>
        <v>106</v>
      </c>
      <c r="X13" s="1555"/>
      <c r="Y13" s="4008"/>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51"/>
      <c r="Q14" s="1146" t="str">
        <f t="shared" si="6"/>
        <v>配建</v>
      </c>
      <c r="R14" s="1553" t="s">
        <v>8</v>
      </c>
      <c r="S14" s="1554">
        <f t="shared" si="0"/>
        <v>100</v>
      </c>
      <c r="T14" s="1553" t="s">
        <v>8</v>
      </c>
      <c r="U14" s="1554">
        <f t="shared" si="1"/>
        <v>100</v>
      </c>
      <c r="V14" s="1553" t="s">
        <v>8</v>
      </c>
      <c r="W14" s="1554">
        <f t="shared" si="2"/>
        <v>100</v>
      </c>
      <c r="X14" s="1555"/>
      <c r="Y14" s="4008"/>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51"/>
      <c r="Q15" s="1146">
        <f t="shared" si="6"/>
        <v>111</v>
      </c>
      <c r="R15" s="1553" t="s">
        <v>8</v>
      </c>
      <c r="S15" s="1554">
        <f t="shared" si="0"/>
        <v>100</v>
      </c>
      <c r="T15" s="1553" t="s">
        <v>8</v>
      </c>
      <c r="U15" s="1554">
        <f t="shared" si="1"/>
        <v>100</v>
      </c>
      <c r="V15" s="1553" t="s">
        <v>8</v>
      </c>
      <c r="W15" s="1554">
        <f t="shared" si="2"/>
        <v>100</v>
      </c>
      <c r="X15" s="1555"/>
      <c r="Y15" s="4008"/>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51"/>
      <c r="Q16" s="1146">
        <f t="shared" si="6"/>
        <v>111</v>
      </c>
      <c r="R16" s="1553" t="s">
        <v>8</v>
      </c>
      <c r="S16" s="1554">
        <f t="shared" si="0"/>
        <v>100</v>
      </c>
      <c r="T16" s="1553" t="s">
        <v>8</v>
      </c>
      <c r="U16" s="1554">
        <f t="shared" si="1"/>
        <v>100</v>
      </c>
      <c r="V16" s="1553" t="s">
        <v>8</v>
      </c>
      <c r="W16" s="1554">
        <f t="shared" si="2"/>
        <v>100</v>
      </c>
      <c r="X16" s="1555"/>
      <c r="Y16" s="4008"/>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053" t="s">
        <v>540</v>
      </c>
      <c r="Q17" s="1557" t="str">
        <f t="shared" si="6"/>
        <v>居住社区成熟度</v>
      </c>
      <c r="R17" s="1558" t="s">
        <v>8</v>
      </c>
      <c r="S17" s="1559">
        <f t="shared" si="0"/>
        <v>100</v>
      </c>
      <c r="T17" s="1558" t="s">
        <v>8</v>
      </c>
      <c r="U17" s="1559">
        <f t="shared" si="1"/>
        <v>100</v>
      </c>
      <c r="V17" s="1558" t="s">
        <v>8</v>
      </c>
      <c r="W17" s="1559">
        <f t="shared" si="2"/>
        <v>100</v>
      </c>
      <c r="X17" s="1552"/>
      <c r="Y17" s="4053"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054"/>
      <c r="Q18" s="1557"/>
      <c r="R18" s="1558"/>
      <c r="S18" s="1559"/>
      <c r="T18" s="1558"/>
      <c r="U18" s="1559"/>
      <c r="V18" s="1558"/>
      <c r="W18" s="1559"/>
      <c r="X18" s="1552"/>
      <c r="Y18" s="4054"/>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054"/>
      <c r="Q19" s="1557" t="str">
        <f>B19</f>
        <v>商业繁华度</v>
      </c>
      <c r="R19" s="1558" t="s">
        <v>8</v>
      </c>
      <c r="S19" s="1559">
        <f>F19</f>
        <v>98</v>
      </c>
      <c r="T19" s="1558" t="s">
        <v>8</v>
      </c>
      <c r="U19" s="1559">
        <f>H19</f>
        <v>100</v>
      </c>
      <c r="V19" s="1558" t="s">
        <v>8</v>
      </c>
      <c r="W19" s="1559">
        <f>J19</f>
        <v>100</v>
      </c>
      <c r="X19" s="1552"/>
      <c r="Y19" s="4054"/>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054"/>
      <c r="Q20" s="1557"/>
      <c r="R20" s="1558"/>
      <c r="S20" s="1559"/>
      <c r="T20" s="1558"/>
      <c r="U20" s="1559"/>
      <c r="V20" s="1558"/>
      <c r="W20" s="1559"/>
      <c r="X20" s="1552"/>
      <c r="Y20" s="4054"/>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054"/>
      <c r="Q21" s="1557" t="str">
        <f>B21</f>
        <v>办公集聚程度</v>
      </c>
      <c r="R21" s="1558" t="s">
        <v>8</v>
      </c>
      <c r="S21" s="1559">
        <f>F21</f>
        <v>100</v>
      </c>
      <c r="T21" s="1558" t="s">
        <v>8</v>
      </c>
      <c r="U21" s="1559">
        <f>H21</f>
        <v>100</v>
      </c>
      <c r="V21" s="1558" t="s">
        <v>8</v>
      </c>
      <c r="W21" s="1559">
        <f>J21</f>
        <v>100</v>
      </c>
      <c r="X21" s="1552"/>
      <c r="Y21" s="4054"/>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054"/>
      <c r="Q22" s="1557"/>
      <c r="R22" s="1558"/>
      <c r="S22" s="1559"/>
      <c r="T22" s="1558"/>
      <c r="U22" s="1559"/>
      <c r="V22" s="1558"/>
      <c r="W22" s="1559"/>
      <c r="X22" s="1552"/>
      <c r="Y22" s="4054"/>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054"/>
      <c r="Q23" s="1557" t="str">
        <f>B23</f>
        <v>交通便捷度</v>
      </c>
      <c r="R23" s="1558" t="s">
        <v>8</v>
      </c>
      <c r="S23" s="1559">
        <f>F23</f>
        <v>100</v>
      </c>
      <c r="T23" s="1558" t="s">
        <v>8</v>
      </c>
      <c r="U23" s="1559">
        <f>H23</f>
        <v>100</v>
      </c>
      <c r="V23" s="1558" t="s">
        <v>8</v>
      </c>
      <c r="W23" s="1559">
        <f>J23</f>
        <v>100</v>
      </c>
      <c r="X23" s="1552"/>
      <c r="Y23" s="4054"/>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054"/>
      <c r="Q24" s="1557"/>
      <c r="R24" s="1558"/>
      <c r="S24" s="1559"/>
      <c r="T24" s="1558"/>
      <c r="U24" s="1559"/>
      <c r="V24" s="1558"/>
      <c r="W24" s="1559"/>
      <c r="X24" s="1552"/>
      <c r="Y24" s="4054"/>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054"/>
      <c r="Q25" s="1557" t="str">
        <f t="shared" ref="Q25:Q39" si="8">B25</f>
        <v>区域土地利用方向</v>
      </c>
      <c r="R25" s="1558" t="s">
        <v>8</v>
      </c>
      <c r="S25" s="1559">
        <f>F25</f>
        <v>100</v>
      </c>
      <c r="T25" s="1558" t="s">
        <v>8</v>
      </c>
      <c r="U25" s="1559">
        <f>H25</f>
        <v>100</v>
      </c>
      <c r="V25" s="1558" t="s">
        <v>8</v>
      </c>
      <c r="W25" s="1559">
        <f>J25</f>
        <v>100</v>
      </c>
      <c r="X25" s="1552"/>
      <c r="Y25" s="4054"/>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054"/>
      <c r="Q26" s="1557"/>
      <c r="R26" s="1558"/>
      <c r="S26" s="1559"/>
      <c r="T26" s="1558"/>
      <c r="U26" s="1559"/>
      <c r="V26" s="1558"/>
      <c r="W26" s="1559"/>
      <c r="X26" s="1552"/>
      <c r="Y26" s="4054"/>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054"/>
      <c r="Q27" s="1557" t="str">
        <f t="shared" si="8"/>
        <v>自然及人文环境状况</v>
      </c>
      <c r="R27" s="1558" t="s">
        <v>8</v>
      </c>
      <c r="S27" s="1559">
        <f>F27</f>
        <v>96</v>
      </c>
      <c r="T27" s="1558" t="s">
        <v>8</v>
      </c>
      <c r="U27" s="1559">
        <f>H27</f>
        <v>100</v>
      </c>
      <c r="V27" s="1558" t="s">
        <v>8</v>
      </c>
      <c r="W27" s="1559">
        <f>J27</f>
        <v>100</v>
      </c>
      <c r="X27" s="1552"/>
      <c r="Y27" s="4054"/>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054"/>
      <c r="Q28" s="1557"/>
      <c r="R28" s="1558"/>
      <c r="S28" s="1559"/>
      <c r="T28" s="1558"/>
      <c r="U28" s="1559"/>
      <c r="V28" s="1558"/>
      <c r="W28" s="1559"/>
      <c r="X28" s="1552"/>
      <c r="Y28" s="4054"/>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054"/>
      <c r="Q29" s="1146" t="str">
        <f t="shared" si="8"/>
        <v>公共配套设施</v>
      </c>
      <c r="R29" s="1553" t="s">
        <v>8</v>
      </c>
      <c r="S29" s="1554">
        <f>F29</f>
        <v>100</v>
      </c>
      <c r="T29" s="1553" t="s">
        <v>8</v>
      </c>
      <c r="U29" s="1554">
        <f>H29</f>
        <v>102</v>
      </c>
      <c r="V29" s="1553" t="s">
        <v>8</v>
      </c>
      <c r="W29" s="1554">
        <f>J29</f>
        <v>102</v>
      </c>
      <c r="X29" s="1555"/>
      <c r="Y29" s="4054"/>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054"/>
      <c r="Q30" s="1146"/>
      <c r="R30" s="1553"/>
      <c r="S30" s="1554"/>
      <c r="T30" s="1553"/>
      <c r="U30" s="1554"/>
      <c r="V30" s="1553"/>
      <c r="W30" s="1554"/>
      <c r="X30" s="1555"/>
      <c r="Y30" s="4054"/>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054"/>
      <c r="Q31" s="2541" t="str">
        <f t="shared" ref="Q31" si="9">B31</f>
        <v>基础设施水平</v>
      </c>
      <c r="R31" s="1553" t="s">
        <v>8</v>
      </c>
      <c r="S31" s="1554">
        <f>F31</f>
        <v>100</v>
      </c>
      <c r="T31" s="1553" t="s">
        <v>8</v>
      </c>
      <c r="U31" s="1554">
        <f>H31</f>
        <v>100</v>
      </c>
      <c r="V31" s="1553" t="s">
        <v>8</v>
      </c>
      <c r="W31" s="1554">
        <f>J31</f>
        <v>100</v>
      </c>
      <c r="X31" s="1555"/>
      <c r="Y31" s="4054"/>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054"/>
      <c r="Q32" s="2541"/>
      <c r="R32" s="1553"/>
      <c r="S32" s="1554"/>
      <c r="T32" s="1553"/>
      <c r="U32" s="1554"/>
      <c r="V32" s="1553"/>
      <c r="W32" s="1554"/>
      <c r="X32" s="1555"/>
      <c r="Y32" s="4054"/>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054"/>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054"/>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054"/>
      <c r="Q34" s="1557" t="str">
        <f t="shared" si="8"/>
        <v>毗邻道路的类型与等级</v>
      </c>
      <c r="R34" s="1558" t="s">
        <v>8</v>
      </c>
      <c r="S34" s="1559">
        <f t="shared" si="10"/>
        <v>101</v>
      </c>
      <c r="T34" s="1558" t="s">
        <v>8</v>
      </c>
      <c r="U34" s="1559">
        <f t="shared" si="11"/>
        <v>100</v>
      </c>
      <c r="V34" s="1558" t="s">
        <v>8</v>
      </c>
      <c r="W34" s="1559">
        <f t="shared" si="12"/>
        <v>100</v>
      </c>
      <c r="X34" s="1552"/>
      <c r="Y34" s="4054"/>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054"/>
      <c r="Q35" s="1557"/>
      <c r="R35" s="1558"/>
      <c r="S35" s="1559"/>
      <c r="T35" s="1558"/>
      <c r="U35" s="1559"/>
      <c r="V35" s="1558"/>
      <c r="W35" s="1559"/>
      <c r="X35" s="1552"/>
      <c r="Y35" s="4054"/>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054"/>
      <c r="Q36" s="1557" t="str">
        <f t="shared" si="8"/>
        <v>土地级别</v>
      </c>
      <c r="R36" s="1558" t="s">
        <v>8</v>
      </c>
      <c r="S36" s="1559">
        <f t="shared" si="10"/>
        <v>100</v>
      </c>
      <c r="T36" s="1558" t="s">
        <v>8</v>
      </c>
      <c r="U36" s="1559">
        <f t="shared" si="11"/>
        <v>100</v>
      </c>
      <c r="V36" s="1558" t="s">
        <v>8</v>
      </c>
      <c r="W36" s="1559">
        <f t="shared" si="12"/>
        <v>100</v>
      </c>
      <c r="X36" s="1552"/>
      <c r="Y36" s="4054"/>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054"/>
      <c r="Q37" s="1557">
        <f t="shared" si="8"/>
        <v>111</v>
      </c>
      <c r="R37" s="1558" t="s">
        <v>8</v>
      </c>
      <c r="S37" s="1559">
        <f t="shared" si="10"/>
        <v>100</v>
      </c>
      <c r="T37" s="1558" t="s">
        <v>8</v>
      </c>
      <c r="U37" s="1559">
        <f t="shared" si="11"/>
        <v>100</v>
      </c>
      <c r="V37" s="1558" t="s">
        <v>8</v>
      </c>
      <c r="W37" s="1559">
        <f t="shared" si="12"/>
        <v>100</v>
      </c>
      <c r="X37" s="1552"/>
      <c r="Y37" s="4054"/>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055" t="s">
        <v>550</v>
      </c>
      <c r="Q38" s="1557">
        <f t="shared" si="8"/>
        <v>111</v>
      </c>
      <c r="R38" s="1558" t="s">
        <v>8</v>
      </c>
      <c r="S38" s="1559">
        <f t="shared" si="10"/>
        <v>100</v>
      </c>
      <c r="T38" s="1558" t="s">
        <v>8</v>
      </c>
      <c r="U38" s="1559">
        <f t="shared" si="11"/>
        <v>100</v>
      </c>
      <c r="V38" s="1558" t="s">
        <v>8</v>
      </c>
      <c r="W38" s="1559">
        <f t="shared" si="12"/>
        <v>100</v>
      </c>
      <c r="X38" s="1552"/>
      <c r="Y38" s="4056"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056"/>
      <c r="Q39" s="1557">
        <f t="shared" si="8"/>
        <v>111</v>
      </c>
      <c r="R39" s="1562" t="s">
        <v>8</v>
      </c>
      <c r="S39" s="1563">
        <f t="shared" si="10"/>
        <v>100</v>
      </c>
      <c r="T39" s="1562" t="s">
        <v>8</v>
      </c>
      <c r="U39" s="1563">
        <f t="shared" si="11"/>
        <v>100</v>
      </c>
      <c r="V39" s="1562" t="s">
        <v>8</v>
      </c>
      <c r="W39" s="1563">
        <f t="shared" si="12"/>
        <v>100</v>
      </c>
      <c r="X39" s="1564"/>
      <c r="Y39" s="4056"/>
      <c r="Z39" s="1565">
        <f t="shared" si="13"/>
        <v>111</v>
      </c>
      <c r="AA39" s="1561">
        <f t="shared" si="3"/>
        <v>1</v>
      </c>
      <c r="AB39" s="1561">
        <f t="shared" si="4"/>
        <v>1</v>
      </c>
      <c r="AC39" s="1561">
        <f t="shared" si="5"/>
        <v>1</v>
      </c>
    </row>
    <row r="40" spans="1:29" ht="20.25">
      <c r="A40" s="2861" t="s">
        <v>2754</v>
      </c>
      <c r="B40" s="594" t="s">
        <v>552</v>
      </c>
      <c r="C40" s="595">
        <f>'数据-基础表'!A3</f>
        <v>20122.04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056"/>
      <c r="Q40" s="1557" t="str">
        <f>B40</f>
        <v>宗地面积</v>
      </c>
      <c r="R40" s="1558" t="s">
        <v>8</v>
      </c>
      <c r="S40" s="1559">
        <f t="shared" si="10"/>
        <v>100</v>
      </c>
      <c r="T40" s="1558" t="s">
        <v>8</v>
      </c>
      <c r="U40" s="1559">
        <f t="shared" si="11"/>
        <v>102</v>
      </c>
      <c r="V40" s="1558" t="s">
        <v>8</v>
      </c>
      <c r="W40" s="1559">
        <f t="shared" si="12"/>
        <v>102</v>
      </c>
      <c r="X40" s="1552"/>
      <c r="Y40" s="4056"/>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056"/>
      <c r="Q41" s="1557" t="str">
        <f t="shared" ref="Q41:Q47" si="14">B41</f>
        <v>宗地形状</v>
      </c>
      <c r="R41" s="1558" t="s">
        <v>8</v>
      </c>
      <c r="S41" s="1559">
        <f t="shared" si="10"/>
        <v>100</v>
      </c>
      <c r="T41" s="1558" t="s">
        <v>8</v>
      </c>
      <c r="U41" s="1559">
        <f t="shared" si="11"/>
        <v>100</v>
      </c>
      <c r="V41" s="1558" t="s">
        <v>8</v>
      </c>
      <c r="W41" s="1559">
        <f t="shared" si="12"/>
        <v>100</v>
      </c>
      <c r="X41" s="1552"/>
      <c r="Y41" s="4056"/>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056"/>
      <c r="Q42" s="1557" t="str">
        <f t="shared" si="14"/>
        <v>临街宽度及深度</v>
      </c>
      <c r="R42" s="1558" t="s">
        <v>8</v>
      </c>
      <c r="S42" s="1559">
        <f t="shared" si="10"/>
        <v>100</v>
      </c>
      <c r="T42" s="1558" t="s">
        <v>8</v>
      </c>
      <c r="U42" s="1559">
        <f t="shared" si="11"/>
        <v>100</v>
      </c>
      <c r="V42" s="1558" t="s">
        <v>8</v>
      </c>
      <c r="W42" s="1559">
        <f t="shared" si="12"/>
        <v>100</v>
      </c>
      <c r="X42" s="1552"/>
      <c r="Y42" s="4056"/>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056"/>
      <c r="Q43" s="1557" t="str">
        <f t="shared" si="14"/>
        <v>宗地开发程度</v>
      </c>
      <c r="R43" s="1553" t="s">
        <v>8</v>
      </c>
      <c r="S43" s="1554">
        <f t="shared" si="10"/>
        <v>98</v>
      </c>
      <c r="T43" s="1553" t="s">
        <v>8</v>
      </c>
      <c r="U43" s="1554">
        <f t="shared" si="11"/>
        <v>98</v>
      </c>
      <c r="V43" s="1553" t="s">
        <v>8</v>
      </c>
      <c r="W43" s="1554">
        <f t="shared" si="12"/>
        <v>98</v>
      </c>
      <c r="X43" s="1555"/>
      <c r="Y43" s="4056"/>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056" t="s">
        <v>550</v>
      </c>
      <c r="Q44" s="1557" t="str">
        <f t="shared" si="14"/>
        <v>工程地质条件</v>
      </c>
      <c r="R44" s="1558" t="s">
        <v>8</v>
      </c>
      <c r="S44" s="1559">
        <f t="shared" si="10"/>
        <v>100</v>
      </c>
      <c r="T44" s="1558" t="s">
        <v>8</v>
      </c>
      <c r="U44" s="1559">
        <f t="shared" si="11"/>
        <v>100</v>
      </c>
      <c r="V44" s="1558" t="s">
        <v>8</v>
      </c>
      <c r="W44" s="1559">
        <f t="shared" si="12"/>
        <v>100</v>
      </c>
      <c r="X44" s="1552"/>
      <c r="Y44" s="4056"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056"/>
      <c r="Q45" s="1557">
        <f t="shared" si="14"/>
        <v>111</v>
      </c>
      <c r="R45" s="1558" t="s">
        <v>8</v>
      </c>
      <c r="S45" s="1559">
        <f t="shared" si="10"/>
        <v>100</v>
      </c>
      <c r="T45" s="1558" t="s">
        <v>8</v>
      </c>
      <c r="U45" s="1559">
        <f t="shared" si="11"/>
        <v>100</v>
      </c>
      <c r="V45" s="1558" t="s">
        <v>8</v>
      </c>
      <c r="W45" s="1559">
        <f t="shared" si="12"/>
        <v>100</v>
      </c>
      <c r="X45" s="1552"/>
      <c r="Y45" s="4056"/>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056"/>
      <c r="Q46" s="1557">
        <f t="shared" si="14"/>
        <v>111</v>
      </c>
      <c r="R46" s="1558" t="s">
        <v>8</v>
      </c>
      <c r="S46" s="1559">
        <f t="shared" si="10"/>
        <v>100</v>
      </c>
      <c r="T46" s="1558" t="s">
        <v>8</v>
      </c>
      <c r="U46" s="1559">
        <f t="shared" si="11"/>
        <v>100</v>
      </c>
      <c r="V46" s="1558" t="s">
        <v>8</v>
      </c>
      <c r="W46" s="1559">
        <f t="shared" si="12"/>
        <v>100</v>
      </c>
      <c r="X46" s="1552"/>
      <c r="Y46" s="4056"/>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056"/>
      <c r="Q47" s="1557">
        <f t="shared" si="14"/>
        <v>111</v>
      </c>
      <c r="R47" s="1562" t="s">
        <v>8</v>
      </c>
      <c r="S47" s="1563">
        <f t="shared" si="10"/>
        <v>100</v>
      </c>
      <c r="T47" s="1562" t="s">
        <v>8</v>
      </c>
      <c r="U47" s="1563">
        <f t="shared" si="11"/>
        <v>100</v>
      </c>
      <c r="V47" s="1562" t="s">
        <v>8</v>
      </c>
      <c r="W47" s="1563">
        <f t="shared" si="12"/>
        <v>100</v>
      </c>
      <c r="X47" s="1564"/>
      <c r="Y47" s="4056"/>
      <c r="Z47" s="1565">
        <f t="shared" si="13"/>
        <v>111</v>
      </c>
      <c r="AA47" s="1561">
        <f t="shared" si="3"/>
        <v>1</v>
      </c>
      <c r="AB47" s="1561">
        <f t="shared" si="4"/>
        <v>1</v>
      </c>
      <c r="AC47" s="1561">
        <f t="shared" si="5"/>
        <v>1</v>
      </c>
    </row>
    <row r="48" spans="1:29" ht="20.25">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51" t="str">
        <f>A48</f>
        <v>成交单价</v>
      </c>
      <c r="Q48" s="4051"/>
      <c r="R48" s="4065">
        <f>E48</f>
        <v>1459.99</v>
      </c>
      <c r="S48" s="4065"/>
      <c r="T48" s="4065">
        <f>G48</f>
        <v>1296.1500000000001</v>
      </c>
      <c r="U48" s="4065"/>
      <c r="V48" s="4065">
        <f>I48</f>
        <v>1485</v>
      </c>
      <c r="W48" s="4065"/>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51" t="str">
        <f>A49</f>
        <v>比较价格（元/平方米）</v>
      </c>
      <c r="Q49" s="4051"/>
      <c r="R49" s="4075">
        <f>ROUND(PRODUCT(R48,AA9:AA47),0)</f>
        <v>1397</v>
      </c>
      <c r="S49" s="4075"/>
      <c r="T49" s="4075">
        <f>ROUND(PRODUCT(T48,AB9:AB47),0)</f>
        <v>1177</v>
      </c>
      <c r="U49" s="4075"/>
      <c r="V49" s="4075">
        <f>ROUND(PRODUCT(V48,AC9:AC47),0)</f>
        <v>1362</v>
      </c>
      <c r="W49" s="4075"/>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072" t="str">
        <f>A50</f>
        <v>估价对象XX用房的比较价格（楼面单价，元/平方米）</v>
      </c>
      <c r="Q50" s="4073"/>
      <c r="R50" s="4074">
        <f>ROUND(AVERAGE(R49:V49),0)</f>
        <v>1312</v>
      </c>
      <c r="S50" s="4074"/>
      <c r="T50" s="4074"/>
      <c r="U50" s="4074"/>
      <c r="V50" s="4074"/>
      <c r="W50" s="4074"/>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35" t="s">
        <v>2281</v>
      </c>
      <c r="H57" s="4036"/>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88697.150000000009</v>
      </c>
      <c r="F58" s="635">
        <f t="shared" ref="F58:F67" si="15">ROUND(B58*E58/10000,0)</f>
        <v>11637</v>
      </c>
      <c r="G58" s="4037"/>
      <c r="H58" s="4038"/>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039"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039"/>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039"/>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039"/>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19390.11</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108087.26000000001</v>
      </c>
      <c r="F68" s="643">
        <f>IF(B48="楼面地价",SUM(F58:F67),ROUND(C50*E68/10000,0))</f>
        <v>11637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16195</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1455</v>
      </c>
      <c r="C3" s="2088"/>
      <c r="D3" s="2088"/>
      <c r="E3" s="2088"/>
      <c r="F3" s="2088"/>
      <c r="G3" s="2088"/>
      <c r="H3" s="2088"/>
      <c r="I3" s="2088"/>
      <c r="J3" s="2088"/>
      <c r="K3" s="2088"/>
    </row>
    <row r="4" spans="1:31" s="2025" customFormat="1" ht="18" customHeight="1">
      <c r="A4" s="425" t="s">
        <v>468</v>
      </c>
      <c r="B4" s="426">
        <f ca="1">ROUND(B2*10000/IF(B1="",'数据-汇总表'!D3,INDIRECT("'数据-取费表'!R"&amp;$K$1)),0)</f>
        <v>8048</v>
      </c>
      <c r="C4" s="427"/>
      <c r="D4" s="421"/>
      <c r="E4" s="421"/>
      <c r="F4" s="421"/>
      <c r="G4" s="421"/>
      <c r="H4" s="421"/>
      <c r="I4" s="421"/>
      <c r="J4" s="421"/>
      <c r="K4" s="421"/>
    </row>
    <row r="5" spans="1:31" s="2025" customFormat="1" ht="18" customHeight="1" thickBot="1">
      <c r="A5" s="428"/>
      <c r="B5" s="429">
        <f ca="1">ROUND(B2/(IF(B1="",'数据-汇总表'!D3,INDIRECT("'数据-取费表'!R"&amp;$K$1))/666.67),0)</f>
        <v>537</v>
      </c>
      <c r="C5" s="430" t="s">
        <v>469</v>
      </c>
      <c r="D5" s="421"/>
      <c r="E5" s="421"/>
      <c r="F5" s="421"/>
      <c r="G5" s="421"/>
      <c r="H5" s="421"/>
      <c r="I5" s="421"/>
      <c r="J5" s="421"/>
      <c r="K5" s="421"/>
    </row>
    <row r="6" spans="1:31" s="2095" customFormat="1" ht="16.5" customHeight="1">
      <c r="A6" s="2782" t="s">
        <v>1842</v>
      </c>
      <c r="B6" s="2783"/>
      <c r="C6" s="2784">
        <f ca="1">SUM(C10:K10)</f>
        <v>53497</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1752</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82203.94</v>
      </c>
      <c r="D9" s="440">
        <f>SUMIF('数据-汇总表'!$C19:$C33,'剩余法-待开发'!D7,'数据-汇总表'!$E19:$E33)</f>
        <v>6493.21</v>
      </c>
      <c r="E9" s="440">
        <f>SUMIF('数据-汇总表'!$C19:$C33,'剩余法-待开发'!E7,'数据-汇总表'!$E19:$E33)</f>
        <v>19390.11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43272</v>
      </c>
      <c r="D10" s="2978">
        <f>'不动产比较法-商业'!B2</f>
        <v>6827</v>
      </c>
      <c r="E10" s="2978">
        <f ca="1">'不动产收益法 (车库)'!B2</f>
        <v>3398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19838</v>
      </c>
      <c r="D13" s="2798"/>
      <c r="E13" s="2799"/>
      <c r="F13" s="2800"/>
      <c r="G13" s="2766"/>
      <c r="H13" s="2767"/>
      <c r="I13" s="2767"/>
      <c r="J13" s="2767"/>
      <c r="K13" s="2768"/>
    </row>
    <row r="14" spans="1:31" s="2100" customFormat="1" ht="13.5" customHeight="1">
      <c r="A14" s="2796" t="s">
        <v>1849</v>
      </c>
      <c r="B14" s="2797" t="s">
        <v>480</v>
      </c>
      <c r="C14" s="53">
        <f ca="1">ROUND(C13*F14,0)</f>
        <v>595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444</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1335</v>
      </c>
      <c r="D16" s="2798">
        <f ca="1">IF(B1="",'数据-汇总表'!E3,INDIRECT("'数据-取费表'!K"&amp;$K$1)+INDIRECT("'数据-取费表'!S"&amp;$K$1))</f>
        <v>111281.46</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298</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22510</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111281.46</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2003</v>
      </c>
      <c r="D20" s="2808"/>
      <c r="E20" s="2762"/>
      <c r="F20" s="2809"/>
      <c r="G20" s="3036"/>
      <c r="H20" s="2764"/>
      <c r="I20" s="2765" t="s">
        <v>2650</v>
      </c>
      <c r="J20" s="2771"/>
      <c r="K20" s="2772"/>
    </row>
    <row r="21" spans="1:14" s="2100" customFormat="1" ht="13.5" customHeight="1">
      <c r="A21" s="2796" t="s">
        <v>1856</v>
      </c>
      <c r="B21" s="2797" t="s">
        <v>491</v>
      </c>
      <c r="C21" s="53">
        <f ca="1">ROUND(D21*E21/10000,0)</f>
        <v>1480</v>
      </c>
      <c r="D21" s="2798">
        <f ca="1">IF(B1="",'数据-汇总表'!E5,IF(INDIRECT("'数据-取费表'!c"&amp;$K$1)="住宅",INDIRECT("'数据-取费表'!k"&amp;$K$1),0))</f>
        <v>82203.94</v>
      </c>
      <c r="E21" s="53">
        <f>'数据-取费表'!B27</f>
        <v>180</v>
      </c>
      <c r="F21" s="2801"/>
      <c r="G21" s="26"/>
      <c r="H21" s="51"/>
      <c r="I21" s="51"/>
      <c r="J21" s="51"/>
      <c r="K21" s="2773"/>
    </row>
    <row r="22" spans="1:14" s="2100" customFormat="1" ht="13.5" customHeight="1">
      <c r="A22" s="2796" t="s">
        <v>1857</v>
      </c>
      <c r="B22" s="2797" t="s">
        <v>492</v>
      </c>
      <c r="C22" s="53">
        <f ca="1">ROUND(D22*E22/10000,0)</f>
        <v>523</v>
      </c>
      <c r="D22" s="2798">
        <f ca="1">IF(B1="",'数据-汇总表'!E6,IF(INDIRECT("'数据-取费表'!c"&amp;$K$1)="住宅",INDIRECT("'数据-取费表'!s"&amp;$K$1),INDIRECT("'数据-取费表'!k"&amp;$K$1)+INDIRECT("'数据-取费表'!s"&amp;$K$1)))</f>
        <v>29077.520000000004</v>
      </c>
      <c r="E22" s="53">
        <f>'数据-取费表'!B28</f>
        <v>180</v>
      </c>
      <c r="F22" s="2801"/>
      <c r="G22" s="26"/>
      <c r="H22" s="51"/>
      <c r="I22" s="51"/>
      <c r="J22" s="51"/>
      <c r="K22" s="2773"/>
    </row>
    <row r="23" spans="1:14" s="2100" customFormat="1" ht="13.5" customHeight="1">
      <c r="A23" s="2804" t="s">
        <v>1858</v>
      </c>
      <c r="B23" s="2984" t="s">
        <v>2833</v>
      </c>
      <c r="C23" s="2806">
        <f ca="1">ROUND((C18+C19+C20)*F23,0)</f>
        <v>368</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802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1220</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1220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2802</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29705</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29705</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3339</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3339</v>
      </c>
      <c r="D35" s="1613"/>
      <c r="E35" s="2818"/>
      <c r="F35" s="1614"/>
      <c r="G35" s="2776"/>
      <c r="H35" s="2777"/>
      <c r="I35" s="2777"/>
      <c r="J35" s="2777"/>
      <c r="K35" s="2778"/>
    </row>
    <row r="36" spans="1:11" s="2069" customFormat="1" ht="13.5" customHeight="1" thickBot="1">
      <c r="A36" s="283" t="s">
        <v>1844</v>
      </c>
      <c r="B36" s="2780"/>
      <c r="C36" s="2819">
        <f ca="1">ROUND((C6-C30-C33)/(1+D30+D33),0)</f>
        <v>16195</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19838</v>
      </c>
      <c r="D13" s="450"/>
      <c r="E13" s="364"/>
      <c r="F13" s="451"/>
      <c r="G13" s="443"/>
      <c r="H13" s="446"/>
      <c r="I13" s="446"/>
      <c r="J13" s="446"/>
      <c r="K13" s="447"/>
    </row>
    <row r="14" spans="1:41" s="2100" customFormat="1" ht="13.5" customHeight="1">
      <c r="A14" s="1617" t="s">
        <v>1849</v>
      </c>
      <c r="B14" s="448" t="s">
        <v>480</v>
      </c>
      <c r="C14" s="53">
        <f ca="1">ROUND(C13*F14,0)</f>
        <v>595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444</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1335</v>
      </c>
      <c r="D16" s="450">
        <f ca="1">IF(B1="",'数据-汇总表'!E3,INDIRECT("'数据-取费表'!K"&amp;$K$1)+INDIRECT("'数据-取费表'!S"&amp;$K$1))</f>
        <v>111281.46</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298</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22510</v>
      </c>
      <c r="D18" s="460"/>
      <c r="E18" s="461"/>
      <c r="F18" s="461"/>
      <c r="G18" s="1322" t="s">
        <v>2432</v>
      </c>
      <c r="H18" s="446"/>
      <c r="I18" s="446"/>
      <c r="J18" s="446"/>
      <c r="K18" s="447"/>
    </row>
    <row r="19" spans="1:14" s="2103" customFormat="1" ht="13.5" customHeight="1">
      <c r="A19" s="1618" t="s">
        <v>1854</v>
      </c>
      <c r="B19" s="458" t="s">
        <v>493</v>
      </c>
      <c r="C19" s="459">
        <f ca="1">ROUND(C18*F19,0)</f>
        <v>338</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1085</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1085</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2970</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2970</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28931</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57" t="s">
        <v>522</v>
      </c>
      <c r="D6" s="4058"/>
      <c r="E6" s="4081" t="s">
        <v>523</v>
      </c>
      <c r="F6" s="4082"/>
      <c r="G6" s="4057" t="s">
        <v>524</v>
      </c>
      <c r="H6" s="4058"/>
      <c r="I6" s="4057" t="s">
        <v>525</v>
      </c>
      <c r="J6" s="4058"/>
      <c r="K6" s="513" t="s">
        <v>526</v>
      </c>
      <c r="L6" s="2117"/>
      <c r="M6" s="2118"/>
      <c r="N6" s="2118"/>
      <c r="O6" s="2118"/>
      <c r="P6" s="4059" t="s">
        <v>527</v>
      </c>
      <c r="Q6" s="4060"/>
      <c r="R6" s="4045" t="s">
        <v>523</v>
      </c>
      <c r="S6" s="4046"/>
      <c r="T6" s="4045" t="s">
        <v>524</v>
      </c>
      <c r="U6" s="4046"/>
      <c r="V6" s="4065" t="s">
        <v>525</v>
      </c>
      <c r="W6" s="4065"/>
      <c r="X6" s="1552"/>
      <c r="Y6" s="4045" t="s">
        <v>527</v>
      </c>
      <c r="Z6" s="4046"/>
      <c r="AA6" s="4040" t="s">
        <v>523</v>
      </c>
      <c r="AB6" s="4041" t="s">
        <v>524</v>
      </c>
      <c r="AC6" s="4040" t="s">
        <v>525</v>
      </c>
    </row>
    <row r="7" spans="1:29" ht="15">
      <c r="A7" s="514"/>
      <c r="B7" s="515"/>
      <c r="C7" s="4068" t="s">
        <v>2926</v>
      </c>
      <c r="D7" s="4069"/>
      <c r="E7" s="4083" t="s">
        <v>2927</v>
      </c>
      <c r="F7" s="4084"/>
      <c r="G7" s="4068" t="s">
        <v>2928</v>
      </c>
      <c r="H7" s="4069"/>
      <c r="I7" s="4068" t="s">
        <v>2929</v>
      </c>
      <c r="J7" s="4069"/>
      <c r="K7" s="513"/>
      <c r="L7" s="2117"/>
      <c r="M7" s="2118"/>
      <c r="N7" s="2118"/>
      <c r="O7" s="2118"/>
      <c r="P7" s="4061"/>
      <c r="Q7" s="4062"/>
      <c r="R7" s="4047"/>
      <c r="S7" s="4048"/>
      <c r="T7" s="4047"/>
      <c r="U7" s="4048"/>
      <c r="V7" s="4065"/>
      <c r="W7" s="4065"/>
      <c r="X7" s="1552"/>
      <c r="Y7" s="4047"/>
      <c r="Z7" s="4048"/>
      <c r="AA7" s="4041"/>
      <c r="AB7" s="4041"/>
      <c r="AC7" s="4041"/>
    </row>
    <row r="8" spans="1:29" ht="15.75" thickBot="1">
      <c r="A8" s="516"/>
      <c r="B8" s="517"/>
      <c r="C8" s="4066" t="s">
        <v>2930</v>
      </c>
      <c r="D8" s="4067"/>
      <c r="E8" s="4085" t="s">
        <v>2930</v>
      </c>
      <c r="F8" s="4086"/>
      <c r="G8" s="4066" t="s">
        <v>2930</v>
      </c>
      <c r="H8" s="4067"/>
      <c r="I8" s="4066" t="s">
        <v>2930</v>
      </c>
      <c r="J8" s="4067"/>
      <c r="K8" s="513" t="s">
        <v>528</v>
      </c>
      <c r="L8" s="2117"/>
      <c r="M8" s="2118"/>
      <c r="N8" s="2118"/>
      <c r="O8" s="2118"/>
      <c r="P8" s="4063"/>
      <c r="Q8" s="4064"/>
      <c r="R8" s="4047"/>
      <c r="S8" s="4048"/>
      <c r="T8" s="4049"/>
      <c r="U8" s="4050"/>
      <c r="V8" s="4065"/>
      <c r="W8" s="4065"/>
      <c r="X8" s="1552"/>
      <c r="Y8" s="4049"/>
      <c r="Z8" s="4050"/>
      <c r="AA8" s="4042"/>
      <c r="AB8" s="4042"/>
      <c r="AC8" s="4042"/>
    </row>
    <row r="9" spans="1:29" s="1215" customFormat="1" ht="15.75" thickBot="1">
      <c r="A9" s="2865"/>
      <c r="B9" s="2872" t="s">
        <v>529</v>
      </c>
      <c r="C9" s="518">
        <f>'数据-取费表'!B2</f>
        <v>43671</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043" t="s">
        <v>530</v>
      </c>
      <c r="Q9" s="4052"/>
      <c r="R9" s="1553" t="s">
        <v>8</v>
      </c>
      <c r="S9" s="1554">
        <f t="shared" ref="S9:S17" si="0">F9</f>
        <v>0</v>
      </c>
      <c r="T9" s="1553" t="s">
        <v>8</v>
      </c>
      <c r="U9" s="1554">
        <f t="shared" ref="U9:U17" si="1">H9</f>
        <v>0</v>
      </c>
      <c r="V9" s="1553" t="s">
        <v>8</v>
      </c>
      <c r="W9" s="1554">
        <f t="shared" ref="W9:W17" si="2">J9</f>
        <v>0</v>
      </c>
      <c r="X9" s="1555"/>
      <c r="Y9" s="4043" t="s">
        <v>530</v>
      </c>
      <c r="Z9" s="4044"/>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043" t="s">
        <v>533</v>
      </c>
      <c r="Q10" s="4044"/>
      <c r="R10" s="1553" t="s">
        <v>8</v>
      </c>
      <c r="S10" s="1554">
        <f t="shared" si="0"/>
        <v>0</v>
      </c>
      <c r="T10" s="1553" t="s">
        <v>8</v>
      </c>
      <c r="U10" s="1554">
        <f t="shared" si="1"/>
        <v>0</v>
      </c>
      <c r="V10" s="1553" t="s">
        <v>8</v>
      </c>
      <c r="W10" s="1554">
        <f t="shared" si="2"/>
        <v>0</v>
      </c>
      <c r="X10" s="1555"/>
      <c r="Y10" s="4043" t="s">
        <v>533</v>
      </c>
      <c r="Z10" s="4044"/>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51" t="s">
        <v>535</v>
      </c>
      <c r="Q11" s="1146" t="str">
        <f t="shared" ref="Q11:Q17" si="6">B11</f>
        <v>用途</v>
      </c>
      <c r="R11" s="1553" t="s">
        <v>8</v>
      </c>
      <c r="S11" s="1554">
        <f t="shared" si="0"/>
        <v>100</v>
      </c>
      <c r="T11" s="1553" t="s">
        <v>8</v>
      </c>
      <c r="U11" s="1554">
        <f t="shared" si="1"/>
        <v>100</v>
      </c>
      <c r="V11" s="1553" t="s">
        <v>8</v>
      </c>
      <c r="W11" s="1554">
        <f t="shared" si="2"/>
        <v>100</v>
      </c>
      <c r="X11" s="1555"/>
      <c r="Y11" s="4008"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51"/>
      <c r="Q12" s="1146" t="str">
        <f t="shared" si="6"/>
        <v>土地使用年限（年）</v>
      </c>
      <c r="R12" s="1553" t="s">
        <v>8</v>
      </c>
      <c r="S12" s="1554">
        <f t="shared" si="0"/>
        <v>104</v>
      </c>
      <c r="T12" s="1553" t="s">
        <v>8</v>
      </c>
      <c r="U12" s="1554">
        <f t="shared" si="1"/>
        <v>104</v>
      </c>
      <c r="V12" s="1553" t="s">
        <v>8</v>
      </c>
      <c r="W12" s="1554">
        <f t="shared" si="2"/>
        <v>104</v>
      </c>
      <c r="X12" s="1555"/>
      <c r="Y12" s="4008"/>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51"/>
      <c r="Q13" s="1146" t="str">
        <f t="shared" si="6"/>
        <v>容积率</v>
      </c>
      <c r="R13" s="1553" t="s">
        <v>8</v>
      </c>
      <c r="S13" s="1554" t="e">
        <f t="shared" si="0"/>
        <v>#N/A</v>
      </c>
      <c r="T13" s="1553" t="s">
        <v>8</v>
      </c>
      <c r="U13" s="1554" t="e">
        <f t="shared" si="1"/>
        <v>#N/A</v>
      </c>
      <c r="V13" s="1553" t="s">
        <v>8</v>
      </c>
      <c r="W13" s="1554" t="e">
        <f t="shared" si="2"/>
        <v>#N/A</v>
      </c>
      <c r="X13" s="1555"/>
      <c r="Y13" s="4008"/>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51"/>
      <c r="Q14" s="1146">
        <f t="shared" si="6"/>
        <v>111</v>
      </c>
      <c r="R14" s="1553" t="s">
        <v>8</v>
      </c>
      <c r="S14" s="1554">
        <f t="shared" si="0"/>
        <v>100</v>
      </c>
      <c r="T14" s="1553" t="s">
        <v>8</v>
      </c>
      <c r="U14" s="1554">
        <f t="shared" si="1"/>
        <v>100</v>
      </c>
      <c r="V14" s="1553" t="s">
        <v>8</v>
      </c>
      <c r="W14" s="1554">
        <f t="shared" si="2"/>
        <v>100</v>
      </c>
      <c r="X14" s="1555"/>
      <c r="Y14" s="4008"/>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51"/>
      <c r="Q15" s="1146">
        <f t="shared" si="6"/>
        <v>111</v>
      </c>
      <c r="R15" s="1553" t="s">
        <v>8</v>
      </c>
      <c r="S15" s="1554">
        <f t="shared" si="0"/>
        <v>100</v>
      </c>
      <c r="T15" s="1553" t="s">
        <v>8</v>
      </c>
      <c r="U15" s="1554">
        <f t="shared" si="1"/>
        <v>100</v>
      </c>
      <c r="V15" s="1553" t="s">
        <v>8</v>
      </c>
      <c r="W15" s="1554">
        <f t="shared" si="2"/>
        <v>100</v>
      </c>
      <c r="X15" s="1555"/>
      <c r="Y15" s="4008"/>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51"/>
      <c r="Q16" s="1146">
        <f t="shared" si="6"/>
        <v>111</v>
      </c>
      <c r="R16" s="1553" t="s">
        <v>8</v>
      </c>
      <c r="S16" s="1554">
        <f t="shared" si="0"/>
        <v>100</v>
      </c>
      <c r="T16" s="1553" t="s">
        <v>8</v>
      </c>
      <c r="U16" s="1554">
        <f t="shared" si="1"/>
        <v>100</v>
      </c>
      <c r="V16" s="1553" t="s">
        <v>8</v>
      </c>
      <c r="W16" s="1554">
        <f t="shared" si="2"/>
        <v>100</v>
      </c>
      <c r="X16" s="1555"/>
      <c r="Y16" s="4008"/>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053" t="s">
        <v>540</v>
      </c>
      <c r="Q17" s="1557" t="str">
        <f t="shared" si="6"/>
        <v>产业集聚程度</v>
      </c>
      <c r="R17" s="1558" t="s">
        <v>8</v>
      </c>
      <c r="S17" s="1559">
        <f t="shared" si="0"/>
        <v>100</v>
      </c>
      <c r="T17" s="1558" t="s">
        <v>8</v>
      </c>
      <c r="U17" s="1559">
        <f t="shared" si="1"/>
        <v>100</v>
      </c>
      <c r="V17" s="1558" t="s">
        <v>8</v>
      </c>
      <c r="W17" s="1559">
        <f t="shared" si="2"/>
        <v>100</v>
      </c>
      <c r="X17" s="1552"/>
      <c r="Y17" s="4053"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054"/>
      <c r="Q18" s="1557"/>
      <c r="R18" s="1558"/>
      <c r="S18" s="1559"/>
      <c r="T18" s="1558"/>
      <c r="U18" s="1559"/>
      <c r="V18" s="1558"/>
      <c r="W18" s="1559"/>
      <c r="X18" s="1552"/>
      <c r="Y18" s="4054"/>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054"/>
      <c r="Q19" s="1557" t="str">
        <f>B19</f>
        <v>交通便捷度</v>
      </c>
      <c r="R19" s="1558" t="s">
        <v>8</v>
      </c>
      <c r="S19" s="1559">
        <f>F19</f>
        <v>100</v>
      </c>
      <c r="T19" s="1558" t="s">
        <v>8</v>
      </c>
      <c r="U19" s="1559">
        <f>H19</f>
        <v>100</v>
      </c>
      <c r="V19" s="1558" t="s">
        <v>8</v>
      </c>
      <c r="W19" s="1559">
        <f>J19</f>
        <v>100</v>
      </c>
      <c r="X19" s="1552"/>
      <c r="Y19" s="4054"/>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054"/>
      <c r="Q20" s="1557"/>
      <c r="R20" s="1558"/>
      <c r="S20" s="1559"/>
      <c r="T20" s="1558"/>
      <c r="U20" s="1559"/>
      <c r="V20" s="1558"/>
      <c r="W20" s="1559"/>
      <c r="X20" s="1552"/>
      <c r="Y20" s="4054"/>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054"/>
      <c r="Q21" s="1557" t="str">
        <f t="shared" ref="Q21:Q35" si="8">B21</f>
        <v>区域土地利用方向</v>
      </c>
      <c r="R21" s="1558" t="s">
        <v>8</v>
      </c>
      <c r="S21" s="1559">
        <f>F21</f>
        <v>100</v>
      </c>
      <c r="T21" s="1558" t="s">
        <v>8</v>
      </c>
      <c r="U21" s="1559">
        <f>H21</f>
        <v>100</v>
      </c>
      <c r="V21" s="1558" t="s">
        <v>8</v>
      </c>
      <c r="W21" s="1559">
        <f>J21</f>
        <v>100</v>
      </c>
      <c r="X21" s="1552"/>
      <c r="Y21" s="4054"/>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054"/>
      <c r="Q22" s="1557"/>
      <c r="R22" s="1558"/>
      <c r="S22" s="1559"/>
      <c r="T22" s="1558"/>
      <c r="U22" s="1559"/>
      <c r="V22" s="1558"/>
      <c r="W22" s="1559"/>
      <c r="X22" s="1552"/>
      <c r="Y22" s="4054"/>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054"/>
      <c r="Q23" s="1557" t="str">
        <f t="shared" si="8"/>
        <v>环境状况</v>
      </c>
      <c r="R23" s="1558" t="s">
        <v>8</v>
      </c>
      <c r="S23" s="1559">
        <f>F23</f>
        <v>100</v>
      </c>
      <c r="T23" s="1558" t="s">
        <v>8</v>
      </c>
      <c r="U23" s="1559">
        <f>H23</f>
        <v>100</v>
      </c>
      <c r="V23" s="1558" t="s">
        <v>8</v>
      </c>
      <c r="W23" s="1559">
        <f>J23</f>
        <v>100</v>
      </c>
      <c r="X23" s="1552"/>
      <c r="Y23" s="4054"/>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054"/>
      <c r="Q24" s="1557"/>
      <c r="R24" s="1558"/>
      <c r="S24" s="1559"/>
      <c r="T24" s="1558"/>
      <c r="U24" s="1559"/>
      <c r="V24" s="1558"/>
      <c r="W24" s="1559"/>
      <c r="X24" s="1552"/>
      <c r="Y24" s="4054"/>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054"/>
      <c r="Q25" s="1146" t="str">
        <f t="shared" si="8"/>
        <v>公共配套设施</v>
      </c>
      <c r="R25" s="1553" t="s">
        <v>8</v>
      </c>
      <c r="S25" s="1554">
        <f>F25</f>
        <v>100</v>
      </c>
      <c r="T25" s="1553" t="s">
        <v>8</v>
      </c>
      <c r="U25" s="1554">
        <f>H25</f>
        <v>100</v>
      </c>
      <c r="V25" s="1553" t="s">
        <v>8</v>
      </c>
      <c r="W25" s="1554">
        <f>J25</f>
        <v>100</v>
      </c>
      <c r="X25" s="1555"/>
      <c r="Y25" s="4054"/>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054"/>
      <c r="Q26" s="1146"/>
      <c r="R26" s="1553"/>
      <c r="S26" s="1554"/>
      <c r="T26" s="1553"/>
      <c r="U26" s="1554"/>
      <c r="V26" s="1553"/>
      <c r="W26" s="1554"/>
      <c r="X26" s="1555"/>
      <c r="Y26" s="4054"/>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054"/>
      <c r="Q27" s="2541" t="str">
        <f t="shared" ref="Q27" si="9">B27</f>
        <v>基础设施水平</v>
      </c>
      <c r="R27" s="1553" t="s">
        <v>8</v>
      </c>
      <c r="S27" s="1554">
        <f>F27</f>
        <v>100</v>
      </c>
      <c r="T27" s="1553" t="s">
        <v>8</v>
      </c>
      <c r="U27" s="1554">
        <f>H27</f>
        <v>100</v>
      </c>
      <c r="V27" s="1553" t="s">
        <v>8</v>
      </c>
      <c r="W27" s="1554">
        <f>J27</f>
        <v>100</v>
      </c>
      <c r="X27" s="1555"/>
      <c r="Y27" s="4054"/>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054"/>
      <c r="Q28" s="2541"/>
      <c r="R28" s="1553"/>
      <c r="S28" s="1554"/>
      <c r="T28" s="1553"/>
      <c r="U28" s="1554"/>
      <c r="V28" s="1553"/>
      <c r="W28" s="1554"/>
      <c r="X28" s="1555"/>
      <c r="Y28" s="4054"/>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05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054"/>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054"/>
      <c r="Q30" s="1557" t="str">
        <f t="shared" si="8"/>
        <v>毗邻道路的类型与等级</v>
      </c>
      <c r="R30" s="1558" t="s">
        <v>8</v>
      </c>
      <c r="S30" s="1559">
        <f t="shared" si="10"/>
        <v>100</v>
      </c>
      <c r="T30" s="1558" t="s">
        <v>8</v>
      </c>
      <c r="U30" s="1559">
        <f t="shared" si="11"/>
        <v>100</v>
      </c>
      <c r="V30" s="1558" t="s">
        <v>8</v>
      </c>
      <c r="W30" s="1559">
        <f t="shared" si="12"/>
        <v>100</v>
      </c>
      <c r="X30" s="1552"/>
      <c r="Y30" s="4054"/>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054"/>
      <c r="Q31" s="1557"/>
      <c r="R31" s="1558"/>
      <c r="S31" s="1559"/>
      <c r="T31" s="1558"/>
      <c r="U31" s="1559"/>
      <c r="V31" s="1558"/>
      <c r="W31" s="1559"/>
      <c r="X31" s="1552"/>
      <c r="Y31" s="4054"/>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054"/>
      <c r="Q32" s="1557" t="str">
        <f t="shared" si="8"/>
        <v>土地级别</v>
      </c>
      <c r="R32" s="1558" t="s">
        <v>8</v>
      </c>
      <c r="S32" s="1559">
        <f t="shared" si="10"/>
        <v>100</v>
      </c>
      <c r="T32" s="1558" t="s">
        <v>8</v>
      </c>
      <c r="U32" s="1559">
        <f t="shared" si="11"/>
        <v>100</v>
      </c>
      <c r="V32" s="1558" t="s">
        <v>8</v>
      </c>
      <c r="W32" s="1559">
        <f t="shared" si="12"/>
        <v>100</v>
      </c>
      <c r="X32" s="1552"/>
      <c r="Y32" s="4054"/>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054"/>
      <c r="Q33" s="1557">
        <f t="shared" si="8"/>
        <v>111</v>
      </c>
      <c r="R33" s="1558" t="s">
        <v>8</v>
      </c>
      <c r="S33" s="1559">
        <f t="shared" si="10"/>
        <v>100</v>
      </c>
      <c r="T33" s="1558" t="s">
        <v>8</v>
      </c>
      <c r="U33" s="1559">
        <f t="shared" si="11"/>
        <v>100</v>
      </c>
      <c r="V33" s="1558" t="s">
        <v>8</v>
      </c>
      <c r="W33" s="1559">
        <f t="shared" si="12"/>
        <v>100</v>
      </c>
      <c r="X33" s="1552"/>
      <c r="Y33" s="4054"/>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055" t="s">
        <v>550</v>
      </c>
      <c r="Q34" s="1557">
        <f t="shared" si="8"/>
        <v>111</v>
      </c>
      <c r="R34" s="1558" t="s">
        <v>8</v>
      </c>
      <c r="S34" s="1559">
        <f t="shared" si="10"/>
        <v>100</v>
      </c>
      <c r="T34" s="1558" t="s">
        <v>8</v>
      </c>
      <c r="U34" s="1559">
        <f t="shared" si="11"/>
        <v>100</v>
      </c>
      <c r="V34" s="1558" t="s">
        <v>8</v>
      </c>
      <c r="W34" s="1559">
        <f t="shared" si="12"/>
        <v>100</v>
      </c>
      <c r="X34" s="1552"/>
      <c r="Y34" s="4056"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056"/>
      <c r="Q35" s="1557">
        <f t="shared" si="8"/>
        <v>111</v>
      </c>
      <c r="R35" s="1562" t="s">
        <v>8</v>
      </c>
      <c r="S35" s="1563">
        <f t="shared" si="10"/>
        <v>100</v>
      </c>
      <c r="T35" s="1562" t="s">
        <v>8</v>
      </c>
      <c r="U35" s="1563">
        <f t="shared" si="11"/>
        <v>100</v>
      </c>
      <c r="V35" s="1562" t="s">
        <v>8</v>
      </c>
      <c r="W35" s="1563">
        <f t="shared" si="12"/>
        <v>100</v>
      </c>
      <c r="X35" s="1564"/>
      <c r="Y35" s="4056"/>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056"/>
      <c r="Q36" s="1557" t="str">
        <f>B36</f>
        <v>宗地面积</v>
      </c>
      <c r="R36" s="1558" t="s">
        <v>8</v>
      </c>
      <c r="S36" s="1559" t="e">
        <f t="shared" si="10"/>
        <v>#N/A</v>
      </c>
      <c r="T36" s="1558" t="s">
        <v>8</v>
      </c>
      <c r="U36" s="1559" t="e">
        <f t="shared" si="11"/>
        <v>#N/A</v>
      </c>
      <c r="V36" s="1558" t="s">
        <v>8</v>
      </c>
      <c r="W36" s="1559" t="e">
        <f t="shared" si="12"/>
        <v>#N/A</v>
      </c>
      <c r="X36" s="1552"/>
      <c r="Y36" s="4056"/>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056"/>
      <c r="Q37" s="1557" t="str">
        <f t="shared" ref="Q37:Q42" si="14">B37</f>
        <v>宗地形状</v>
      </c>
      <c r="R37" s="1558" t="s">
        <v>8</v>
      </c>
      <c r="S37" s="1559">
        <f t="shared" si="10"/>
        <v>100</v>
      </c>
      <c r="T37" s="1558" t="s">
        <v>8</v>
      </c>
      <c r="U37" s="1559">
        <f t="shared" si="11"/>
        <v>100</v>
      </c>
      <c r="V37" s="1558" t="s">
        <v>8</v>
      </c>
      <c r="W37" s="1559">
        <f t="shared" si="12"/>
        <v>100</v>
      </c>
      <c r="X37" s="1552"/>
      <c r="Y37" s="4056"/>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056"/>
      <c r="Q38" s="1557" t="str">
        <f t="shared" si="14"/>
        <v>宗地开发程度</v>
      </c>
      <c r="R38" s="1553" t="s">
        <v>8</v>
      </c>
      <c r="S38" s="1554">
        <f t="shared" si="10"/>
        <v>100</v>
      </c>
      <c r="T38" s="1553" t="s">
        <v>8</v>
      </c>
      <c r="U38" s="1554">
        <f t="shared" si="11"/>
        <v>100</v>
      </c>
      <c r="V38" s="1553" t="s">
        <v>8</v>
      </c>
      <c r="W38" s="1554">
        <f t="shared" si="12"/>
        <v>100</v>
      </c>
      <c r="X38" s="1555"/>
      <c r="Y38" s="4056"/>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056" t="s">
        <v>601</v>
      </c>
      <c r="Q39" s="1557" t="str">
        <f t="shared" si="14"/>
        <v>工程地质条件</v>
      </c>
      <c r="R39" s="1558" t="s">
        <v>8</v>
      </c>
      <c r="S39" s="1559">
        <f t="shared" si="10"/>
        <v>100</v>
      </c>
      <c r="T39" s="1558" t="s">
        <v>8</v>
      </c>
      <c r="U39" s="1559">
        <f t="shared" si="11"/>
        <v>100</v>
      </c>
      <c r="V39" s="1558" t="s">
        <v>8</v>
      </c>
      <c r="W39" s="1559">
        <f t="shared" si="12"/>
        <v>100</v>
      </c>
      <c r="X39" s="1552"/>
      <c r="Y39" s="4056"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056"/>
      <c r="Q40" s="1557">
        <f t="shared" si="14"/>
        <v>111</v>
      </c>
      <c r="R40" s="1558" t="s">
        <v>8</v>
      </c>
      <c r="S40" s="1559">
        <f t="shared" si="10"/>
        <v>100</v>
      </c>
      <c r="T40" s="1558" t="s">
        <v>8</v>
      </c>
      <c r="U40" s="1559">
        <f t="shared" si="11"/>
        <v>100</v>
      </c>
      <c r="V40" s="1558" t="s">
        <v>8</v>
      </c>
      <c r="W40" s="1559">
        <f t="shared" si="12"/>
        <v>100</v>
      </c>
      <c r="X40" s="1552"/>
      <c r="Y40" s="4056"/>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056"/>
      <c r="Q41" s="1557">
        <f t="shared" si="14"/>
        <v>111</v>
      </c>
      <c r="R41" s="1558" t="s">
        <v>8</v>
      </c>
      <c r="S41" s="1559">
        <f t="shared" si="10"/>
        <v>100</v>
      </c>
      <c r="T41" s="1558" t="s">
        <v>8</v>
      </c>
      <c r="U41" s="1559">
        <f t="shared" si="11"/>
        <v>100</v>
      </c>
      <c r="V41" s="1558" t="s">
        <v>8</v>
      </c>
      <c r="W41" s="1559">
        <f t="shared" si="12"/>
        <v>100</v>
      </c>
      <c r="X41" s="1552"/>
      <c r="Y41" s="4056"/>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056"/>
      <c r="Q42" s="1557">
        <f t="shared" si="14"/>
        <v>111</v>
      </c>
      <c r="R42" s="1562" t="s">
        <v>8</v>
      </c>
      <c r="S42" s="1563">
        <f t="shared" si="10"/>
        <v>100</v>
      </c>
      <c r="T42" s="1562" t="s">
        <v>8</v>
      </c>
      <c r="U42" s="1563">
        <f t="shared" si="11"/>
        <v>100</v>
      </c>
      <c r="V42" s="1562" t="s">
        <v>8</v>
      </c>
      <c r="W42" s="1563">
        <f t="shared" si="12"/>
        <v>100</v>
      </c>
      <c r="X42" s="1564"/>
      <c r="Y42" s="4056"/>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51" t="str">
        <f>A43</f>
        <v>成交单价</v>
      </c>
      <c r="Q43" s="4051"/>
      <c r="R43" s="4065">
        <f>E43</f>
        <v>0</v>
      </c>
      <c r="S43" s="4065"/>
      <c r="T43" s="4065">
        <f>G43</f>
        <v>0</v>
      </c>
      <c r="U43" s="4065"/>
      <c r="V43" s="4065">
        <f>I43</f>
        <v>0</v>
      </c>
      <c r="W43" s="4065"/>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51" t="str">
        <f>A44</f>
        <v>比较价格（元/平方米）</v>
      </c>
      <c r="Q44" s="4051"/>
      <c r="R44" s="4075" t="e">
        <f>ROUND(PRODUCT(R43,AA9:AA42),0)</f>
        <v>#DIV/0!</v>
      </c>
      <c r="S44" s="4075"/>
      <c r="T44" s="4075" t="e">
        <f>ROUND(PRODUCT(T43,AB9:AB42),0)</f>
        <v>#DIV/0!</v>
      </c>
      <c r="U44" s="4075"/>
      <c r="V44" s="4075" t="e">
        <f>ROUND(PRODUCT(V43,AC9:AC42),0)</f>
        <v>#DIV/0!</v>
      </c>
      <c r="W44" s="4075"/>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072" t="str">
        <f>A45</f>
        <v>估价对象XX用房的比较价格（楼面单价，元/平方米）</v>
      </c>
      <c r="Q45" s="4073"/>
      <c r="R45" s="4074" t="e">
        <f>ROUND(AVERAGE(R44:V44),0)</f>
        <v>#DIV/0!</v>
      </c>
      <c r="S45" s="4074"/>
      <c r="T45" s="4074"/>
      <c r="U45" s="4074"/>
      <c r="V45" s="4074"/>
      <c r="W45" s="407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076" t="s">
        <v>2284</v>
      </c>
      <c r="H52" s="4077"/>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88697.150000000009</v>
      </c>
      <c r="F53" s="1934" t="e">
        <f t="shared" ref="F53:F62" si="15">ROUND(B53*E53/10000,0)</f>
        <v>#DIV/0!</v>
      </c>
      <c r="G53" s="4078"/>
      <c r="H53" s="407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080"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08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08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08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19390.11</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20122.04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4.4000000000000004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088"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4.4000000000000004</v>
      </c>
      <c r="AA7" s="2176"/>
      <c r="AB7" s="2176"/>
      <c r="AC7" s="2177"/>
      <c r="AD7" s="2882"/>
      <c r="AE7" s="2882"/>
      <c r="AF7" s="2882"/>
      <c r="AG7" s="2882"/>
      <c r="AH7" s="2882"/>
      <c r="AI7" s="2882"/>
      <c r="AJ7" s="2883"/>
    </row>
    <row r="8" spans="1:39" ht="15">
      <c r="A8" s="4089"/>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099" t="s">
        <v>2782</v>
      </c>
      <c r="X8" s="4100"/>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089"/>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098"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089"/>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098"/>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089"/>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098" t="s">
        <v>2780</v>
      </c>
      <c r="X11" s="1047" t="s">
        <v>2765</v>
      </c>
      <c r="Y11" s="1637">
        <f>$G$3</f>
        <v>4.4000000000000004</v>
      </c>
      <c r="Z11" s="1637">
        <f t="shared" ref="Z11:AJ11" si="3">$G$3</f>
        <v>4.4000000000000004</v>
      </c>
      <c r="AA11" s="1637">
        <f t="shared" si="3"/>
        <v>4.4000000000000004</v>
      </c>
      <c r="AB11" s="1637">
        <f t="shared" si="3"/>
        <v>4.4000000000000004</v>
      </c>
      <c r="AC11" s="1637">
        <f t="shared" si="3"/>
        <v>4.4000000000000004</v>
      </c>
      <c r="AD11" s="1637">
        <f t="shared" si="3"/>
        <v>4.4000000000000004</v>
      </c>
      <c r="AE11" s="1637">
        <f t="shared" si="3"/>
        <v>4.4000000000000004</v>
      </c>
      <c r="AF11" s="1637">
        <f t="shared" si="3"/>
        <v>4.4000000000000004</v>
      </c>
      <c r="AG11" s="1637">
        <f t="shared" si="3"/>
        <v>4.4000000000000004</v>
      </c>
      <c r="AH11" s="1637">
        <f t="shared" si="3"/>
        <v>4.4000000000000004</v>
      </c>
      <c r="AI11" s="1637">
        <f t="shared" si="3"/>
        <v>4.4000000000000004</v>
      </c>
      <c r="AJ11" s="1637">
        <f t="shared" si="3"/>
        <v>4.4000000000000004</v>
      </c>
    </row>
    <row r="12" spans="1:39" ht="25.5" thickBot="1">
      <c r="A12" s="4088"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098"/>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090"/>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098"/>
      <c r="X13" s="2887"/>
      <c r="Y13" s="2886">
        <f>(-0.163*(Y12^2)-0.59*Y12+7617)*(10^(-4))/Y11</f>
        <v>0.17311363636363636</v>
      </c>
      <c r="Z13" s="2886">
        <f t="shared" ref="Z13:AJ13" si="5">(-0.163*(Z12^2)-0.59*Z12+7617)*(10^(-4))/Z11</f>
        <v>0.17311363636363636</v>
      </c>
      <c r="AA13" s="2886">
        <f t="shared" si="5"/>
        <v>0.17311363636363636</v>
      </c>
      <c r="AB13" s="2886">
        <f t="shared" si="5"/>
        <v>0.17311363636363636</v>
      </c>
      <c r="AC13" s="2886">
        <f t="shared" si="5"/>
        <v>0.17311363636363636</v>
      </c>
      <c r="AD13" s="2886">
        <f t="shared" si="5"/>
        <v>0.17311363636363636</v>
      </c>
      <c r="AE13" s="2886">
        <f t="shared" si="5"/>
        <v>0.17311363636363636</v>
      </c>
      <c r="AF13" s="2886">
        <f t="shared" si="5"/>
        <v>0.17311363636363636</v>
      </c>
      <c r="AG13" s="2886">
        <f t="shared" si="5"/>
        <v>0.17311363636363636</v>
      </c>
      <c r="AH13" s="2886">
        <f t="shared" si="5"/>
        <v>0.17311363636363636</v>
      </c>
      <c r="AI13" s="2886">
        <f t="shared" si="5"/>
        <v>0.17311363636363636</v>
      </c>
      <c r="AJ13" s="2886">
        <f t="shared" si="5"/>
        <v>0.17311363636363636</v>
      </c>
    </row>
    <row r="14" spans="1:39" ht="12.75" customHeight="1">
      <c r="A14" s="4090"/>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091"/>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088" t="s">
        <v>1838</v>
      </c>
      <c r="B16" s="1422" t="s">
        <v>950</v>
      </c>
      <c r="C16" s="1051" t="e">
        <f>ROUND(IF(F17="与级别开发程度一致",0,(G17-E17)/C17),0)</f>
        <v>#DIV/0!</v>
      </c>
      <c r="D16" s="4106" t="s">
        <v>954</v>
      </c>
      <c r="E16" s="4107"/>
      <c r="F16" s="4106" t="s">
        <v>951</v>
      </c>
      <c r="G16" s="4107"/>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092"/>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43671</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4.4000000000000004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4.4000000000000004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095"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096"/>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096"/>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097"/>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093" t="s">
        <v>1633</v>
      </c>
      <c r="B90" s="4093"/>
      <c r="C90" s="4093"/>
      <c r="D90" s="4093"/>
      <c r="E90" s="4093"/>
      <c r="F90" s="4093"/>
      <c r="G90" s="4093"/>
      <c r="H90" s="4093"/>
      <c r="I90" s="4093"/>
      <c r="J90" s="4093"/>
      <c r="K90" s="2413"/>
      <c r="L90" s="2413"/>
      <c r="M90" s="2413"/>
      <c r="N90" s="2413"/>
    </row>
    <row r="91" spans="1:40">
      <c r="A91" s="4094" t="s">
        <v>1443</v>
      </c>
      <c r="B91" s="4094" t="s">
        <v>1634</v>
      </c>
      <c r="C91" s="1135" t="s">
        <v>1635</v>
      </c>
      <c r="D91" s="1136"/>
      <c r="E91" s="1136"/>
      <c r="F91" s="1136"/>
      <c r="G91" s="1136"/>
      <c r="H91" s="1136"/>
      <c r="I91" s="1136"/>
      <c r="J91" s="1137"/>
      <c r="K91" s="1129"/>
      <c r="L91" s="1129"/>
      <c r="M91" s="1129"/>
      <c r="N91" s="1129"/>
    </row>
    <row r="92" spans="1:40">
      <c r="A92" s="4094"/>
      <c r="B92" s="409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101"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10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10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10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10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10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102"/>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10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101" t="s">
        <v>1637</v>
      </c>
      <c r="B101" s="1142" t="s">
        <v>906</v>
      </c>
      <c r="C101" s="1143">
        <f>$G$3</f>
        <v>4.4000000000000004</v>
      </c>
      <c r="D101" s="1143">
        <f t="shared" ref="D101:N101" si="31">$G$3</f>
        <v>4.4000000000000004</v>
      </c>
      <c r="E101" s="1143">
        <f t="shared" si="31"/>
        <v>4.4000000000000004</v>
      </c>
      <c r="F101" s="1143">
        <f t="shared" si="31"/>
        <v>4.4000000000000004</v>
      </c>
      <c r="G101" s="1143">
        <f t="shared" si="31"/>
        <v>4.4000000000000004</v>
      </c>
      <c r="H101" s="1143">
        <f t="shared" si="31"/>
        <v>4.4000000000000004</v>
      </c>
      <c r="I101" s="1143">
        <f t="shared" si="31"/>
        <v>4.4000000000000004</v>
      </c>
      <c r="J101" s="1143">
        <f t="shared" si="31"/>
        <v>4.4000000000000004</v>
      </c>
      <c r="K101" s="1143">
        <f t="shared" si="31"/>
        <v>4.4000000000000004</v>
      </c>
      <c r="L101" s="1143">
        <f t="shared" si="31"/>
        <v>4.4000000000000004</v>
      </c>
      <c r="M101" s="1143">
        <f t="shared" si="31"/>
        <v>4.4000000000000004</v>
      </c>
      <c r="N101" s="1143">
        <f t="shared" si="31"/>
        <v>4.4000000000000004</v>
      </c>
    </row>
    <row r="102" spans="1:14">
      <c r="A102" s="4102"/>
      <c r="B102" s="1138">
        <v>1</v>
      </c>
      <c r="C102" s="1139">
        <f>1.9362/C101</f>
        <v>0.44004545454545452</v>
      </c>
      <c r="D102" s="1139">
        <f>1.9362/D101</f>
        <v>0.44004545454545452</v>
      </c>
      <c r="E102" s="1139">
        <f>1.8629/E101</f>
        <v>0.42338636363636362</v>
      </c>
      <c r="F102" s="1139">
        <f>1.8629/F101</f>
        <v>0.42338636363636362</v>
      </c>
      <c r="G102" s="1139">
        <f>1.8629/G101</f>
        <v>0.42338636363636362</v>
      </c>
      <c r="H102" s="1139">
        <f>1.8629/H101</f>
        <v>0.42338636363636362</v>
      </c>
      <c r="I102" s="1139">
        <f>1.8629/I101</f>
        <v>0.42338636363636362</v>
      </c>
      <c r="J102" s="1139">
        <f>1.942/J101</f>
        <v>0.44136363636363629</v>
      </c>
      <c r="K102" s="1139">
        <f>1.942/K101</f>
        <v>0.44136363636363629</v>
      </c>
      <c r="L102" s="1139">
        <f>1.942/L101</f>
        <v>0.44136363636363629</v>
      </c>
      <c r="M102" s="1139">
        <f>1.942/M101</f>
        <v>0.44136363636363629</v>
      </c>
      <c r="N102" s="1139">
        <f>1.942/N101</f>
        <v>0.44136363636363629</v>
      </c>
    </row>
    <row r="103" spans="1:14">
      <c r="A103" s="4102"/>
      <c r="B103" s="1138">
        <v>2</v>
      </c>
      <c r="C103" s="1139">
        <f>1.4198/C101</f>
        <v>0.32268181818181813</v>
      </c>
      <c r="D103" s="1139">
        <f>1.4198/D101</f>
        <v>0.32268181818181813</v>
      </c>
      <c r="E103" s="1139">
        <f>1.3372/E101</f>
        <v>0.30390909090909085</v>
      </c>
      <c r="F103" s="1139">
        <f>1.3372/F101</f>
        <v>0.30390909090909085</v>
      </c>
      <c r="G103" s="1139">
        <f>1.3372/G101</f>
        <v>0.30390909090909085</v>
      </c>
      <c r="H103" s="1139">
        <f>1.3372/H101</f>
        <v>0.30390909090909085</v>
      </c>
      <c r="I103" s="1139">
        <f>1.3372/I101</f>
        <v>0.30390909090909085</v>
      </c>
      <c r="J103" s="1139">
        <f>1.2799/J101</f>
        <v>0.29088636363636361</v>
      </c>
      <c r="K103" s="1139">
        <f>1.2799/K101</f>
        <v>0.29088636363636361</v>
      </c>
      <c r="L103" s="1139">
        <f>1.2799/L101</f>
        <v>0.29088636363636361</v>
      </c>
      <c r="M103" s="1139">
        <f>1.2799/M101</f>
        <v>0.29088636363636361</v>
      </c>
      <c r="N103" s="1139">
        <f>1.2799/N101</f>
        <v>0.29088636363636361</v>
      </c>
    </row>
    <row r="104" spans="1:14">
      <c r="A104" s="4102"/>
      <c r="B104" s="1138">
        <v>3</v>
      </c>
      <c r="C104" s="1139">
        <f>1.1594/C101</f>
        <v>0.26349999999999996</v>
      </c>
      <c r="D104" s="1139">
        <f>1.1594/D101</f>
        <v>0.26349999999999996</v>
      </c>
      <c r="E104" s="1139">
        <f>1.0788/E101</f>
        <v>0.24518181818181817</v>
      </c>
      <c r="F104" s="1139">
        <f>1.0788/F101</f>
        <v>0.24518181818181817</v>
      </c>
      <c r="G104" s="1139">
        <f>1.0788/G101</f>
        <v>0.24518181818181817</v>
      </c>
      <c r="H104" s="1139">
        <f>1.0788/H101</f>
        <v>0.24518181818181817</v>
      </c>
      <c r="I104" s="1139">
        <f>1.0788/I101</f>
        <v>0.24518181818181817</v>
      </c>
      <c r="J104" s="1139">
        <f>1.0072/J101</f>
        <v>0.22890909090909092</v>
      </c>
      <c r="K104" s="1139">
        <f>1.0072/K101</f>
        <v>0.22890909090909092</v>
      </c>
      <c r="L104" s="1139">
        <f>1.0072/L101</f>
        <v>0.22890909090909092</v>
      </c>
      <c r="M104" s="1139">
        <f>1.0072/M101</f>
        <v>0.22890909090909092</v>
      </c>
      <c r="N104" s="1139">
        <f>1.0072/N101</f>
        <v>0.22890909090909092</v>
      </c>
    </row>
    <row r="105" spans="1:14">
      <c r="A105" s="4102"/>
      <c r="B105" s="1138">
        <v>4</v>
      </c>
      <c r="C105" s="1139">
        <f>0.9622/C101</f>
        <v>0.21868181818181817</v>
      </c>
      <c r="D105" s="1139">
        <f>0.9622/D101</f>
        <v>0.21868181818181817</v>
      </c>
      <c r="E105" s="1139">
        <f>0.8656/E101</f>
        <v>0.19672727272727272</v>
      </c>
      <c r="F105" s="1139">
        <f>0.8656/F101</f>
        <v>0.19672727272727272</v>
      </c>
      <c r="G105" s="1139">
        <f>0.8656/G101</f>
        <v>0.19672727272727272</v>
      </c>
      <c r="H105" s="1139">
        <f>0.8656/H101</f>
        <v>0.19672727272727272</v>
      </c>
      <c r="I105" s="1139">
        <f>0.8656/I101</f>
        <v>0.19672727272727272</v>
      </c>
      <c r="J105" s="1139">
        <f>0.7525/J101</f>
        <v>0.17102272727272724</v>
      </c>
      <c r="K105" s="1139">
        <f>0.7525/K101</f>
        <v>0.17102272727272724</v>
      </c>
      <c r="L105" s="1139">
        <f>0.7525/L101</f>
        <v>0.17102272727272724</v>
      </c>
      <c r="M105" s="1139">
        <f>0.7525/M101</f>
        <v>0.17102272727272724</v>
      </c>
      <c r="N105" s="1139">
        <f>0.7525/N101</f>
        <v>0.17102272727272724</v>
      </c>
    </row>
    <row r="106" spans="1:14">
      <c r="A106" s="4102"/>
      <c r="B106" s="1138">
        <v>5</v>
      </c>
      <c r="C106" s="1139">
        <f>0.8417/C101</f>
        <v>0.19129545454545452</v>
      </c>
      <c r="D106" s="1139">
        <f>0.8417/D101</f>
        <v>0.19129545454545452</v>
      </c>
      <c r="E106" s="1139">
        <f>0.7371/E101</f>
        <v>0.16752272727272727</v>
      </c>
      <c r="F106" s="1139">
        <f>0.7371/F101</f>
        <v>0.16752272727272727</v>
      </c>
      <c r="G106" s="1139">
        <f>0.7371/G101</f>
        <v>0.16752272727272727</v>
      </c>
      <c r="H106" s="1139">
        <f>0.7371/H101</f>
        <v>0.16752272727272727</v>
      </c>
      <c r="I106" s="1139">
        <f>0.7371/I101</f>
        <v>0.16752272727272727</v>
      </c>
      <c r="J106" s="1139">
        <f>0.5659/J101</f>
        <v>0.12861363636363635</v>
      </c>
      <c r="K106" s="1139">
        <f>0.5659/K101</f>
        <v>0.12861363636363635</v>
      </c>
      <c r="L106" s="1139">
        <f>0.5659/L101</f>
        <v>0.12861363636363635</v>
      </c>
      <c r="M106" s="1139">
        <f>0.5659/M101</f>
        <v>0.12861363636363635</v>
      </c>
      <c r="N106" s="1139">
        <f>0.5659/N101</f>
        <v>0.12861363636363635</v>
      </c>
    </row>
    <row r="107" spans="1:14">
      <c r="A107" s="4102"/>
      <c r="B107" s="1138">
        <v>6</v>
      </c>
      <c r="C107" s="1139">
        <f>0.7608/C101</f>
        <v>0.1729090909090909</v>
      </c>
      <c r="D107" s="1139">
        <f>0.7608/D101</f>
        <v>0.1729090909090909</v>
      </c>
      <c r="E107" s="1139">
        <f>0.6482/E101</f>
        <v>0.14731818181818179</v>
      </c>
      <c r="F107" s="1139">
        <f>0.6482/F101</f>
        <v>0.14731818181818179</v>
      </c>
      <c r="G107" s="1139">
        <f>0.6482/G101</f>
        <v>0.14731818181818179</v>
      </c>
      <c r="H107" s="1139">
        <f>0.6482/H101</f>
        <v>0.14731818181818179</v>
      </c>
      <c r="I107" s="1139">
        <f>0.6482/I101</f>
        <v>0.14731818181818179</v>
      </c>
      <c r="J107" s="1139">
        <f>0.4525/J101</f>
        <v>0.10284090909090908</v>
      </c>
      <c r="K107" s="1139">
        <f>0.4525/K101</f>
        <v>0.10284090909090908</v>
      </c>
      <c r="L107" s="1139">
        <f>0.4525/L101</f>
        <v>0.10284090909090908</v>
      </c>
      <c r="M107" s="1139">
        <f>0.4525/M101</f>
        <v>0.10284090909090908</v>
      </c>
      <c r="N107" s="1139">
        <f>0.4525/N101</f>
        <v>0.10284090909090908</v>
      </c>
    </row>
    <row r="108" spans="1:14">
      <c r="A108" s="4102"/>
      <c r="B108" s="4104"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103"/>
      <c r="B109" s="4105"/>
      <c r="C109" s="1141">
        <f>(-0.163*(C108^2)-0.59*C108+7617)*(10^(-4))/C101</f>
        <v>0.17276927272727272</v>
      </c>
      <c r="D109" s="1141">
        <f>(-0.163*(D108^2)-0.59*D108+7617)*(10^(-4))/D101</f>
        <v>0.17276927272727272</v>
      </c>
      <c r="E109" s="1141">
        <f>(-0.161*(E108^2)-7.509*E108+6533)*(10^(-4))/E101</f>
        <v>0.14687781818181816</v>
      </c>
      <c r="F109" s="1141">
        <f>(-0.161*(F108^2)-7.509*F108+6533)*(10^(-4))/F101</f>
        <v>0.14687781818181816</v>
      </c>
      <c r="G109" s="1141">
        <f>(-0.161*(G108^2)-7.509*G108+6533)*(10^(-4))/G101</f>
        <v>0.14687781818181816</v>
      </c>
      <c r="H109" s="1141">
        <f>(-0.161*(H108^2)-7.509*H108+6533)*(10^(-4))/H101</f>
        <v>0.14687781818181816</v>
      </c>
      <c r="I109" s="1141">
        <f>(-0.161*(I108^2)-7.509*I108+6533)*(10^(-4))/I101</f>
        <v>0.14687781818181816</v>
      </c>
      <c r="J109" s="1141">
        <f>(-0.214*(J108^2)-21.991*J108+4665)*(10^(-4))/J101</f>
        <v>0.10171309090909091</v>
      </c>
      <c r="K109" s="1141">
        <f>(-0.214*(K108^2)-21.991*K108+4665)*(10^(-4))/K101</f>
        <v>0.10171309090909091</v>
      </c>
      <c r="L109" s="1141">
        <f>(-0.214*(L108^2)-21.991*L108+4665)*(10^(-4))/L101</f>
        <v>0.10171309090909091</v>
      </c>
      <c r="M109" s="1141">
        <f>(-0.214*(M108^2)-21.991*M108+4665)*(10^(-4))/M101</f>
        <v>0.10171309090909091</v>
      </c>
      <c r="N109" s="1141">
        <f>(-0.214*(N108^2)-21.991*N108+4665)*(10^(-4))/N101</f>
        <v>0.10171309090909091</v>
      </c>
    </row>
    <row r="110" spans="1:14">
      <c r="A110" s="4087" t="s">
        <v>1639</v>
      </c>
      <c r="B110" s="4087"/>
      <c r="C110" s="4087"/>
      <c r="D110" s="4087"/>
      <c r="E110" s="4087"/>
      <c r="F110" s="4087"/>
      <c r="G110" s="4087"/>
      <c r="H110" s="4087"/>
      <c r="I110" s="4087"/>
      <c r="J110" s="4087"/>
      <c r="K110" s="2411"/>
      <c r="L110" s="2411"/>
      <c r="M110" s="2411"/>
      <c r="N110" s="2411"/>
    </row>
    <row r="112" spans="1:14" ht="12.75" thickBot="1"/>
    <row r="113" spans="1:13" ht="25.5" thickBot="1">
      <c r="A113" s="1015" t="s">
        <v>896</v>
      </c>
      <c r="B113" s="2414">
        <f>G3</f>
        <v>4.4000000000000004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0.8921</v>
      </c>
      <c r="C115" s="1029">
        <f>B115</f>
        <v>0.8921</v>
      </c>
      <c r="D115" s="1029">
        <f>ROUND(0.8331-0.0109*B113,4)</f>
        <v>0.78510000000000002</v>
      </c>
      <c r="E115" s="1029">
        <f>D115</f>
        <v>0.78510000000000002</v>
      </c>
      <c r="F115" s="1029">
        <f>E115</f>
        <v>0.78510000000000002</v>
      </c>
      <c r="G115" s="1029">
        <f>F115</f>
        <v>0.78510000000000002</v>
      </c>
      <c r="H115" s="1029">
        <f>G115</f>
        <v>0.78510000000000002</v>
      </c>
      <c r="I115" s="1029">
        <f>ROUND(0.689-0.0155*B113,4)</f>
        <v>0.62080000000000002</v>
      </c>
      <c r="J115" s="1029">
        <f t="shared" ref="J115:M118" si="33">I115</f>
        <v>0.62080000000000002</v>
      </c>
      <c r="K115" s="1029">
        <f t="shared" si="33"/>
        <v>0.62080000000000002</v>
      </c>
      <c r="L115" s="1029">
        <f t="shared" si="33"/>
        <v>0.62080000000000002</v>
      </c>
      <c r="M115" s="1030">
        <f t="shared" si="33"/>
        <v>0.62080000000000002</v>
      </c>
    </row>
    <row r="116" spans="1:13" ht="12.75">
      <c r="A116" s="1028" t="s">
        <v>901</v>
      </c>
      <c r="B116" s="1029">
        <f>ROUND(0.949-0.012*B113,4)</f>
        <v>0.8962</v>
      </c>
      <c r="C116" s="1029">
        <f>B116</f>
        <v>0.8962</v>
      </c>
      <c r="D116" s="1029">
        <f>ROUND(0.8567-0.013*B113,4)</f>
        <v>0.79949999999999999</v>
      </c>
      <c r="E116" s="1029">
        <f t="shared" ref="E116:H117" si="34">D116</f>
        <v>0.79949999999999999</v>
      </c>
      <c r="F116" s="1029">
        <f t="shared" si="34"/>
        <v>0.79949999999999999</v>
      </c>
      <c r="G116" s="1029">
        <f t="shared" si="34"/>
        <v>0.79949999999999999</v>
      </c>
      <c r="H116" s="1029">
        <f t="shared" si="34"/>
        <v>0.79949999999999999</v>
      </c>
      <c r="I116" s="1029">
        <f>ROUND(0.7694-0.014*B113,4)</f>
        <v>0.70779999999999998</v>
      </c>
      <c r="J116" s="1029">
        <f t="shared" si="33"/>
        <v>0.70779999999999998</v>
      </c>
      <c r="K116" s="1029">
        <f t="shared" si="33"/>
        <v>0.70779999999999998</v>
      </c>
      <c r="L116" s="1029">
        <f t="shared" si="33"/>
        <v>0.70779999999999998</v>
      </c>
      <c r="M116" s="1030">
        <f t="shared" si="33"/>
        <v>0.70779999999999998</v>
      </c>
    </row>
    <row r="117" spans="1:13" ht="12.75">
      <c r="A117" s="1031" t="s">
        <v>902</v>
      </c>
      <c r="B117" s="1029">
        <f>ROUND(0.8808-0.006*B113,4)</f>
        <v>0.85440000000000005</v>
      </c>
      <c r="C117" s="1029">
        <f>B117</f>
        <v>0.85440000000000005</v>
      </c>
      <c r="D117" s="1029">
        <f>ROUND(0.8748-0.008*B113,4)</f>
        <v>0.83960000000000001</v>
      </c>
      <c r="E117" s="1029">
        <f t="shared" si="34"/>
        <v>0.83960000000000001</v>
      </c>
      <c r="F117" s="1029">
        <f t="shared" si="34"/>
        <v>0.83960000000000001</v>
      </c>
      <c r="G117" s="1029">
        <f t="shared" si="34"/>
        <v>0.83960000000000001</v>
      </c>
      <c r="H117" s="1029">
        <f t="shared" si="34"/>
        <v>0.83960000000000001</v>
      </c>
      <c r="I117" s="1029">
        <f>ROUND(0.7412-0.0095*B113,4)</f>
        <v>0.69940000000000002</v>
      </c>
      <c r="J117" s="1029">
        <f t="shared" si="33"/>
        <v>0.69940000000000002</v>
      </c>
      <c r="K117" s="1029">
        <f t="shared" si="33"/>
        <v>0.69940000000000002</v>
      </c>
      <c r="L117" s="1029">
        <f t="shared" si="33"/>
        <v>0.69940000000000002</v>
      </c>
      <c r="M117" s="1030">
        <f t="shared" si="33"/>
        <v>0.69940000000000002</v>
      </c>
    </row>
    <row r="118" spans="1:13" ht="13.5" thickBot="1">
      <c r="A118" s="1032" t="s">
        <v>903</v>
      </c>
      <c r="B118" s="1033">
        <f>ROUND(0.7275-0.01*B113,4)</f>
        <v>0.6835</v>
      </c>
      <c r="C118" s="1033">
        <f>B118</f>
        <v>0.6835</v>
      </c>
      <c r="D118" s="1033">
        <f>ROUND(0.7043-0.012*B113,4)</f>
        <v>0.65149999999999997</v>
      </c>
      <c r="E118" s="1033">
        <f>D118</f>
        <v>0.65149999999999997</v>
      </c>
      <c r="F118" s="1033">
        <f>E118</f>
        <v>0.65149999999999997</v>
      </c>
      <c r="G118" s="1033">
        <f>ROUND(0.6299-0.0122*B113,4)</f>
        <v>0.57620000000000005</v>
      </c>
      <c r="H118" s="1033">
        <f>G118</f>
        <v>0.57620000000000005</v>
      </c>
      <c r="I118" s="1033">
        <f>ROUND(0.5667-0.0136*B113,4)</f>
        <v>0.50690000000000002</v>
      </c>
      <c r="J118" s="1033">
        <f t="shared" si="33"/>
        <v>0.50690000000000002</v>
      </c>
      <c r="K118" s="1033">
        <f t="shared" si="33"/>
        <v>0.50690000000000002</v>
      </c>
      <c r="L118" s="1033">
        <f t="shared" si="33"/>
        <v>0.50690000000000002</v>
      </c>
      <c r="M118" s="1034">
        <f t="shared" si="33"/>
        <v>0.50690000000000002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094" t="s">
        <v>1007</v>
      </c>
      <c r="B18" s="1149" t="s">
        <v>1446</v>
      </c>
      <c r="C18" s="1126" t="s">
        <v>1447</v>
      </c>
      <c r="D18" s="1127"/>
      <c r="E18" s="1149">
        <v>1</v>
      </c>
      <c r="F18" s="1128" t="s">
        <v>1448</v>
      </c>
      <c r="G18" s="1129"/>
      <c r="H18" s="1100"/>
      <c r="I18" s="1100"/>
    </row>
    <row r="19" spans="1:9" s="1583" customFormat="1" ht="19.5" customHeight="1">
      <c r="A19" s="4094"/>
      <c r="B19" s="4094" t="s">
        <v>1449</v>
      </c>
      <c r="C19" s="1126" t="s">
        <v>1450</v>
      </c>
      <c r="D19" s="1127"/>
      <c r="E19" s="1149">
        <v>0.9</v>
      </c>
      <c r="F19" s="1128" t="s">
        <v>1451</v>
      </c>
      <c r="G19" s="1129"/>
      <c r="H19" s="1100"/>
      <c r="I19" s="1100"/>
    </row>
    <row r="20" spans="1:9" s="1583" customFormat="1" ht="19.5" customHeight="1">
      <c r="A20" s="4094"/>
      <c r="B20" s="4094"/>
      <c r="C20" s="1126" t="s">
        <v>1452</v>
      </c>
      <c r="D20" s="1127"/>
      <c r="E20" s="1149">
        <v>1.1000000000000001</v>
      </c>
      <c r="F20" s="1128" t="s">
        <v>1453</v>
      </c>
      <c r="G20" s="1129"/>
      <c r="H20" s="1100"/>
      <c r="I20" s="1100"/>
    </row>
    <row r="21" spans="1:9" s="1583" customFormat="1" ht="19.5" customHeight="1">
      <c r="A21" s="4094"/>
      <c r="B21" s="4094"/>
      <c r="C21" s="1126" t="s">
        <v>1454</v>
      </c>
      <c r="D21" s="1127"/>
      <c r="E21" s="1149">
        <v>0.8</v>
      </c>
      <c r="F21" s="1128" t="s">
        <v>1455</v>
      </c>
      <c r="G21" s="1129"/>
      <c r="H21" s="1100"/>
      <c r="I21" s="1100"/>
    </row>
    <row r="22" spans="1:9" s="1583" customFormat="1" ht="19.5" customHeight="1">
      <c r="A22" s="4094"/>
      <c r="B22" s="4094"/>
      <c r="C22" s="1126" t="s">
        <v>1456</v>
      </c>
      <c r="D22" s="1127"/>
      <c r="E22" s="1149">
        <v>0.5</v>
      </c>
      <c r="F22" s="1128"/>
      <c r="G22" s="1129"/>
      <c r="H22" s="1100"/>
      <c r="I22" s="1100"/>
    </row>
    <row r="23" spans="1:9" s="1583" customFormat="1" ht="19.5" customHeight="1">
      <c r="A23" s="4094" t="s">
        <v>1029</v>
      </c>
      <c r="B23" s="1149" t="s">
        <v>1446</v>
      </c>
      <c r="C23" s="1126" t="s">
        <v>1457</v>
      </c>
      <c r="D23" s="1127"/>
      <c r="E23" s="1149">
        <v>1</v>
      </c>
      <c r="F23" s="1128" t="s">
        <v>1458</v>
      </c>
      <c r="G23" s="1129"/>
      <c r="H23" s="1100"/>
      <c r="I23" s="1100"/>
    </row>
    <row r="24" spans="1:9" s="1583" customFormat="1" ht="19.5" customHeight="1">
      <c r="A24" s="4094"/>
      <c r="B24" s="4094" t="s">
        <v>1449</v>
      </c>
      <c r="C24" s="1126" t="s">
        <v>1459</v>
      </c>
      <c r="D24" s="1127"/>
      <c r="E24" s="1149">
        <v>0.5</v>
      </c>
      <c r="F24" s="1128"/>
      <c r="G24" s="1129"/>
      <c r="H24" s="1100"/>
      <c r="I24" s="1100"/>
    </row>
    <row r="25" spans="1:9" s="1583" customFormat="1" ht="19.5" customHeight="1">
      <c r="A25" s="4094"/>
      <c r="B25" s="4094"/>
      <c r="C25" s="1126" t="s">
        <v>1460</v>
      </c>
      <c r="D25" s="1127"/>
      <c r="E25" s="1149">
        <v>1.1000000000000001</v>
      </c>
      <c r="F25" s="1128"/>
      <c r="G25" s="1129"/>
      <c r="H25" s="1100"/>
      <c r="I25" s="1100"/>
    </row>
    <row r="26" spans="1:9" s="1583" customFormat="1" ht="19.5" customHeight="1">
      <c r="A26" s="4094"/>
      <c r="B26" s="4094"/>
      <c r="C26" s="1126" t="s">
        <v>1461</v>
      </c>
      <c r="D26" s="1127"/>
      <c r="E26" s="1149">
        <v>1.1000000000000001</v>
      </c>
      <c r="F26" s="1128"/>
      <c r="G26" s="1129"/>
      <c r="H26" s="1100"/>
      <c r="I26" s="1100"/>
    </row>
    <row r="27" spans="1:9" s="1583" customFormat="1" ht="19.5" customHeight="1">
      <c r="A27" s="4094"/>
      <c r="B27" s="4094"/>
      <c r="C27" s="1126" t="s">
        <v>1462</v>
      </c>
      <c r="D27" s="1127"/>
      <c r="E27" s="1149">
        <v>0.9</v>
      </c>
      <c r="F27" s="1128" t="s">
        <v>1463</v>
      </c>
      <c r="G27" s="1129"/>
      <c r="H27" s="1100"/>
      <c r="I27" s="1100"/>
    </row>
    <row r="28" spans="1:9" s="1583" customFormat="1" ht="19.5" customHeight="1">
      <c r="A28" s="4094"/>
      <c r="B28" s="4094"/>
      <c r="C28" s="1126" t="s">
        <v>1464</v>
      </c>
      <c r="D28" s="1127"/>
      <c r="E28" s="1149">
        <v>0.9</v>
      </c>
      <c r="F28" s="1128" t="s">
        <v>1465</v>
      </c>
      <c r="G28" s="1129"/>
      <c r="H28" s="1100"/>
      <c r="I28" s="1100"/>
    </row>
    <row r="29" spans="1:9" s="1583" customFormat="1" ht="19.5" customHeight="1">
      <c r="A29" s="4094"/>
      <c r="B29" s="4094"/>
      <c r="C29" s="1126" t="s">
        <v>1466</v>
      </c>
      <c r="D29" s="1127"/>
      <c r="E29" s="1149">
        <v>0.9</v>
      </c>
      <c r="F29" s="1128" t="s">
        <v>1467</v>
      </c>
      <c r="G29" s="1129"/>
      <c r="H29" s="1100"/>
      <c r="I29" s="1100"/>
    </row>
    <row r="30" spans="1:9" s="1583" customFormat="1" ht="19.5" customHeight="1">
      <c r="A30" s="4094"/>
      <c r="B30" s="4094"/>
      <c r="C30" s="1126" t="s">
        <v>1468</v>
      </c>
      <c r="D30" s="1127"/>
      <c r="E30" s="1149">
        <v>0.9</v>
      </c>
      <c r="F30" s="1128" t="s">
        <v>1469</v>
      </c>
      <c r="G30" s="1129"/>
      <c r="H30" s="1100"/>
      <c r="I30" s="1100"/>
    </row>
    <row r="31" spans="1:9" s="1583" customFormat="1" ht="19.5" customHeight="1">
      <c r="A31" s="4094"/>
      <c r="B31" s="4094"/>
      <c r="C31" s="1126" t="s">
        <v>1470</v>
      </c>
      <c r="D31" s="1127"/>
      <c r="E31" s="1149">
        <v>0.8</v>
      </c>
      <c r="F31" s="1128" t="s">
        <v>1471</v>
      </c>
      <c r="G31" s="1129"/>
      <c r="H31" s="1100"/>
      <c r="I31" s="1100"/>
    </row>
    <row r="32" spans="1:9" s="1583" customFormat="1" ht="19.5" customHeight="1">
      <c r="A32" s="4094"/>
      <c r="B32" s="4094"/>
      <c r="C32" s="1126" t="s">
        <v>1472</v>
      </c>
      <c r="D32" s="1127"/>
      <c r="E32" s="1149">
        <v>0.8</v>
      </c>
      <c r="F32" s="1128" t="s">
        <v>1473</v>
      </c>
      <c r="G32" s="1129"/>
      <c r="H32" s="1100"/>
      <c r="I32" s="1100"/>
    </row>
    <row r="33" spans="1:9" s="1583" customFormat="1" ht="19.5" customHeight="1">
      <c r="A33" s="4094" t="s">
        <v>1474</v>
      </c>
      <c r="B33" s="1149" t="s">
        <v>1446</v>
      </c>
      <c r="C33" s="1126" t="s">
        <v>1475</v>
      </c>
      <c r="D33" s="1127"/>
      <c r="E33" s="1149">
        <v>1</v>
      </c>
      <c r="F33" s="1128" t="s">
        <v>1476</v>
      </c>
      <c r="G33" s="1129"/>
      <c r="H33" s="1100"/>
      <c r="I33" s="1100"/>
    </row>
    <row r="34" spans="1:9" s="1583" customFormat="1" ht="19.5" customHeight="1">
      <c r="A34" s="4094"/>
      <c r="B34" s="1149" t="s">
        <v>1449</v>
      </c>
      <c r="C34" s="1126" t="s">
        <v>1477</v>
      </c>
      <c r="D34" s="1127"/>
      <c r="E34" s="1149">
        <v>1.5</v>
      </c>
      <c r="F34" s="1128" t="s">
        <v>1478</v>
      </c>
      <c r="G34" s="1129"/>
      <c r="H34" s="1100"/>
      <c r="I34" s="1100"/>
    </row>
    <row r="35" spans="1:9" s="1583" customFormat="1" ht="19.5" customHeight="1">
      <c r="A35" s="4094" t="s">
        <v>1432</v>
      </c>
      <c r="B35" s="1149" t="s">
        <v>1446</v>
      </c>
      <c r="C35" s="1126" t="s">
        <v>1479</v>
      </c>
      <c r="D35" s="1127"/>
      <c r="E35" s="1149">
        <v>1</v>
      </c>
      <c r="F35" s="1128" t="s">
        <v>1480</v>
      </c>
      <c r="G35" s="1129"/>
      <c r="H35" s="1100"/>
      <c r="I35" s="1100"/>
    </row>
    <row r="36" spans="1:9" s="1583" customFormat="1" ht="19.5" customHeight="1">
      <c r="A36" s="4094"/>
      <c r="B36" s="4094" t="s">
        <v>1449</v>
      </c>
      <c r="C36" s="1126" t="s">
        <v>1481</v>
      </c>
      <c r="D36" s="1127"/>
      <c r="E36" s="1149">
        <v>1</v>
      </c>
      <c r="F36" s="1128" t="s">
        <v>1482</v>
      </c>
      <c r="G36" s="1129"/>
      <c r="H36" s="1100"/>
      <c r="I36" s="1100"/>
    </row>
    <row r="37" spans="1:9" s="1583" customFormat="1" ht="19.5" customHeight="1">
      <c r="A37" s="4094"/>
      <c r="B37" s="4094"/>
      <c r="C37" s="1126" t="s">
        <v>1483</v>
      </c>
      <c r="D37" s="1127"/>
      <c r="E37" s="1149">
        <v>1.5</v>
      </c>
      <c r="F37" s="1128" t="s">
        <v>1484</v>
      </c>
      <c r="G37" s="1129"/>
      <c r="H37" s="1100"/>
      <c r="I37" s="1100"/>
    </row>
    <row r="38" spans="1:9" s="1583" customFormat="1" ht="19.5" customHeight="1">
      <c r="A38" s="4094"/>
      <c r="B38" s="4094"/>
      <c r="C38" s="1126" t="s">
        <v>1485</v>
      </c>
      <c r="D38" s="1127"/>
      <c r="E38" s="1149">
        <v>1</v>
      </c>
      <c r="F38" s="1128" t="s">
        <v>1486</v>
      </c>
      <c r="G38" s="1129"/>
      <c r="H38" s="1100"/>
      <c r="I38" s="1100"/>
    </row>
    <row r="39" spans="1:9" s="1583" customFormat="1" ht="19.5" customHeight="1">
      <c r="A39" s="4094"/>
      <c r="B39" s="4094"/>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094" t="s">
        <v>1501</v>
      </c>
      <c r="C61" s="1063" t="s">
        <v>1502</v>
      </c>
      <c r="D61" s="1063" t="s">
        <v>1503</v>
      </c>
      <c r="E61" s="1134">
        <v>0.5</v>
      </c>
      <c r="F61" s="1149">
        <v>80</v>
      </c>
      <c r="H61" s="1100">
        <f>SUMIF(C59:C119,基准地价!C8,E59:E119)</f>
        <v>0</v>
      </c>
    </row>
    <row r="62" spans="1:8" s="1100" customFormat="1" ht="24">
      <c r="A62" s="1149">
        <v>2</v>
      </c>
      <c r="B62" s="4094"/>
      <c r="C62" s="1063" t="s">
        <v>1504</v>
      </c>
      <c r="D62" s="1063" t="s">
        <v>1505</v>
      </c>
      <c r="E62" s="1134">
        <v>0.5</v>
      </c>
      <c r="F62" s="1149">
        <v>80</v>
      </c>
    </row>
    <row r="63" spans="1:8" s="1100" customFormat="1" ht="36">
      <c r="A63" s="1149">
        <v>3</v>
      </c>
      <c r="B63" s="4094"/>
      <c r="C63" s="1063" t="s">
        <v>1506</v>
      </c>
      <c r="D63" s="1063" t="s">
        <v>1507</v>
      </c>
      <c r="E63" s="1134">
        <v>0.5</v>
      </c>
      <c r="F63" s="1149">
        <v>80</v>
      </c>
    </row>
    <row r="64" spans="1:8" s="1100" customFormat="1" ht="36">
      <c r="A64" s="1149">
        <v>4</v>
      </c>
      <c r="B64" s="4094"/>
      <c r="C64" s="1063" t="s">
        <v>1508</v>
      </c>
      <c r="D64" s="1063" t="s">
        <v>1509</v>
      </c>
      <c r="E64" s="1134">
        <v>0.4</v>
      </c>
      <c r="F64" s="1149">
        <v>60</v>
      </c>
    </row>
    <row r="65" spans="1:6" s="1100" customFormat="1" ht="36">
      <c r="A65" s="1149">
        <v>5</v>
      </c>
      <c r="B65" s="4094"/>
      <c r="C65" s="1063" t="s">
        <v>1510</v>
      </c>
      <c r="D65" s="1063" t="s">
        <v>1511</v>
      </c>
      <c r="E65" s="1134">
        <v>0.2</v>
      </c>
      <c r="F65" s="1149">
        <v>30</v>
      </c>
    </row>
    <row r="66" spans="1:6" s="1100" customFormat="1" ht="36">
      <c r="A66" s="1149">
        <v>6</v>
      </c>
      <c r="B66" s="4094"/>
      <c r="C66" s="1063" t="s">
        <v>1512</v>
      </c>
      <c r="D66" s="1063" t="s">
        <v>1513</v>
      </c>
      <c r="E66" s="1134">
        <v>0.3</v>
      </c>
      <c r="F66" s="1149">
        <v>50</v>
      </c>
    </row>
    <row r="67" spans="1:6" s="1100" customFormat="1" ht="36">
      <c r="A67" s="1149">
        <v>7</v>
      </c>
      <c r="B67" s="4094"/>
      <c r="C67" s="1063" t="s">
        <v>1514</v>
      </c>
      <c r="D67" s="1063" t="s">
        <v>1515</v>
      </c>
      <c r="E67" s="1134">
        <v>0.2</v>
      </c>
      <c r="F67" s="1149">
        <v>30</v>
      </c>
    </row>
    <row r="68" spans="1:6" s="1100" customFormat="1" ht="36">
      <c r="A68" s="1149">
        <v>8</v>
      </c>
      <c r="B68" s="4094"/>
      <c r="C68" s="1063" t="s">
        <v>1516</v>
      </c>
      <c r="D68" s="1063" t="s">
        <v>1517</v>
      </c>
      <c r="E68" s="1134">
        <v>0.2</v>
      </c>
      <c r="F68" s="1149">
        <v>30</v>
      </c>
    </row>
    <row r="69" spans="1:6" s="1100" customFormat="1" ht="36">
      <c r="A69" s="1149">
        <v>9</v>
      </c>
      <c r="B69" s="4094"/>
      <c r="C69" s="1063" t="s">
        <v>1518</v>
      </c>
      <c r="D69" s="1063" t="s">
        <v>1519</v>
      </c>
      <c r="E69" s="1134">
        <v>0.2</v>
      </c>
      <c r="F69" s="1149">
        <v>30</v>
      </c>
    </row>
    <row r="70" spans="1:6" s="1100" customFormat="1" ht="48">
      <c r="A70" s="1149">
        <v>10</v>
      </c>
      <c r="B70" s="4094"/>
      <c r="C70" s="1063" t="s">
        <v>1520</v>
      </c>
      <c r="D70" s="1063" t="s">
        <v>1521</v>
      </c>
      <c r="E70" s="1134">
        <v>0.2</v>
      </c>
      <c r="F70" s="1149">
        <v>30</v>
      </c>
    </row>
    <row r="71" spans="1:6" s="1100" customFormat="1" ht="48">
      <c r="A71" s="1149">
        <v>11</v>
      </c>
      <c r="B71" s="4094"/>
      <c r="C71" s="1063" t="s">
        <v>1522</v>
      </c>
      <c r="D71" s="1063" t="s">
        <v>1523</v>
      </c>
      <c r="E71" s="1134">
        <v>0.2</v>
      </c>
      <c r="F71" s="1149">
        <v>30</v>
      </c>
    </row>
    <row r="72" spans="1:6" s="1100" customFormat="1" ht="36">
      <c r="A72" s="1149">
        <v>12</v>
      </c>
      <c r="B72" s="4094"/>
      <c r="C72" s="1063" t="s">
        <v>1524</v>
      </c>
      <c r="D72" s="1063" t="s">
        <v>1525</v>
      </c>
      <c r="E72" s="1134">
        <v>0.5</v>
      </c>
      <c r="F72" s="1149">
        <v>80</v>
      </c>
    </row>
    <row r="73" spans="1:6" s="1100" customFormat="1" ht="24">
      <c r="A73" s="1149">
        <v>13</v>
      </c>
      <c r="B73" s="4094"/>
      <c r="C73" s="1063" t="s">
        <v>1526</v>
      </c>
      <c r="D73" s="1063" t="s">
        <v>1527</v>
      </c>
      <c r="E73" s="1134">
        <v>0.4</v>
      </c>
      <c r="F73" s="1149">
        <v>60</v>
      </c>
    </row>
    <row r="74" spans="1:6" s="1100" customFormat="1" ht="24">
      <c r="A74" s="1149">
        <v>14</v>
      </c>
      <c r="B74" s="4094"/>
      <c r="C74" s="1063" t="s">
        <v>1528</v>
      </c>
      <c r="D74" s="1063" t="s">
        <v>1529</v>
      </c>
      <c r="E74" s="1134">
        <v>0.2</v>
      </c>
      <c r="F74" s="1149">
        <v>30</v>
      </c>
    </row>
    <row r="75" spans="1:6" s="1100" customFormat="1" ht="24">
      <c r="A75" s="1149">
        <v>15</v>
      </c>
      <c r="B75" s="4094"/>
      <c r="C75" s="1063" t="s">
        <v>1530</v>
      </c>
      <c r="D75" s="1063" t="s">
        <v>1531</v>
      </c>
      <c r="E75" s="1134">
        <v>0.2</v>
      </c>
      <c r="F75" s="1149">
        <v>30</v>
      </c>
    </row>
    <row r="76" spans="1:6" s="1100" customFormat="1" ht="24">
      <c r="A76" s="1149">
        <v>16</v>
      </c>
      <c r="B76" s="4094" t="s">
        <v>1532</v>
      </c>
      <c r="C76" s="1063" t="s">
        <v>1533</v>
      </c>
      <c r="D76" s="1063" t="s">
        <v>1534</v>
      </c>
      <c r="E76" s="1134">
        <v>0.5</v>
      </c>
      <c r="F76" s="1149">
        <v>80</v>
      </c>
    </row>
    <row r="77" spans="1:6" s="1100" customFormat="1" ht="24">
      <c r="A77" s="1149">
        <v>17</v>
      </c>
      <c r="B77" s="4094"/>
      <c r="C77" s="1063" t="s">
        <v>1535</v>
      </c>
      <c r="D77" s="1063" t="s">
        <v>1536</v>
      </c>
      <c r="E77" s="1134">
        <v>0.5</v>
      </c>
      <c r="F77" s="1149">
        <v>80</v>
      </c>
    </row>
    <row r="78" spans="1:6" s="1100" customFormat="1" ht="24">
      <c r="A78" s="1149">
        <v>18</v>
      </c>
      <c r="B78" s="4094"/>
      <c r="C78" s="1063" t="s">
        <v>1537</v>
      </c>
      <c r="D78" s="1063" t="s">
        <v>1538</v>
      </c>
      <c r="E78" s="1134">
        <v>0.2</v>
      </c>
      <c r="F78" s="1149">
        <v>30</v>
      </c>
    </row>
    <row r="79" spans="1:6" s="1100" customFormat="1" ht="24">
      <c r="A79" s="1149">
        <v>19</v>
      </c>
      <c r="B79" s="4094"/>
      <c r="C79" s="1063" t="s">
        <v>1539</v>
      </c>
      <c r="D79" s="1063" t="s">
        <v>1540</v>
      </c>
      <c r="E79" s="1134">
        <v>0.5</v>
      </c>
      <c r="F79" s="1149">
        <v>80</v>
      </c>
    </row>
    <row r="80" spans="1:6" s="1100" customFormat="1" ht="36">
      <c r="A80" s="1149">
        <v>20</v>
      </c>
      <c r="B80" s="4094"/>
      <c r="C80" s="1063" t="s">
        <v>1541</v>
      </c>
      <c r="D80" s="1063" t="s">
        <v>1542</v>
      </c>
      <c r="E80" s="1134">
        <v>0.2</v>
      </c>
      <c r="F80" s="1149">
        <v>30</v>
      </c>
    </row>
    <row r="81" spans="1:6" s="1100" customFormat="1" ht="36">
      <c r="A81" s="1149">
        <v>21</v>
      </c>
      <c r="B81" s="4094"/>
      <c r="C81" s="1063" t="s">
        <v>1543</v>
      </c>
      <c r="D81" s="1063" t="s">
        <v>1544</v>
      </c>
      <c r="E81" s="1134">
        <v>0.2</v>
      </c>
      <c r="F81" s="1149">
        <v>30</v>
      </c>
    </row>
    <row r="82" spans="1:6" s="1100" customFormat="1" ht="48">
      <c r="A82" s="1149">
        <v>22</v>
      </c>
      <c r="B82" s="4094"/>
      <c r="C82" s="1063" t="s">
        <v>1545</v>
      </c>
      <c r="D82" s="1063" t="s">
        <v>1546</v>
      </c>
      <c r="E82" s="1134">
        <v>0.2</v>
      </c>
      <c r="F82" s="1149">
        <v>30</v>
      </c>
    </row>
    <row r="83" spans="1:6" s="1100" customFormat="1" ht="48">
      <c r="A83" s="1149">
        <v>23</v>
      </c>
      <c r="B83" s="4094"/>
      <c r="C83" s="1063" t="s">
        <v>1547</v>
      </c>
      <c r="D83" s="1063" t="s">
        <v>1548</v>
      </c>
      <c r="E83" s="1134">
        <v>0.2</v>
      </c>
      <c r="F83" s="1149">
        <v>30</v>
      </c>
    </row>
    <row r="84" spans="1:6" s="1100" customFormat="1" ht="36">
      <c r="A84" s="1149">
        <v>24</v>
      </c>
      <c r="B84" s="4094"/>
      <c r="C84" s="1063" t="s">
        <v>1549</v>
      </c>
      <c r="D84" s="1063" t="s">
        <v>1550</v>
      </c>
      <c r="E84" s="1134">
        <v>0.2</v>
      </c>
      <c r="F84" s="1149">
        <v>30</v>
      </c>
    </row>
    <row r="85" spans="1:6" s="1100" customFormat="1" ht="36">
      <c r="A85" s="1149">
        <v>25</v>
      </c>
      <c r="B85" s="4094"/>
      <c r="C85" s="1063" t="s">
        <v>1551</v>
      </c>
      <c r="D85" s="1063" t="s">
        <v>1552</v>
      </c>
      <c r="E85" s="1134">
        <v>0.5</v>
      </c>
      <c r="F85" s="1149">
        <v>80</v>
      </c>
    </row>
    <row r="86" spans="1:6" s="1100" customFormat="1" ht="36">
      <c r="A86" s="1149">
        <v>26</v>
      </c>
      <c r="B86" s="4094"/>
      <c r="C86" s="1063" t="s">
        <v>1553</v>
      </c>
      <c r="D86" s="1063" t="s">
        <v>1554</v>
      </c>
      <c r="E86" s="1134">
        <v>0.2</v>
      </c>
      <c r="F86" s="1149">
        <v>30</v>
      </c>
    </row>
    <row r="87" spans="1:6" s="1100" customFormat="1" ht="36">
      <c r="A87" s="1149">
        <v>27</v>
      </c>
      <c r="B87" s="4094"/>
      <c r="C87" s="1063" t="s">
        <v>1555</v>
      </c>
      <c r="D87" s="1063" t="s">
        <v>1556</v>
      </c>
      <c r="E87" s="1134">
        <v>0.2</v>
      </c>
      <c r="F87" s="1149">
        <v>30</v>
      </c>
    </row>
    <row r="88" spans="1:6" s="1100" customFormat="1" ht="36">
      <c r="A88" s="1149">
        <v>28</v>
      </c>
      <c r="B88" s="4094"/>
      <c r="C88" s="1063" t="s">
        <v>1557</v>
      </c>
      <c r="D88" s="1063" t="s">
        <v>1558</v>
      </c>
      <c r="E88" s="1134">
        <v>0.2</v>
      </c>
      <c r="F88" s="1149">
        <v>30</v>
      </c>
    </row>
    <row r="89" spans="1:6" s="1100" customFormat="1" ht="24">
      <c r="A89" s="1149">
        <v>29</v>
      </c>
      <c r="B89" s="4094"/>
      <c r="C89" s="1063" t="s">
        <v>1559</v>
      </c>
      <c r="D89" s="1063" t="s">
        <v>1560</v>
      </c>
      <c r="E89" s="1134">
        <v>0.2</v>
      </c>
      <c r="F89" s="1149">
        <v>30</v>
      </c>
    </row>
    <row r="90" spans="1:6" s="1100" customFormat="1" ht="24">
      <c r="A90" s="1149">
        <v>30</v>
      </c>
      <c r="B90" s="4094"/>
      <c r="C90" s="1063" t="s">
        <v>1561</v>
      </c>
      <c r="D90" s="1063" t="s">
        <v>1562</v>
      </c>
      <c r="E90" s="1134">
        <v>0.2</v>
      </c>
      <c r="F90" s="1149">
        <v>30</v>
      </c>
    </row>
    <row r="91" spans="1:6" s="1100" customFormat="1" ht="36">
      <c r="A91" s="1149">
        <v>31</v>
      </c>
      <c r="B91" s="4094"/>
      <c r="C91" s="1063" t="s">
        <v>1563</v>
      </c>
      <c r="D91" s="1063" t="s">
        <v>1564</v>
      </c>
      <c r="E91" s="1134">
        <v>0.2</v>
      </c>
      <c r="F91" s="1149">
        <v>30</v>
      </c>
    </row>
    <row r="92" spans="1:6" s="1100" customFormat="1" ht="24">
      <c r="A92" s="1149">
        <v>32</v>
      </c>
      <c r="B92" s="4094" t="s">
        <v>1565</v>
      </c>
      <c r="C92" s="1149" t="s">
        <v>1566</v>
      </c>
      <c r="D92" s="1063" t="s">
        <v>1567</v>
      </c>
      <c r="E92" s="1134">
        <v>0.2</v>
      </c>
      <c r="F92" s="1149">
        <v>30</v>
      </c>
    </row>
    <row r="93" spans="1:6" s="1100" customFormat="1" ht="36">
      <c r="A93" s="1149">
        <v>33</v>
      </c>
      <c r="B93" s="4094"/>
      <c r="C93" s="1149" t="s">
        <v>1568</v>
      </c>
      <c r="D93" s="1063" t="s">
        <v>1569</v>
      </c>
      <c r="E93" s="1134">
        <v>0.2</v>
      </c>
      <c r="F93" s="1149">
        <v>30</v>
      </c>
    </row>
    <row r="94" spans="1:6" s="1100" customFormat="1" ht="48">
      <c r="A94" s="1149">
        <v>34</v>
      </c>
      <c r="B94" s="4094"/>
      <c r="C94" s="1149" t="s">
        <v>1570</v>
      </c>
      <c r="D94" s="1063" t="s">
        <v>1571</v>
      </c>
      <c r="E94" s="1134">
        <v>0.2</v>
      </c>
      <c r="F94" s="1149">
        <v>30</v>
      </c>
    </row>
    <row r="95" spans="1:6" s="1100" customFormat="1" ht="36">
      <c r="A95" s="1149">
        <v>35</v>
      </c>
      <c r="B95" s="4094"/>
      <c r="C95" s="1149" t="s">
        <v>1572</v>
      </c>
      <c r="D95" s="1063" t="s">
        <v>1573</v>
      </c>
      <c r="E95" s="1134">
        <v>0.2</v>
      </c>
      <c r="F95" s="1149">
        <v>30</v>
      </c>
    </row>
    <row r="96" spans="1:6" s="1100" customFormat="1" ht="48">
      <c r="A96" s="1149">
        <v>36</v>
      </c>
      <c r="B96" s="4094"/>
      <c r="C96" s="1063" t="s">
        <v>1574</v>
      </c>
      <c r="D96" s="1063" t="s">
        <v>1575</v>
      </c>
      <c r="E96" s="1134">
        <v>0.2</v>
      </c>
      <c r="F96" s="1149">
        <v>30</v>
      </c>
    </row>
    <row r="97" spans="1:6" s="1100" customFormat="1" ht="36">
      <c r="A97" s="1149">
        <v>37</v>
      </c>
      <c r="B97" s="4094"/>
      <c r="C97" s="1149" t="s">
        <v>1576</v>
      </c>
      <c r="D97" s="1063" t="s">
        <v>1577</v>
      </c>
      <c r="E97" s="1134">
        <v>0.2</v>
      </c>
      <c r="F97" s="1149">
        <v>30</v>
      </c>
    </row>
    <row r="98" spans="1:6" s="1100" customFormat="1" ht="36">
      <c r="A98" s="1149">
        <v>38</v>
      </c>
      <c r="B98" s="4094"/>
      <c r="C98" s="1149" t="s">
        <v>1578</v>
      </c>
      <c r="D98" s="1063" t="s">
        <v>1579</v>
      </c>
      <c r="E98" s="1134">
        <v>0.2</v>
      </c>
      <c r="F98" s="1149">
        <v>30</v>
      </c>
    </row>
    <row r="99" spans="1:6" s="1100" customFormat="1" ht="36">
      <c r="A99" s="1149">
        <v>39</v>
      </c>
      <c r="B99" s="4094" t="s">
        <v>1580</v>
      </c>
      <c r="C99" s="1149" t="s">
        <v>1581</v>
      </c>
      <c r="D99" s="1063" t="s">
        <v>1582</v>
      </c>
      <c r="E99" s="1134">
        <v>0.3</v>
      </c>
      <c r="F99" s="1149">
        <v>50</v>
      </c>
    </row>
    <row r="100" spans="1:6" s="1100" customFormat="1" ht="24">
      <c r="A100" s="1149">
        <v>40</v>
      </c>
      <c r="B100" s="4094"/>
      <c r="C100" s="1149" t="s">
        <v>1583</v>
      </c>
      <c r="D100" s="1063" t="s">
        <v>1584</v>
      </c>
      <c r="E100" s="1134">
        <v>0.2</v>
      </c>
      <c r="F100" s="1149">
        <v>30</v>
      </c>
    </row>
    <row r="101" spans="1:6" s="1100" customFormat="1" ht="36">
      <c r="A101" s="1149">
        <v>41</v>
      </c>
      <c r="B101" s="409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094" t="s">
        <v>1595</v>
      </c>
      <c r="C105" s="1149" t="s">
        <v>1596</v>
      </c>
      <c r="D105" s="1063" t="s">
        <v>1597</v>
      </c>
      <c r="E105" s="1134">
        <v>0.2</v>
      </c>
      <c r="F105" s="1149">
        <v>30</v>
      </c>
    </row>
    <row r="106" spans="1:6" s="1100" customFormat="1" ht="36">
      <c r="A106" s="1149">
        <v>46</v>
      </c>
      <c r="B106" s="4094"/>
      <c r="C106" s="1149" t="s">
        <v>1598</v>
      </c>
      <c r="D106" s="1063" t="s">
        <v>1599</v>
      </c>
      <c r="E106" s="1134">
        <v>0.2</v>
      </c>
      <c r="F106" s="1149">
        <v>30</v>
      </c>
    </row>
    <row r="107" spans="1:6" s="1100" customFormat="1" ht="36">
      <c r="A107" s="1149">
        <v>47</v>
      </c>
      <c r="B107" s="4094" t="s">
        <v>1600</v>
      </c>
      <c r="C107" s="1149" t="s">
        <v>1601</v>
      </c>
      <c r="D107" s="1063" t="s">
        <v>1602</v>
      </c>
      <c r="E107" s="1134">
        <v>0.3</v>
      </c>
      <c r="F107" s="1149">
        <v>50</v>
      </c>
    </row>
    <row r="108" spans="1:6" s="1100" customFormat="1" ht="36">
      <c r="A108" s="1149">
        <v>48</v>
      </c>
      <c r="B108" s="409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094" t="s">
        <v>1611</v>
      </c>
      <c r="C111" s="1149" t="s">
        <v>1612</v>
      </c>
      <c r="D111" s="1063" t="s">
        <v>1613</v>
      </c>
      <c r="E111" s="1134">
        <v>0.2</v>
      </c>
      <c r="F111" s="1149">
        <v>30</v>
      </c>
    </row>
    <row r="112" spans="1:6" s="1100" customFormat="1" ht="24">
      <c r="A112" s="1149">
        <v>52</v>
      </c>
      <c r="B112" s="4094"/>
      <c r="C112" s="1149" t="s">
        <v>1614</v>
      </c>
      <c r="D112" s="1063" t="s">
        <v>1615</v>
      </c>
      <c r="E112" s="1134">
        <v>0.2</v>
      </c>
      <c r="F112" s="1149">
        <v>30</v>
      </c>
    </row>
    <row r="113" spans="1:14" s="1100" customFormat="1" ht="24">
      <c r="A113" s="1149">
        <v>53</v>
      </c>
      <c r="B113" s="409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094" t="s">
        <v>1624</v>
      </c>
      <c r="C116" s="1149" t="s">
        <v>1625</v>
      </c>
      <c r="D116" s="1063" t="s">
        <v>1626</v>
      </c>
      <c r="E116" s="1134">
        <v>0.2</v>
      </c>
      <c r="F116" s="1149">
        <v>30</v>
      </c>
    </row>
    <row r="117" spans="1:14" ht="36">
      <c r="A117" s="1149">
        <v>57</v>
      </c>
      <c r="B117" s="409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093" t="s">
        <v>1633</v>
      </c>
      <c r="B121" s="4093"/>
      <c r="C121" s="4093"/>
      <c r="D121" s="4093"/>
      <c r="E121" s="4093"/>
      <c r="F121" s="4093"/>
      <c r="G121" s="4093"/>
      <c r="H121" s="4093"/>
      <c r="I121" s="4093"/>
      <c r="J121" s="409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108" t="s">
        <v>1039</v>
      </c>
      <c r="B1" s="4108"/>
      <c r="C1" s="4108"/>
      <c r="D1" s="4108"/>
      <c r="E1" s="4108"/>
      <c r="F1" s="410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109" t="s">
        <v>1052</v>
      </c>
      <c r="B2" s="4109"/>
      <c r="C2" s="4109"/>
      <c r="D2" s="4109"/>
      <c r="E2" s="4109"/>
      <c r="F2" s="410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11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11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112" t="s">
        <v>2079</v>
      </c>
      <c r="B1" s="4112"/>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111281.46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根据《国有土地使用证》[]，估价对象（分摊）出让国有建设用地使用权面积为20122.04平方米。根据《建设工程规划许可证》[]、《出让合同》[]，估价对象规划建筑面积为111281.46平方米。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115" t="s">
        <v>2575</v>
      </c>
      <c r="C1" s="4115"/>
      <c r="D1" s="4115"/>
      <c r="E1" s="4115"/>
      <c r="F1" s="4115"/>
      <c r="G1" s="4114" t="s">
        <v>2576</v>
      </c>
      <c r="H1" s="4114"/>
      <c r="I1" s="4114"/>
      <c r="J1" s="4114"/>
      <c r="K1" s="4114"/>
      <c r="L1" s="4114"/>
      <c r="N1" s="4114" t="s">
        <v>2577</v>
      </c>
      <c r="O1" s="4114"/>
      <c r="P1" s="4114"/>
      <c r="Q1" s="4114"/>
      <c r="R1" s="2617"/>
      <c r="S1" s="4114" t="s">
        <v>2578</v>
      </c>
      <c r="T1" s="4114"/>
      <c r="U1" s="4114"/>
      <c r="V1" s="4114"/>
      <c r="X1" s="4113" t="s">
        <v>2638</v>
      </c>
      <c r="Y1" s="4114"/>
      <c r="Z1" s="4114"/>
      <c r="AA1" s="4114"/>
      <c r="AB1" s="4114"/>
      <c r="AD1" s="4113" t="s">
        <v>2642</v>
      </c>
      <c r="AE1" s="4114"/>
      <c r="AF1" s="4114"/>
      <c r="AG1" s="4114"/>
      <c r="AH1" s="4114"/>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117">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117"/>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117"/>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123"/>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122">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117"/>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117"/>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123"/>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122">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117"/>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117"/>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118"/>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116">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117"/>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117"/>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118"/>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116">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117"/>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117"/>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118"/>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119">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120"/>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120"/>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121"/>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116">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117"/>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117"/>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118"/>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116">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117">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117">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118">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116">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117">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117">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118">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116">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117">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117">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118">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116">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117">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117">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118">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116">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117">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117">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118">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116">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117">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117">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118">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116">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117">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117">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118">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116">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117">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117">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118">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116">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117">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117">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118">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116">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117">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117">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118">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125" t="s">
        <v>2462</v>
      </c>
      <c r="C8" s="1809">
        <f ca="1">ROUND(F8*F10*F9*(1-F11)/10000,0)</f>
        <v>0</v>
      </c>
      <c r="D8" s="1806" t="s">
        <v>2533</v>
      </c>
      <c r="E8" s="61" t="s">
        <v>637</v>
      </c>
      <c r="F8" s="784">
        <f ca="1">INDIRECT("'数据-取费表'!u"&amp;$G$1)</f>
        <v>0</v>
      </c>
      <c r="G8" s="1577"/>
      <c r="H8" s="2467" t="s">
        <v>1824</v>
      </c>
      <c r="I8" s="4125" t="s">
        <v>2462</v>
      </c>
      <c r="J8" s="782">
        <f ca="1">ROUND(M8*M10*M9*(1-M11)/10000,0)</f>
        <v>0</v>
      </c>
      <c r="K8" s="340" t="s">
        <v>2533</v>
      </c>
      <c r="L8" s="783" t="s">
        <v>1738</v>
      </c>
      <c r="M8" s="784">
        <f ca="1">INDIRECT("'数据-取费表'!z"&amp;$G$1)</f>
        <v>0</v>
      </c>
    </row>
    <row r="9" spans="1:25" ht="18" customHeight="1">
      <c r="A9" s="2463"/>
      <c r="B9" s="4126"/>
      <c r="C9" s="1810"/>
      <c r="D9" s="1807"/>
      <c r="E9" s="61" t="s">
        <v>638</v>
      </c>
      <c r="F9" s="784">
        <f ca="1">IF(INDIRECT("'数据-取费表'!ah"&amp;$G$1)="",INDIRECT("'数据-取费表'!k"&amp;$G$1),INDIRECT("'数据-取费表'!ah"&amp;$G$1))</f>
        <v>0</v>
      </c>
      <c r="G9" s="1577"/>
      <c r="H9" s="2452"/>
      <c r="I9" s="4126"/>
      <c r="J9" s="787"/>
      <c r="K9" s="788"/>
      <c r="L9" s="783" t="s">
        <v>1739</v>
      </c>
      <c r="M9" s="784">
        <f ca="1">F9</f>
        <v>0</v>
      </c>
    </row>
    <row r="10" spans="1:25" ht="18" customHeight="1">
      <c r="A10" s="2456"/>
      <c r="B10" s="4127"/>
      <c r="C10" s="1810"/>
      <c r="D10" s="1807"/>
      <c r="E10" s="61" t="s">
        <v>639</v>
      </c>
      <c r="F10" s="784">
        <f ca="1">INDIRECT("'数据-取费表'!ai"&amp;$G$1)</f>
        <v>0</v>
      </c>
      <c r="G10" s="1577"/>
      <c r="H10" s="2452"/>
      <c r="I10" s="4127"/>
      <c r="J10" s="787"/>
      <c r="K10" s="788"/>
      <c r="L10" s="783" t="s">
        <v>1740</v>
      </c>
      <c r="M10" s="784">
        <f ca="1">INDIRECT("'数据-取费表'!ai"&amp;$G$1)</f>
        <v>0</v>
      </c>
    </row>
    <row r="11" spans="1:25" ht="18" customHeight="1">
      <c r="A11" s="785"/>
      <c r="B11" s="4128"/>
      <c r="C11" s="1810"/>
      <c r="D11" s="1807"/>
      <c r="E11" s="61" t="s">
        <v>640</v>
      </c>
      <c r="F11" s="793">
        <f ca="1">INDIRECT("'数据-取费表'!w"&amp;$G$1)</f>
        <v>0</v>
      </c>
      <c r="G11" s="1577"/>
      <c r="H11" s="2468"/>
      <c r="I11" s="4127"/>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124"/>
      <c r="J36" s="2063"/>
      <c r="K36" s="2064"/>
      <c r="L36" s="2063"/>
      <c r="M36" s="2063"/>
    </row>
    <row r="37" spans="1:18" ht="18" customHeight="1">
      <c r="A37" s="814"/>
      <c r="B37" s="792"/>
      <c r="C37" s="69"/>
      <c r="D37" s="815"/>
      <c r="E37" s="783" t="s">
        <v>674</v>
      </c>
      <c r="F37" s="784">
        <f ca="1">INDIRECT("'数据-取费表'!r"&amp;$G$1)</f>
        <v>0</v>
      </c>
      <c r="G37" s="2046"/>
      <c r="H37" s="2049"/>
      <c r="I37" s="4124"/>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129"/>
      <c r="L54" s="4130"/>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43272</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82203.94</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57" t="s">
        <v>522</v>
      </c>
      <c r="D4" s="4058"/>
      <c r="E4" s="4081" t="s">
        <v>523</v>
      </c>
      <c r="F4" s="4082"/>
      <c r="G4" s="4057" t="s">
        <v>524</v>
      </c>
      <c r="H4" s="4058"/>
      <c r="I4" s="4057" t="s">
        <v>525</v>
      </c>
      <c r="J4" s="4058"/>
      <c r="K4" s="852" t="s">
        <v>526</v>
      </c>
      <c r="L4" s="2117"/>
      <c r="M4" s="2118"/>
      <c r="N4" s="2118"/>
      <c r="O4" s="2118"/>
      <c r="P4" s="4059" t="s">
        <v>527</v>
      </c>
      <c r="Q4" s="4060"/>
      <c r="R4" s="4045" t="s">
        <v>523</v>
      </c>
      <c r="S4" s="4046"/>
      <c r="T4" s="4045" t="s">
        <v>524</v>
      </c>
      <c r="U4" s="4046"/>
      <c r="V4" s="4065" t="s">
        <v>525</v>
      </c>
      <c r="W4" s="4065"/>
      <c r="X4" s="1552"/>
      <c r="Y4" s="4045" t="s">
        <v>527</v>
      </c>
      <c r="Z4" s="4046"/>
      <c r="AA4" s="4040" t="s">
        <v>523</v>
      </c>
      <c r="AB4" s="4040" t="s">
        <v>524</v>
      </c>
      <c r="AC4" s="4040" t="s">
        <v>525</v>
      </c>
    </row>
    <row r="5" spans="1:29" ht="15">
      <c r="A5" s="514"/>
      <c r="B5" s="515"/>
      <c r="C5" s="4068" t="s">
        <v>2926</v>
      </c>
      <c r="D5" s="4069"/>
      <c r="E5" s="4131" t="s">
        <v>3016</v>
      </c>
      <c r="F5" s="4084"/>
      <c r="G5" s="4132" t="s">
        <v>3581</v>
      </c>
      <c r="H5" s="4069"/>
      <c r="I5" s="4132" t="s">
        <v>3321</v>
      </c>
      <c r="J5" s="4069"/>
      <c r="K5" s="853"/>
      <c r="L5" s="2117"/>
      <c r="M5" s="2118"/>
      <c r="N5" s="2118"/>
      <c r="O5" s="2118"/>
      <c r="P5" s="4061"/>
      <c r="Q5" s="4062"/>
      <c r="R5" s="4047"/>
      <c r="S5" s="4048"/>
      <c r="T5" s="4047"/>
      <c r="U5" s="4048"/>
      <c r="V5" s="4065"/>
      <c r="W5" s="4065"/>
      <c r="X5" s="1552"/>
      <c r="Y5" s="4047"/>
      <c r="Z5" s="4048"/>
      <c r="AA5" s="4041"/>
      <c r="AB5" s="4041"/>
      <c r="AC5" s="4041"/>
    </row>
    <row r="6" spans="1:29" ht="15.75" thickBot="1">
      <c r="A6" s="516"/>
      <c r="B6" s="517"/>
      <c r="C6" s="4066" t="s">
        <v>2930</v>
      </c>
      <c r="D6" s="4067"/>
      <c r="E6" s="4085" t="s">
        <v>2930</v>
      </c>
      <c r="F6" s="4086"/>
      <c r="G6" s="4066" t="s">
        <v>2930</v>
      </c>
      <c r="H6" s="4067"/>
      <c r="I6" s="4066" t="s">
        <v>2930</v>
      </c>
      <c r="J6" s="4067"/>
      <c r="K6" s="853" t="s">
        <v>528</v>
      </c>
      <c r="L6" s="2117"/>
      <c r="M6" s="2118"/>
      <c r="N6" s="2118"/>
      <c r="O6" s="2118"/>
      <c r="P6" s="4063"/>
      <c r="Q6" s="4064"/>
      <c r="R6" s="4047"/>
      <c r="S6" s="4048"/>
      <c r="T6" s="4049"/>
      <c r="U6" s="4050"/>
      <c r="V6" s="4065"/>
      <c r="W6" s="4065"/>
      <c r="X6" s="1552"/>
      <c r="Y6" s="4049"/>
      <c r="Z6" s="4050"/>
      <c r="AA6" s="4042"/>
      <c r="AB6" s="4042"/>
      <c r="AC6" s="4042"/>
    </row>
    <row r="7" spans="1:29" s="1215" customFormat="1" ht="15.75" thickBot="1">
      <c r="A7" s="2865"/>
      <c r="B7" s="2872" t="s">
        <v>529</v>
      </c>
      <c r="C7" s="518">
        <f>'数据-取费表'!B2</f>
        <v>43671</v>
      </c>
      <c r="D7" s="519">
        <v>100</v>
      </c>
      <c r="E7" s="520">
        <f>C7</f>
        <v>43671</v>
      </c>
      <c r="F7" s="521">
        <f>SUMIF(58:58,YEAR(E7)&amp;"-"&amp;MONTH(E7),59:59)</f>
        <v>100</v>
      </c>
      <c r="G7" s="522">
        <f>C7</f>
        <v>43671</v>
      </c>
      <c r="H7" s="519">
        <f>SUMIF(58:58,YEAR(G7)&amp;"-"&amp;MONTH(G7),59:59)</f>
        <v>100</v>
      </c>
      <c r="I7" s="522">
        <f>C7</f>
        <v>43671</v>
      </c>
      <c r="J7" s="519">
        <f>SUMIF(58:58,YEAR(I7)&amp;"-"&amp;MONTH(I7),59:59)</f>
        <v>100</v>
      </c>
      <c r="K7" s="854"/>
      <c r="L7" s="2119"/>
      <c r="M7" s="2120"/>
      <c r="N7" s="2120"/>
      <c r="O7" s="2120"/>
      <c r="P7" s="4043" t="s">
        <v>530</v>
      </c>
      <c r="Q7" s="4052"/>
      <c r="R7" s="1553" t="s">
        <v>13</v>
      </c>
      <c r="S7" s="1554">
        <f t="shared" ref="S7:S15" si="0">F7</f>
        <v>100</v>
      </c>
      <c r="T7" s="1553" t="s">
        <v>13</v>
      </c>
      <c r="U7" s="1554">
        <f t="shared" ref="U7:U15" si="1">H7</f>
        <v>100</v>
      </c>
      <c r="V7" s="1553" t="s">
        <v>13</v>
      </c>
      <c r="W7" s="1554">
        <f t="shared" ref="W7:W15" si="2">J7</f>
        <v>100</v>
      </c>
      <c r="X7" s="1555"/>
      <c r="Y7" s="4043" t="s">
        <v>530</v>
      </c>
      <c r="Z7" s="4044"/>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043" t="s">
        <v>533</v>
      </c>
      <c r="Q8" s="4044"/>
      <c r="R8" s="1553" t="s">
        <v>13</v>
      </c>
      <c r="S8" s="1554">
        <f t="shared" si="0"/>
        <v>100</v>
      </c>
      <c r="T8" s="1553" t="s">
        <v>13</v>
      </c>
      <c r="U8" s="1554">
        <f t="shared" si="1"/>
        <v>100</v>
      </c>
      <c r="V8" s="1553" t="s">
        <v>13</v>
      </c>
      <c r="W8" s="1554">
        <f t="shared" si="2"/>
        <v>100</v>
      </c>
      <c r="X8" s="1555"/>
      <c r="Y8" s="4043" t="s">
        <v>533</v>
      </c>
      <c r="Z8" s="4044"/>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51" t="s">
        <v>535</v>
      </c>
      <c r="Q9" s="1146" t="str">
        <f t="shared" ref="Q9:Q15" si="6">B9</f>
        <v>用途</v>
      </c>
      <c r="R9" s="1553" t="s">
        <v>8</v>
      </c>
      <c r="S9" s="1554">
        <f t="shared" si="0"/>
        <v>100</v>
      </c>
      <c r="T9" s="1553" t="s">
        <v>8</v>
      </c>
      <c r="U9" s="1554">
        <f t="shared" si="1"/>
        <v>100</v>
      </c>
      <c r="V9" s="1553" t="s">
        <v>8</v>
      </c>
      <c r="W9" s="1554">
        <f t="shared" si="2"/>
        <v>100</v>
      </c>
      <c r="X9" s="1555"/>
      <c r="Y9" s="4008"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51"/>
      <c r="Q10" s="1146" t="str">
        <f t="shared" si="6"/>
        <v>土地使用年限（年）</v>
      </c>
      <c r="R10" s="1553" t="s">
        <v>8</v>
      </c>
      <c r="S10" s="1554">
        <f t="shared" si="0"/>
        <v>100</v>
      </c>
      <c r="T10" s="1553" t="s">
        <v>8</v>
      </c>
      <c r="U10" s="1554">
        <f t="shared" si="1"/>
        <v>100</v>
      </c>
      <c r="V10" s="1553" t="s">
        <v>8</v>
      </c>
      <c r="W10" s="1554">
        <f t="shared" si="2"/>
        <v>100</v>
      </c>
      <c r="X10" s="1555"/>
      <c r="Y10" s="4008"/>
      <c r="Z10" s="1145" t="str">
        <f t="shared" si="7"/>
        <v>土地使用年限（年）</v>
      </c>
      <c r="AA10" s="1556">
        <f t="shared" si="3"/>
        <v>1</v>
      </c>
      <c r="AB10" s="1556">
        <f t="shared" si="4"/>
        <v>1</v>
      </c>
      <c r="AC10" s="1556">
        <f t="shared" si="5"/>
        <v>1</v>
      </c>
    </row>
    <row r="11" spans="1:29" ht="15">
      <c r="A11" s="2869"/>
      <c r="B11" s="2873" t="s">
        <v>2757</v>
      </c>
      <c r="C11" s="3325">
        <f>'数据-汇总表'!I7</f>
        <v>4.4000000000000004</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51"/>
      <c r="Q11" s="1146" t="str">
        <f t="shared" si="6"/>
        <v>容积率</v>
      </c>
      <c r="R11" s="1553" t="s">
        <v>11</v>
      </c>
      <c r="S11" s="1554">
        <f t="shared" si="0"/>
        <v>104</v>
      </c>
      <c r="T11" s="1553" t="s">
        <v>11</v>
      </c>
      <c r="U11" s="1554">
        <f t="shared" si="1"/>
        <v>102</v>
      </c>
      <c r="V11" s="1553" t="s">
        <v>11</v>
      </c>
      <c r="W11" s="1554">
        <f t="shared" si="2"/>
        <v>102</v>
      </c>
      <c r="X11" s="1555"/>
      <c r="Y11" s="4008"/>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51"/>
      <c r="Q12" s="1146">
        <f t="shared" si="6"/>
        <v>111</v>
      </c>
      <c r="R12" s="1553" t="s">
        <v>11</v>
      </c>
      <c r="S12" s="1554">
        <f t="shared" si="0"/>
        <v>100</v>
      </c>
      <c r="T12" s="1553" t="s">
        <v>11</v>
      </c>
      <c r="U12" s="1554">
        <f t="shared" si="1"/>
        <v>100</v>
      </c>
      <c r="V12" s="1553" t="s">
        <v>11</v>
      </c>
      <c r="W12" s="1554">
        <f t="shared" si="2"/>
        <v>100</v>
      </c>
      <c r="X12" s="1555"/>
      <c r="Y12" s="4008"/>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51"/>
      <c r="Q13" s="1146">
        <f t="shared" si="6"/>
        <v>111</v>
      </c>
      <c r="R13" s="1553" t="s">
        <v>11</v>
      </c>
      <c r="S13" s="1554">
        <f t="shared" si="0"/>
        <v>100</v>
      </c>
      <c r="T13" s="1553" t="s">
        <v>11</v>
      </c>
      <c r="U13" s="1554">
        <f t="shared" si="1"/>
        <v>100</v>
      </c>
      <c r="V13" s="1553" t="s">
        <v>11</v>
      </c>
      <c r="W13" s="1554">
        <f t="shared" si="2"/>
        <v>100</v>
      </c>
      <c r="X13" s="1555"/>
      <c r="Y13" s="4008"/>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51"/>
      <c r="Q14" s="1146">
        <f t="shared" si="6"/>
        <v>111</v>
      </c>
      <c r="R14" s="1553" t="s">
        <v>11</v>
      </c>
      <c r="S14" s="1554">
        <f t="shared" si="0"/>
        <v>100</v>
      </c>
      <c r="T14" s="1553" t="s">
        <v>11</v>
      </c>
      <c r="U14" s="1554">
        <f t="shared" si="1"/>
        <v>100</v>
      </c>
      <c r="V14" s="1553" t="s">
        <v>11</v>
      </c>
      <c r="W14" s="1554">
        <f t="shared" si="2"/>
        <v>100</v>
      </c>
      <c r="X14" s="1555"/>
      <c r="Y14" s="4008"/>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053" t="s">
        <v>540</v>
      </c>
      <c r="Q15" s="1557" t="str">
        <f t="shared" si="6"/>
        <v>居住社区成熟度</v>
      </c>
      <c r="R15" s="1558" t="s">
        <v>11</v>
      </c>
      <c r="S15" s="1559">
        <f t="shared" si="0"/>
        <v>100</v>
      </c>
      <c r="T15" s="1558" t="s">
        <v>11</v>
      </c>
      <c r="U15" s="1559">
        <f t="shared" si="1"/>
        <v>100</v>
      </c>
      <c r="V15" s="1558" t="s">
        <v>11</v>
      </c>
      <c r="W15" s="1559">
        <f t="shared" si="2"/>
        <v>100</v>
      </c>
      <c r="X15" s="1552"/>
      <c r="Y15" s="4053"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054"/>
      <c r="Q16" s="1557"/>
      <c r="R16" s="1558"/>
      <c r="S16" s="1559"/>
      <c r="T16" s="1558"/>
      <c r="U16" s="1559"/>
      <c r="V16" s="1558"/>
      <c r="W16" s="1559"/>
      <c r="X16" s="1552"/>
      <c r="Y16" s="4054"/>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054"/>
      <c r="Q17" s="1557" t="str">
        <f>B17</f>
        <v>交通便捷度</v>
      </c>
      <c r="R17" s="1558" t="s">
        <v>11</v>
      </c>
      <c r="S17" s="1559">
        <f>F17</f>
        <v>100</v>
      </c>
      <c r="T17" s="1558" t="s">
        <v>11</v>
      </c>
      <c r="U17" s="1559">
        <f>H17</f>
        <v>100</v>
      </c>
      <c r="V17" s="1558" t="s">
        <v>11</v>
      </c>
      <c r="W17" s="1559">
        <f>J17</f>
        <v>100</v>
      </c>
      <c r="X17" s="1552"/>
      <c r="Y17" s="4054"/>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054"/>
      <c r="Q18" s="1557"/>
      <c r="R18" s="1558"/>
      <c r="S18" s="1559"/>
      <c r="T18" s="1558"/>
      <c r="U18" s="1559"/>
      <c r="V18" s="1558"/>
      <c r="W18" s="1559"/>
      <c r="X18" s="1552"/>
      <c r="Y18" s="4054"/>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054"/>
      <c r="Q19" s="1557" t="str">
        <f>B19</f>
        <v>公共配套设施</v>
      </c>
      <c r="R19" s="1558" t="s">
        <v>11</v>
      </c>
      <c r="S19" s="1559">
        <f>F19</f>
        <v>100</v>
      </c>
      <c r="T19" s="1558" t="s">
        <v>11</v>
      </c>
      <c r="U19" s="1559">
        <f>H19</f>
        <v>102</v>
      </c>
      <c r="V19" s="1558" t="s">
        <v>11</v>
      </c>
      <c r="W19" s="1559">
        <f>J19</f>
        <v>102</v>
      </c>
      <c r="X19" s="1552"/>
      <c r="Y19" s="4054"/>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054"/>
      <c r="Q20" s="1557"/>
      <c r="R20" s="1558"/>
      <c r="S20" s="1559"/>
      <c r="T20" s="1558"/>
      <c r="U20" s="1559"/>
      <c r="V20" s="1558"/>
      <c r="W20" s="1559"/>
      <c r="X20" s="1552"/>
      <c r="Y20" s="4054"/>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054"/>
      <c r="Q21" s="2542" t="str">
        <f>B21</f>
        <v>基础设施水平</v>
      </c>
      <c r="R21" s="1558" t="s">
        <v>11</v>
      </c>
      <c r="S21" s="1559">
        <f>F21</f>
        <v>100</v>
      </c>
      <c r="T21" s="1558" t="s">
        <v>11</v>
      </c>
      <c r="U21" s="1559">
        <f>H21</f>
        <v>100</v>
      </c>
      <c r="V21" s="1558" t="s">
        <v>11</v>
      </c>
      <c r="W21" s="1559">
        <f>J21</f>
        <v>100</v>
      </c>
      <c r="X21" s="2544"/>
      <c r="Y21" s="4054"/>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054"/>
      <c r="Q22" s="2542"/>
      <c r="R22" s="1558"/>
      <c r="S22" s="1559"/>
      <c r="T22" s="1558"/>
      <c r="U22" s="1559"/>
      <c r="V22" s="1558"/>
      <c r="W22" s="1559"/>
      <c r="X22" s="2544"/>
      <c r="Y22" s="4054"/>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054"/>
      <c r="Q23" s="1557" t="str">
        <f>B23</f>
        <v>自然及人文环境</v>
      </c>
      <c r="R23" s="1558" t="s">
        <v>11</v>
      </c>
      <c r="S23" s="1559">
        <f>F23</f>
        <v>98</v>
      </c>
      <c r="T23" s="1558" t="s">
        <v>11</v>
      </c>
      <c r="U23" s="1559">
        <f>H23</f>
        <v>100</v>
      </c>
      <c r="V23" s="1558" t="s">
        <v>11</v>
      </c>
      <c r="W23" s="1559">
        <f>J23</f>
        <v>100</v>
      </c>
      <c r="X23" s="1552"/>
      <c r="Y23" s="4054"/>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054"/>
      <c r="Q24" s="1557"/>
      <c r="R24" s="1558"/>
      <c r="S24" s="1559"/>
      <c r="T24" s="1558"/>
      <c r="U24" s="1559"/>
      <c r="V24" s="1558"/>
      <c r="W24" s="1559"/>
      <c r="X24" s="1552"/>
      <c r="Y24" s="4054"/>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054"/>
      <c r="Q25" s="1557" t="str">
        <f t="shared" ref="Q25:Q46" si="11">B25</f>
        <v>楼层-1</v>
      </c>
      <c r="R25" s="1558" t="s">
        <v>11</v>
      </c>
      <c r="S25" s="1559">
        <f>F25</f>
        <v>100</v>
      </c>
      <c r="T25" s="1558" t="s">
        <v>11</v>
      </c>
      <c r="U25" s="1559">
        <f>H25</f>
        <v>100</v>
      </c>
      <c r="V25" s="1558" t="s">
        <v>11</v>
      </c>
      <c r="W25" s="1559">
        <f>J25</f>
        <v>100</v>
      </c>
      <c r="X25" s="1552"/>
      <c r="Y25" s="4054"/>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054"/>
      <c r="Q26" s="1557" t="str">
        <f t="shared" si="11"/>
        <v>朝向</v>
      </c>
      <c r="R26" s="1558" t="s">
        <v>11</v>
      </c>
      <c r="S26" s="1559">
        <f>F26</f>
        <v>100</v>
      </c>
      <c r="T26" s="1558" t="s">
        <v>11</v>
      </c>
      <c r="U26" s="1559">
        <f>H26</f>
        <v>100</v>
      </c>
      <c r="V26" s="1558" t="s">
        <v>11</v>
      </c>
      <c r="W26" s="1559">
        <f>J26</f>
        <v>100</v>
      </c>
      <c r="X26" s="1552"/>
      <c r="Y26" s="4054"/>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054"/>
      <c r="Q27" s="1146" t="str">
        <f t="shared" si="11"/>
        <v>道路级别</v>
      </c>
      <c r="R27" s="1553" t="s">
        <v>11</v>
      </c>
      <c r="S27" s="1554">
        <f>F27</f>
        <v>101</v>
      </c>
      <c r="T27" s="1553" t="s">
        <v>11</v>
      </c>
      <c r="U27" s="1554">
        <f>H27</f>
        <v>101</v>
      </c>
      <c r="V27" s="1553" t="s">
        <v>11</v>
      </c>
      <c r="W27" s="1554">
        <f>J27</f>
        <v>99</v>
      </c>
      <c r="X27" s="1555"/>
      <c r="Y27" s="4054"/>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054"/>
      <c r="Q28" s="1557">
        <f t="shared" si="11"/>
        <v>111</v>
      </c>
      <c r="R28" s="1558" t="s">
        <v>11</v>
      </c>
      <c r="S28" s="1559">
        <f t="shared" ref="S28:S46" si="12">F28</f>
        <v>100</v>
      </c>
      <c r="T28" s="1558" t="s">
        <v>11</v>
      </c>
      <c r="U28" s="1559">
        <f t="shared" ref="U28:U46" si="13">H28</f>
        <v>100</v>
      </c>
      <c r="V28" s="1558" t="s">
        <v>11</v>
      </c>
      <c r="W28" s="1559">
        <f t="shared" ref="W28:W46" si="14">J28</f>
        <v>100</v>
      </c>
      <c r="X28" s="1552"/>
      <c r="Y28" s="4054"/>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054"/>
      <c r="Q29" s="1557">
        <f t="shared" si="11"/>
        <v>111</v>
      </c>
      <c r="R29" s="1558" t="s">
        <v>11</v>
      </c>
      <c r="S29" s="1559">
        <f t="shared" si="12"/>
        <v>100</v>
      </c>
      <c r="T29" s="1558" t="s">
        <v>11</v>
      </c>
      <c r="U29" s="1559">
        <f t="shared" si="13"/>
        <v>100</v>
      </c>
      <c r="V29" s="1558" t="s">
        <v>11</v>
      </c>
      <c r="W29" s="1559">
        <f t="shared" si="14"/>
        <v>100</v>
      </c>
      <c r="X29" s="1552"/>
      <c r="Y29" s="4054"/>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054"/>
      <c r="Q30" s="1557">
        <f t="shared" si="11"/>
        <v>111</v>
      </c>
      <c r="R30" s="1558" t="s">
        <v>11</v>
      </c>
      <c r="S30" s="1559">
        <f t="shared" si="12"/>
        <v>100</v>
      </c>
      <c r="T30" s="1558" t="s">
        <v>11</v>
      </c>
      <c r="U30" s="1559">
        <f t="shared" si="13"/>
        <v>100</v>
      </c>
      <c r="V30" s="1558" t="s">
        <v>11</v>
      </c>
      <c r="W30" s="1559">
        <f t="shared" si="14"/>
        <v>100</v>
      </c>
      <c r="X30" s="1552"/>
      <c r="Y30" s="4054"/>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054"/>
      <c r="Q31" s="1557">
        <f t="shared" si="11"/>
        <v>111</v>
      </c>
      <c r="R31" s="1558" t="s">
        <v>11</v>
      </c>
      <c r="S31" s="1559">
        <f t="shared" si="12"/>
        <v>100</v>
      </c>
      <c r="T31" s="1558" t="s">
        <v>11</v>
      </c>
      <c r="U31" s="1559">
        <f t="shared" si="13"/>
        <v>100</v>
      </c>
      <c r="V31" s="1558" t="s">
        <v>11</v>
      </c>
      <c r="W31" s="1559">
        <f t="shared" si="14"/>
        <v>100</v>
      </c>
      <c r="X31" s="1552"/>
      <c r="Y31" s="4054"/>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055" t="s">
        <v>550</v>
      </c>
      <c r="Q32" s="1557" t="str">
        <f t="shared" si="11"/>
        <v>建筑类型</v>
      </c>
      <c r="R32" s="1558" t="s">
        <v>11</v>
      </c>
      <c r="S32" s="1559">
        <f t="shared" si="12"/>
        <v>100</v>
      </c>
      <c r="T32" s="1558" t="s">
        <v>11</v>
      </c>
      <c r="U32" s="1559">
        <f t="shared" si="13"/>
        <v>100</v>
      </c>
      <c r="V32" s="1558" t="s">
        <v>11</v>
      </c>
      <c r="W32" s="1559">
        <f t="shared" si="14"/>
        <v>100</v>
      </c>
      <c r="X32" s="1552"/>
      <c r="Y32" s="4056"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056"/>
      <c r="Q33" s="1589" t="str">
        <f t="shared" si="11"/>
        <v>项目建筑规模</v>
      </c>
      <c r="R33" s="1562" t="s">
        <v>11</v>
      </c>
      <c r="S33" s="1563">
        <f t="shared" si="12"/>
        <v>100</v>
      </c>
      <c r="T33" s="1562" t="s">
        <v>11</v>
      </c>
      <c r="U33" s="1563">
        <f t="shared" si="13"/>
        <v>100</v>
      </c>
      <c r="V33" s="1562" t="s">
        <v>11</v>
      </c>
      <c r="W33" s="1563">
        <f t="shared" si="14"/>
        <v>100</v>
      </c>
      <c r="X33" s="1564"/>
      <c r="Y33" s="4056"/>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056"/>
      <c r="Q34" s="1557" t="str">
        <f t="shared" si="11"/>
        <v>建筑结构</v>
      </c>
      <c r="R34" s="1558" t="s">
        <v>11</v>
      </c>
      <c r="S34" s="1559">
        <f t="shared" si="12"/>
        <v>100</v>
      </c>
      <c r="T34" s="1558" t="s">
        <v>11</v>
      </c>
      <c r="U34" s="1559">
        <f t="shared" si="13"/>
        <v>100</v>
      </c>
      <c r="V34" s="1558" t="s">
        <v>11</v>
      </c>
      <c r="W34" s="1559">
        <f t="shared" si="14"/>
        <v>100</v>
      </c>
      <c r="X34" s="1552"/>
      <c r="Y34" s="4056"/>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056"/>
      <c r="Q35" s="1557" t="str">
        <f t="shared" si="11"/>
        <v>建筑品质</v>
      </c>
      <c r="R35" s="1558" t="s">
        <v>11</v>
      </c>
      <c r="S35" s="1559">
        <f t="shared" si="12"/>
        <v>100</v>
      </c>
      <c r="T35" s="1558" t="s">
        <v>11</v>
      </c>
      <c r="U35" s="1559">
        <f t="shared" si="13"/>
        <v>95</v>
      </c>
      <c r="V35" s="1558" t="s">
        <v>11</v>
      </c>
      <c r="W35" s="1559">
        <f t="shared" si="14"/>
        <v>100</v>
      </c>
      <c r="X35" s="1552"/>
      <c r="Y35" s="4056"/>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056"/>
      <c r="Q36" s="1557" t="str">
        <f t="shared" si="11"/>
        <v>公共部分装修</v>
      </c>
      <c r="R36" s="1558" t="s">
        <v>11</v>
      </c>
      <c r="S36" s="1559">
        <f t="shared" si="12"/>
        <v>100</v>
      </c>
      <c r="T36" s="1558" t="s">
        <v>11</v>
      </c>
      <c r="U36" s="1559">
        <f t="shared" si="13"/>
        <v>100</v>
      </c>
      <c r="V36" s="1558" t="s">
        <v>11</v>
      </c>
      <c r="W36" s="1559">
        <f t="shared" si="14"/>
        <v>100</v>
      </c>
      <c r="X36" s="1552"/>
      <c r="Y36" s="4056"/>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056"/>
      <c r="Q37" s="1146" t="str">
        <f t="shared" si="11"/>
        <v>成新度</v>
      </c>
      <c r="R37" s="1553" t="s">
        <v>11</v>
      </c>
      <c r="S37" s="1554">
        <f t="shared" si="12"/>
        <v>100</v>
      </c>
      <c r="T37" s="1553" t="s">
        <v>11</v>
      </c>
      <c r="U37" s="1554">
        <f t="shared" si="13"/>
        <v>100</v>
      </c>
      <c r="V37" s="1553" t="s">
        <v>11</v>
      </c>
      <c r="W37" s="1554">
        <f t="shared" si="14"/>
        <v>100</v>
      </c>
      <c r="X37" s="1555"/>
      <c r="Y37" s="4056"/>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056" t="s">
        <v>550</v>
      </c>
      <c r="Q38" s="1557" t="str">
        <f t="shared" si="11"/>
        <v>物业管理</v>
      </c>
      <c r="R38" s="1558" t="s">
        <v>11</v>
      </c>
      <c r="S38" s="1559">
        <f t="shared" si="12"/>
        <v>100</v>
      </c>
      <c r="T38" s="1558" t="s">
        <v>11</v>
      </c>
      <c r="U38" s="1559">
        <f t="shared" si="13"/>
        <v>100</v>
      </c>
      <c r="V38" s="1558" t="s">
        <v>11</v>
      </c>
      <c r="W38" s="1559">
        <f t="shared" si="14"/>
        <v>100</v>
      </c>
      <c r="X38" s="1552"/>
      <c r="Y38" s="4056"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056"/>
      <c r="Q39" s="1557" t="str">
        <f t="shared" si="11"/>
        <v>市政基础设施</v>
      </c>
      <c r="R39" s="1558" t="s">
        <v>11</v>
      </c>
      <c r="S39" s="1559">
        <f t="shared" si="12"/>
        <v>100</v>
      </c>
      <c r="T39" s="1558" t="s">
        <v>11</v>
      </c>
      <c r="U39" s="1559">
        <f t="shared" si="13"/>
        <v>100</v>
      </c>
      <c r="V39" s="1558" t="s">
        <v>11</v>
      </c>
      <c r="W39" s="1559">
        <f t="shared" si="14"/>
        <v>100</v>
      </c>
      <c r="X39" s="1552"/>
      <c r="Y39" s="4056"/>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056"/>
      <c r="Q40" s="1557" t="str">
        <f t="shared" si="11"/>
        <v>房型</v>
      </c>
      <c r="R40" s="1558" t="s">
        <v>11</v>
      </c>
      <c r="S40" s="1559">
        <f t="shared" si="12"/>
        <v>100</v>
      </c>
      <c r="T40" s="1558" t="s">
        <v>11</v>
      </c>
      <c r="U40" s="1559">
        <f t="shared" si="13"/>
        <v>100</v>
      </c>
      <c r="V40" s="1558" t="s">
        <v>11</v>
      </c>
      <c r="W40" s="1559">
        <f t="shared" si="14"/>
        <v>100</v>
      </c>
      <c r="X40" s="1552"/>
      <c r="Y40" s="4056"/>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056"/>
      <c r="Q41" s="1589" t="str">
        <f t="shared" si="11"/>
        <v>单套/主力户型建筑面积</v>
      </c>
      <c r="R41" s="1562" t="s">
        <v>11</v>
      </c>
      <c r="S41" s="1563">
        <f t="shared" si="12"/>
        <v>98</v>
      </c>
      <c r="T41" s="1562" t="s">
        <v>11</v>
      </c>
      <c r="U41" s="1563">
        <f t="shared" si="13"/>
        <v>96</v>
      </c>
      <c r="V41" s="1562" t="s">
        <v>11</v>
      </c>
      <c r="W41" s="1563">
        <f t="shared" si="14"/>
        <v>100</v>
      </c>
      <c r="X41" s="1564"/>
      <c r="Y41" s="4056"/>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056"/>
      <c r="Q42" s="1557" t="str">
        <f t="shared" si="11"/>
        <v>内部装修</v>
      </c>
      <c r="R42" s="1558" t="s">
        <v>11</v>
      </c>
      <c r="S42" s="1559">
        <f t="shared" si="12"/>
        <v>100</v>
      </c>
      <c r="T42" s="1558" t="s">
        <v>11</v>
      </c>
      <c r="U42" s="1559">
        <f t="shared" si="13"/>
        <v>100</v>
      </c>
      <c r="V42" s="1558" t="s">
        <v>11</v>
      </c>
      <c r="W42" s="1559">
        <f t="shared" si="14"/>
        <v>100</v>
      </c>
      <c r="X42" s="1552"/>
      <c r="Y42" s="4056"/>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056"/>
      <c r="Q43" s="1557" t="str">
        <f t="shared" si="11"/>
        <v>内部装修维护情况</v>
      </c>
      <c r="R43" s="1558" t="s">
        <v>11</v>
      </c>
      <c r="S43" s="1559">
        <f t="shared" si="12"/>
        <v>100</v>
      </c>
      <c r="T43" s="1558" t="s">
        <v>11</v>
      </c>
      <c r="U43" s="1559">
        <f t="shared" si="13"/>
        <v>100</v>
      </c>
      <c r="V43" s="1558" t="s">
        <v>11</v>
      </c>
      <c r="W43" s="1559">
        <f t="shared" si="14"/>
        <v>100</v>
      </c>
      <c r="X43" s="1552"/>
      <c r="Y43" s="4056"/>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056"/>
      <c r="Q44" s="1146">
        <f t="shared" si="11"/>
        <v>111</v>
      </c>
      <c r="R44" s="1553" t="s">
        <v>11</v>
      </c>
      <c r="S44" s="1554">
        <f t="shared" si="12"/>
        <v>100</v>
      </c>
      <c r="T44" s="1553" t="s">
        <v>11</v>
      </c>
      <c r="U44" s="1554">
        <f t="shared" si="13"/>
        <v>100</v>
      </c>
      <c r="V44" s="1553" t="s">
        <v>11</v>
      </c>
      <c r="W44" s="1554">
        <f t="shared" si="14"/>
        <v>100</v>
      </c>
      <c r="X44" s="1555"/>
      <c r="Y44" s="4056"/>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056"/>
      <c r="Q45" s="1557">
        <f t="shared" si="11"/>
        <v>111</v>
      </c>
      <c r="R45" s="1558" t="s">
        <v>11</v>
      </c>
      <c r="S45" s="1559">
        <f t="shared" si="12"/>
        <v>100</v>
      </c>
      <c r="T45" s="1558" t="s">
        <v>11</v>
      </c>
      <c r="U45" s="1559">
        <f t="shared" si="13"/>
        <v>100</v>
      </c>
      <c r="V45" s="1558" t="s">
        <v>11</v>
      </c>
      <c r="W45" s="1559">
        <f t="shared" si="14"/>
        <v>100</v>
      </c>
      <c r="X45" s="1552"/>
      <c r="Y45" s="4056"/>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35"/>
      <c r="Q46" s="1557">
        <f t="shared" si="11"/>
        <v>111</v>
      </c>
      <c r="R46" s="1558" t="s">
        <v>10</v>
      </c>
      <c r="S46" s="1559">
        <f t="shared" si="12"/>
        <v>100</v>
      </c>
      <c r="T46" s="1558" t="s">
        <v>10</v>
      </c>
      <c r="U46" s="1559">
        <f t="shared" si="13"/>
        <v>100</v>
      </c>
      <c r="V46" s="1558" t="s">
        <v>10</v>
      </c>
      <c r="W46" s="1559">
        <f t="shared" si="14"/>
        <v>100</v>
      </c>
      <c r="X46" s="1552"/>
      <c r="Y46" s="4135"/>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51" t="str">
        <f>A47</f>
        <v>成交单价（元/平方米）</v>
      </c>
      <c r="Q47" s="4051"/>
      <c r="R47" s="4134">
        <f>E47</f>
        <v>5500</v>
      </c>
      <c r="S47" s="4134"/>
      <c r="T47" s="4134">
        <f>G47</f>
        <v>4700</v>
      </c>
      <c r="U47" s="4134"/>
      <c r="V47" s="4134">
        <f>I47</f>
        <v>5600</v>
      </c>
      <c r="W47" s="4134"/>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51" t="str">
        <f>A48</f>
        <v>比较价格（元/平方米）</v>
      </c>
      <c r="Q48" s="4051"/>
      <c r="R48" s="4134">
        <f>IF(F1="售价",ROUND(PRODUCT(R47,AA7:AA46),0),ROUND(PRODUCT(R47,AA7:AA46),1))</f>
        <v>5452</v>
      </c>
      <c r="S48" s="4134"/>
      <c r="T48" s="4134">
        <f>IF(F1="售价",ROUND(PRODUCT(T47,AB7:AB46),0),ROUND(PRODUCT(T47,AB7:AB46),1))</f>
        <v>4904</v>
      </c>
      <c r="U48" s="4134"/>
      <c r="V48" s="4134">
        <f>IF(F1="售价",ROUND(PRODUCT(V47,AC7:AC46),0),ROUND(PRODUCT(V47,AC7:AC46),1))</f>
        <v>5437</v>
      </c>
      <c r="W48" s="4134"/>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072" t="str">
        <f>A49</f>
        <v>估价对象XX用房的比较价格（楼面单价，元/平方米）</v>
      </c>
      <c r="Q49" s="4073"/>
      <c r="R49" s="4133">
        <f>IF(F1="售价",ROUND(AVERAGE(R48:V48),0),ROUND(AVERAGE(R48:V48),1))</f>
        <v>5264</v>
      </c>
      <c r="S49" s="4133"/>
      <c r="T49" s="4133"/>
      <c r="U49" s="4133"/>
      <c r="V49" s="4133"/>
      <c r="W49" s="413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-450</v>
      </c>
      <c r="C2" s="2041"/>
      <c r="D2" s="2039"/>
      <c r="E2" s="2040"/>
      <c r="F2" s="2040"/>
      <c r="G2" s="1575"/>
      <c r="H2" s="2041"/>
      <c r="I2" s="2041"/>
      <c r="J2" s="2041"/>
      <c r="K2" s="2042"/>
      <c r="L2" s="2041"/>
      <c r="M2" s="2041"/>
    </row>
    <row r="3" spans="1:33" ht="18" customHeight="1" thickBot="1">
      <c r="A3" s="832" t="s">
        <v>1727</v>
      </c>
      <c r="B3" s="833">
        <f ca="1">IF(ISERROR(B2*10000/F43),0,ROUND(B2*10000/F43,0))</f>
        <v>-693</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125" t="s">
        <v>2462</v>
      </c>
      <c r="C6" s="782">
        <f ca="1">ROUND(F6*F8*F7*(1-F9)/10000,0)</f>
        <v>0</v>
      </c>
      <c r="D6" s="2460" t="s">
        <v>2461</v>
      </c>
      <c r="E6" s="783" t="s">
        <v>1738</v>
      </c>
      <c r="F6" s="784">
        <f ca="1">INDIRECT("'数据-取费表'!u"&amp;$G$1)</f>
        <v>0</v>
      </c>
      <c r="G6" s="1577"/>
      <c r="H6" s="2467" t="s">
        <v>2467</v>
      </c>
      <c r="I6" s="4125" t="s">
        <v>2462</v>
      </c>
      <c r="J6" s="782">
        <f ca="1">ROUND(M6*M8*M7*(1-M9)/10000,0)</f>
        <v>0</v>
      </c>
      <c r="K6" s="340" t="s">
        <v>1737</v>
      </c>
      <c r="L6" s="783" t="s">
        <v>1738</v>
      </c>
      <c r="M6" s="784">
        <f ca="1">INDIRECT("'数据-取费表'!z"&amp;$G$1)</f>
        <v>0</v>
      </c>
    </row>
    <row r="7" spans="1:33" ht="18" customHeight="1">
      <c r="A7" s="2463"/>
      <c r="B7" s="4126"/>
      <c r="C7" s="787"/>
      <c r="D7" s="788"/>
      <c r="E7" s="783" t="s">
        <v>1739</v>
      </c>
      <c r="F7" s="784">
        <f ca="1">IF(INDIRECT("'数据-取费表'!ah"&amp;$G$1)="",INDIRECT("'数据-取费表'!k"&amp;$G$1),INDIRECT("'数据-取费表'!ah"&amp;$G$1))</f>
        <v>6493.21</v>
      </c>
      <c r="G7" s="1577"/>
      <c r="H7" s="2452"/>
      <c r="I7" s="4126"/>
      <c r="J7" s="787"/>
      <c r="K7" s="788"/>
      <c r="L7" s="783" t="s">
        <v>1739</v>
      </c>
      <c r="M7" s="784">
        <f ca="1">F7</f>
        <v>6493.21</v>
      </c>
    </row>
    <row r="8" spans="1:33" ht="18" customHeight="1">
      <c r="A8" s="2456"/>
      <c r="B8" s="4127"/>
      <c r="C8" s="787"/>
      <c r="D8" s="788"/>
      <c r="E8" s="783" t="s">
        <v>1740</v>
      </c>
      <c r="F8" s="784">
        <f ca="1">INDIRECT("'数据-取费表'!ai"&amp;$G$1)</f>
        <v>365</v>
      </c>
      <c r="G8" s="1577"/>
      <c r="H8" s="2452"/>
      <c r="I8" s="4127"/>
      <c r="J8" s="787"/>
      <c r="K8" s="788"/>
      <c r="L8" s="783" t="s">
        <v>1740</v>
      </c>
      <c r="M8" s="784">
        <f ca="1">INDIRECT("'数据-取费表'!ai"&amp;$G$1)</f>
        <v>365</v>
      </c>
    </row>
    <row r="9" spans="1:33" ht="18" customHeight="1">
      <c r="A9" s="785"/>
      <c r="B9" s="4128"/>
      <c r="C9" s="787"/>
      <c r="D9" s="788"/>
      <c r="E9" s="783" t="s">
        <v>1741</v>
      </c>
      <c r="F9" s="793">
        <f ca="1">INDIRECT("'数据-取费表'!w"&amp;$G$1)</f>
        <v>0</v>
      </c>
      <c r="G9" s="1577"/>
      <c r="H9" s="2468"/>
      <c r="I9" s="4127"/>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1806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1192</v>
      </c>
      <c r="D14" s="1963" t="s">
        <v>1745</v>
      </c>
      <c r="E14" s="1964"/>
      <c r="F14" s="804"/>
      <c r="G14" s="1577"/>
      <c r="H14" s="1633" t="s">
        <v>1830</v>
      </c>
      <c r="I14" s="2215" t="s">
        <v>2825</v>
      </c>
      <c r="J14" s="53">
        <f ca="1">C29</f>
        <v>1806</v>
      </c>
      <c r="K14" s="26"/>
      <c r="L14" s="800"/>
      <c r="M14" s="801"/>
    </row>
    <row r="15" spans="1:33" s="2048" customFormat="1" ht="18" customHeight="1" thickBot="1">
      <c r="A15" s="1632" t="s">
        <v>1885</v>
      </c>
      <c r="B15" s="783" t="s">
        <v>647</v>
      </c>
      <c r="C15" s="53">
        <f ca="1">ROUND(C14*F15,0)</f>
        <v>36</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179</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120</v>
      </c>
      <c r="G17" s="1578"/>
      <c r="H17" s="1633" t="s">
        <v>1830</v>
      </c>
      <c r="I17" s="783" t="s">
        <v>656</v>
      </c>
      <c r="J17" s="53">
        <f ca="1">ROUND(IF(项目基本情况!B11="自然人",J5*M17,J18+J19+J20),0)</f>
        <v>152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18</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1325</v>
      </c>
      <c r="D19" s="260" t="s">
        <v>1757</v>
      </c>
      <c r="E19" s="1966"/>
      <c r="F19" s="56"/>
      <c r="G19" s="1577"/>
      <c r="H19" s="1632" t="s">
        <v>1885</v>
      </c>
      <c r="I19" s="783" t="s">
        <v>1758</v>
      </c>
      <c r="J19" s="53">
        <f ca="1">IF(K19="按租金收入计税",ROUND(J5*M19,1),ROUND(C29*F33*0.7,1))</f>
        <v>151.69999999999999</v>
      </c>
      <c r="K19" s="810" t="s">
        <v>665</v>
      </c>
      <c r="L19" s="783" t="s">
        <v>1747</v>
      </c>
      <c r="M19" s="808">
        <f>IF(K19="按租金收入计税",'数据-取费表'!B51,'数据-取费表'!B50)</f>
        <v>1.2E-2</v>
      </c>
    </row>
    <row r="20" spans="1:33" s="2048" customFormat="1" ht="18" customHeight="1">
      <c r="A20" s="1633" t="s">
        <v>1889</v>
      </c>
      <c r="B20" s="783" t="s">
        <v>666</v>
      </c>
      <c r="C20" s="53">
        <f ca="1">ROUND(C19*F20,0)</f>
        <v>20</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1197.1699999999998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27</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64</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-179</v>
      </c>
      <c r="K25" s="2511" t="s">
        <v>1777</v>
      </c>
      <c r="L25" s="2512"/>
      <c r="M25" s="2513"/>
    </row>
    <row r="26" spans="1:33" ht="18" customHeight="1">
      <c r="A26" s="1632" t="s">
        <v>1831</v>
      </c>
      <c r="B26" s="783" t="s">
        <v>2438</v>
      </c>
      <c r="C26" s="53">
        <f ca="1">ROUND((C19+C20)*F26,0)</f>
        <v>269</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1806</v>
      </c>
      <c r="D29" s="2508"/>
      <c r="E29" s="2509"/>
      <c r="F29" s="2510"/>
      <c r="G29" s="1578"/>
      <c r="H29" s="822" t="s">
        <v>1787</v>
      </c>
      <c r="I29" s="823" t="s">
        <v>1788</v>
      </c>
      <c r="J29" s="824">
        <f ca="1">ROUND(J26/(1+F40)^F41,0)</f>
        <v>0</v>
      </c>
      <c r="K29" s="825" t="s">
        <v>1789</v>
      </c>
      <c r="L29" s="826"/>
      <c r="M29" s="827">
        <f ca="1">INDIRECT("'数据-取费表'!k"&amp;$G$1)</f>
        <v>6493.21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1197.1699999999998</v>
      </c>
      <c r="G35" s="2046"/>
      <c r="H35" s="2049"/>
      <c r="I35" s="836" t="s">
        <v>1814</v>
      </c>
      <c r="J35" s="837">
        <f ca="1">ROUND(C13*J36,0)</f>
        <v>144</v>
      </c>
      <c r="K35" s="2062"/>
      <c r="L35" s="2061"/>
      <c r="M35" s="2061"/>
    </row>
    <row r="36" spans="1:18" ht="18" customHeight="1">
      <c r="A36" s="1633" t="s">
        <v>1889</v>
      </c>
      <c r="B36" s="783" t="s">
        <v>1802</v>
      </c>
      <c r="C36" s="53">
        <f ca="1">ROUND(C29*F36,1)</f>
        <v>27.1</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2.7</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-30</v>
      </c>
      <c r="D39" s="2511" t="s">
        <v>1806</v>
      </c>
      <c r="E39" s="2512"/>
      <c r="F39" s="2513"/>
      <c r="G39" s="2046"/>
      <c r="H39" s="2061"/>
      <c r="I39" s="836" t="s">
        <v>1818</v>
      </c>
      <c r="J39" s="844">
        <f ca="1">ROUND(J35/C39,3)</f>
        <v>-4.8</v>
      </c>
      <c r="K39" s="2067"/>
      <c r="L39" s="2061"/>
      <c r="M39" s="2061"/>
    </row>
    <row r="40" spans="1:18" ht="18" customHeight="1">
      <c r="A40" s="780" t="s">
        <v>1895</v>
      </c>
      <c r="B40" s="2216" t="s">
        <v>2301</v>
      </c>
      <c r="C40" s="782">
        <f ca="1">ROUND(C39*(1-((1+F42)/(1+F40))^F41)/(F40-F42),0)</f>
        <v>-450</v>
      </c>
      <c r="D40" s="813" t="s">
        <v>1807</v>
      </c>
      <c r="E40" s="783" t="s">
        <v>2419</v>
      </c>
      <c r="F40" s="793">
        <f ca="1">INDIRECT("'数据-取费表'!I"&amp;$G$1)</f>
        <v>5.5E-2</v>
      </c>
      <c r="G40" s="2046"/>
      <c r="H40" s="2046"/>
      <c r="I40" s="836" t="s">
        <v>1819</v>
      </c>
      <c r="J40" s="844">
        <f ca="1">1-J39</f>
        <v>5.8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-4.0129999999999999</v>
      </c>
      <c r="K42" s="2066"/>
      <c r="L42" s="1972"/>
      <c r="M42" s="1972"/>
    </row>
    <row r="43" spans="1:18" ht="18" customHeight="1" thickBot="1">
      <c r="A43" s="822" t="s">
        <v>1787</v>
      </c>
      <c r="B43" s="823" t="s">
        <v>1810</v>
      </c>
      <c r="C43" s="824">
        <f ca="1">ROUND(C40*10000/F43,0)</f>
        <v>-693</v>
      </c>
      <c r="D43" s="825" t="s">
        <v>1811</v>
      </c>
      <c r="E43" s="826" t="s">
        <v>1812</v>
      </c>
      <c r="F43" s="827">
        <f ca="1">INDIRECT("'数据-取费表'!k"&amp;$G$1)</f>
        <v>6493.21</v>
      </c>
      <c r="G43" s="2046"/>
      <c r="H43" s="1972"/>
      <c r="I43" s="846" t="s">
        <v>1822</v>
      </c>
      <c r="J43" s="847">
        <f ca="1">1-J42</f>
        <v>5.0129999999999999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-450</v>
      </c>
      <c r="R48" s="2362" t="s">
        <v>2380</v>
      </c>
    </row>
    <row r="49" spans="1:18" s="2043" customFormat="1" ht="18" customHeight="1" thickBot="1">
      <c r="A49" s="785"/>
      <c r="B49" s="786"/>
      <c r="C49" s="787"/>
      <c r="D49" s="788"/>
      <c r="E49" s="783" t="s">
        <v>1739</v>
      </c>
      <c r="F49" s="784">
        <f ca="1">F7</f>
        <v>6493.21</v>
      </c>
      <c r="G49" s="2074"/>
      <c r="H49" s="2077"/>
      <c r="I49" s="3074" t="s">
        <v>2346</v>
      </c>
      <c r="J49" s="2346">
        <v>2020</v>
      </c>
      <c r="K49" s="3104" t="s">
        <v>2352</v>
      </c>
      <c r="L49" s="2347"/>
      <c r="O49" s="2361" t="s">
        <v>2381</v>
      </c>
      <c r="P49" s="2362" t="s">
        <v>2406</v>
      </c>
      <c r="Q49" s="2363">
        <f ca="1">J60</f>
        <v>798</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1806</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-2841</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36" t="s">
        <v>2962</v>
      </c>
      <c r="L53" s="4137"/>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348</v>
      </c>
      <c r="R54" s="2366" t="s">
        <v>2392</v>
      </c>
    </row>
    <row r="55" spans="1:18" s="2043" customFormat="1" ht="18" customHeight="1" thickTop="1" thickBot="1">
      <c r="A55" s="796">
        <v>2</v>
      </c>
      <c r="B55" s="797" t="s">
        <v>644</v>
      </c>
      <c r="C55" s="798">
        <f ca="1">C13</f>
        <v>1806</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2302</v>
      </c>
      <c r="C56" s="53">
        <f ca="1">C29</f>
        <v>1806</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30</v>
      </c>
      <c r="D57" s="26" t="s">
        <v>1750</v>
      </c>
      <c r="E57" s="2603"/>
      <c r="F57" s="56"/>
      <c r="I57" s="3113" t="s">
        <v>2358</v>
      </c>
      <c r="J57" s="3114">
        <f ca="1">IF(OR(M47="住宅",J51&lt;L48,J56="是"),"——",J51-L48)</f>
        <v>26.5</v>
      </c>
      <c r="K57" s="3074" t="s">
        <v>2363</v>
      </c>
      <c r="L57" s="1892" t="str">
        <f ca="1">IF(L48&lt;J51,"——",IF(L55="比较法",L49,IF(L55="基准地价",L50,L51)))</f>
        <v>——</v>
      </c>
      <c r="O57" s="2361" t="s">
        <v>2379</v>
      </c>
      <c r="P57" s="2362" t="s">
        <v>2409</v>
      </c>
      <c r="Q57" s="2363">
        <f ca="1">C40+J29</f>
        <v>-450</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798</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798</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1197.1699999999998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27.1</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-450</v>
      </c>
      <c r="R63" s="2366" t="s">
        <v>2392</v>
      </c>
    </row>
    <row r="64" spans="1:18" s="2043" customFormat="1" ht="16.5" thickBot="1">
      <c r="A64" s="1633" t="s">
        <v>1890</v>
      </c>
      <c r="B64" s="783" t="s">
        <v>679</v>
      </c>
      <c r="C64" s="53">
        <f ca="1">ROUND(C55*F64,1)</f>
        <v>2.7</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-30</v>
      </c>
      <c r="D66" s="2601" t="s">
        <v>700</v>
      </c>
      <c r="E66" s="2600"/>
      <c r="F66" s="819"/>
      <c r="K66" s="2070"/>
      <c r="O66" s="2361" t="s">
        <v>2379</v>
      </c>
      <c r="P66" s="2362" t="s">
        <v>2409</v>
      </c>
      <c r="Q66" s="2363">
        <f ca="1">C40+J29</f>
        <v>-450</v>
      </c>
      <c r="R66" s="2362" t="s">
        <v>2380</v>
      </c>
    </row>
    <row r="67" spans="1:18" s="2043" customFormat="1" ht="20.25" thickBot="1">
      <c r="A67" s="780" t="s">
        <v>1780</v>
      </c>
      <c r="B67" s="2216" t="s">
        <v>2301</v>
      </c>
      <c r="C67" s="782">
        <f ca="1">ROUND(C66*(1-((1+F69)/(1+F67))^F68)/(F67-F69),0)</f>
        <v>-450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v>
      </c>
      <c r="O68" s="2364" t="s">
        <v>2383</v>
      </c>
      <c r="P68" s="2362" t="s">
        <v>2413</v>
      </c>
      <c r="Q68" s="2368">
        <f ca="1">L51</f>
        <v>-2841</v>
      </c>
      <c r="R68" s="2369" t="s">
        <v>2416</v>
      </c>
    </row>
    <row r="69" spans="1:18" ht="20.25" thickBot="1">
      <c r="A69" s="789"/>
      <c r="B69" s="790"/>
      <c r="C69" s="791"/>
      <c r="D69" s="815"/>
      <c r="E69" s="783" t="s">
        <v>710</v>
      </c>
      <c r="F69" s="2334"/>
      <c r="O69" s="2364" t="s">
        <v>2384</v>
      </c>
      <c r="P69" s="2370" t="s">
        <v>2398</v>
      </c>
      <c r="Q69" s="2363">
        <f ca="1">ROUND(Q70-Q71*Q72,0)</f>
        <v>-174</v>
      </c>
      <c r="R69" s="2366"/>
    </row>
    <row r="70" spans="1:18" ht="15.75" thickBot="1">
      <c r="A70" s="822" t="s">
        <v>1787</v>
      </c>
      <c r="B70" s="823" t="s">
        <v>1810</v>
      </c>
      <c r="C70" s="824">
        <f ca="1">ROUND(C67*10000/F70,0)</f>
        <v>-693</v>
      </c>
      <c r="D70" s="825" t="s">
        <v>1811</v>
      </c>
      <c r="E70" s="826" t="s">
        <v>1812</v>
      </c>
      <c r="F70" s="827">
        <f ca="1">F43</f>
        <v>6493.21</v>
      </c>
      <c r="O70" s="2364" t="s">
        <v>2399</v>
      </c>
      <c r="P70" s="2370" t="s">
        <v>2400</v>
      </c>
      <c r="Q70" s="2363">
        <f ca="1">C39</f>
        <v>-30</v>
      </c>
      <c r="R70" s="2362" t="s">
        <v>2380</v>
      </c>
    </row>
    <row r="71" spans="1:18" ht="15.75" thickBot="1">
      <c r="O71" s="2364" t="s">
        <v>2401</v>
      </c>
      <c r="P71" s="2370" t="s">
        <v>2402</v>
      </c>
      <c r="Q71" s="2363">
        <f ca="1">C13</f>
        <v>1806</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-450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54" t="s">
        <v>2470</v>
      </c>
      <c r="B1" s="4155"/>
      <c r="C1" s="4156"/>
      <c r="D1" s="4157">
        <f>SUM(I10,I15,I20,I21,I23)</f>
        <v>0</v>
      </c>
      <c r="E1" s="4157"/>
      <c r="F1" s="4157"/>
      <c r="G1" s="4157"/>
      <c r="H1" s="4157"/>
      <c r="I1" s="4158"/>
    </row>
    <row r="2" spans="1:9">
      <c r="A2" s="4144" t="s">
        <v>2471</v>
      </c>
      <c r="B2" s="4145" t="s">
        <v>2472</v>
      </c>
      <c r="C2" s="4145"/>
      <c r="D2" s="2470" t="s">
        <v>2473</v>
      </c>
      <c r="E2" s="2470" t="s">
        <v>2474</v>
      </c>
      <c r="F2" s="2470" t="s">
        <v>2475</v>
      </c>
      <c r="G2" s="2470" t="s">
        <v>2476</v>
      </c>
      <c r="H2" s="2470" t="s">
        <v>2477</v>
      </c>
      <c r="I2" s="2471" t="s">
        <v>2478</v>
      </c>
    </row>
    <row r="3" spans="1:9">
      <c r="A3" s="4144"/>
      <c r="B3" s="4145" t="s">
        <v>2479</v>
      </c>
      <c r="C3" s="4145"/>
      <c r="D3" s="2472"/>
      <c r="E3" s="2470"/>
      <c r="F3" s="2473"/>
      <c r="G3" s="2473"/>
      <c r="H3" s="2474"/>
      <c r="I3" s="2475">
        <f>ROUND(D3*E3*F3*G3*H3/10000,0)</f>
        <v>0</v>
      </c>
    </row>
    <row r="4" spans="1:9">
      <c r="A4" s="4144"/>
      <c r="B4" s="4145" t="s">
        <v>2480</v>
      </c>
      <c r="C4" s="4145"/>
      <c r="D4" s="2472"/>
      <c r="E4" s="2470"/>
      <c r="F4" s="2473"/>
      <c r="G4" s="2473"/>
      <c r="H4" s="2474"/>
      <c r="I4" s="2475">
        <f t="shared" ref="I4:I9" si="0">ROUND(D4*E4*F4*G4*H4/10000,0)</f>
        <v>0</v>
      </c>
    </row>
    <row r="5" spans="1:9">
      <c r="A5" s="4144"/>
      <c r="B5" s="4145" t="s">
        <v>2481</v>
      </c>
      <c r="C5" s="4145"/>
      <c r="D5" s="2472"/>
      <c r="E5" s="2470"/>
      <c r="F5" s="2473"/>
      <c r="G5" s="2473"/>
      <c r="H5" s="2474"/>
      <c r="I5" s="2475">
        <f t="shared" si="0"/>
        <v>0</v>
      </c>
    </row>
    <row r="6" spans="1:9">
      <c r="A6" s="4144"/>
      <c r="B6" s="4145" t="s">
        <v>2482</v>
      </c>
      <c r="C6" s="4145"/>
      <c r="D6" s="2472"/>
      <c r="E6" s="2470"/>
      <c r="F6" s="2473"/>
      <c r="G6" s="2473"/>
      <c r="H6" s="2474"/>
      <c r="I6" s="2475">
        <f t="shared" si="0"/>
        <v>0</v>
      </c>
    </row>
    <row r="7" spans="1:9">
      <c r="A7" s="4144"/>
      <c r="B7" s="4145" t="s">
        <v>2483</v>
      </c>
      <c r="C7" s="4145"/>
      <c r="D7" s="2472"/>
      <c r="E7" s="2470"/>
      <c r="F7" s="2473"/>
      <c r="G7" s="2473"/>
      <c r="H7" s="2474"/>
      <c r="I7" s="2475">
        <f t="shared" si="0"/>
        <v>0</v>
      </c>
    </row>
    <row r="8" spans="1:9">
      <c r="A8" s="4144"/>
      <c r="B8" s="4145" t="s">
        <v>2484</v>
      </c>
      <c r="C8" s="4145"/>
      <c r="D8" s="2472"/>
      <c r="E8" s="2470"/>
      <c r="F8" s="2473"/>
      <c r="G8" s="2473"/>
      <c r="H8" s="2474"/>
      <c r="I8" s="2475">
        <f t="shared" si="0"/>
        <v>0</v>
      </c>
    </row>
    <row r="9" spans="1:9">
      <c r="A9" s="4144"/>
      <c r="B9" s="4145" t="s">
        <v>2485</v>
      </c>
      <c r="C9" s="4145"/>
      <c r="D9" s="2472"/>
      <c r="E9" s="2470"/>
      <c r="F9" s="2473"/>
      <c r="G9" s="2473"/>
      <c r="H9" s="2474"/>
      <c r="I9" s="2475">
        <f t="shared" si="0"/>
        <v>0</v>
      </c>
    </row>
    <row r="10" spans="1:9">
      <c r="A10" s="4144"/>
      <c r="B10" s="4146" t="s">
        <v>2486</v>
      </c>
      <c r="C10" s="4146"/>
      <c r="D10" s="2476">
        <v>527</v>
      </c>
      <c r="E10" s="2476" t="e">
        <f>ROUND(D1*10000/D10/H9,0)</f>
        <v>#DIV/0!</v>
      </c>
      <c r="F10" s="2477"/>
      <c r="G10" s="2477"/>
      <c r="H10" s="2478"/>
      <c r="I10" s="2479">
        <f>SUM(I3:I9)</f>
        <v>0</v>
      </c>
    </row>
    <row r="11" spans="1:9" ht="14.25">
      <c r="A11" s="4144" t="s">
        <v>2487</v>
      </c>
      <c r="B11" s="4145" t="s">
        <v>2488</v>
      </c>
      <c r="C11" s="4145"/>
      <c r="D11" s="2472" t="s">
        <v>2489</v>
      </c>
      <c r="E11" s="2472" t="s">
        <v>2490</v>
      </c>
      <c r="F11" s="2473" t="s">
        <v>2491</v>
      </c>
      <c r="G11" s="2473" t="s">
        <v>2492</v>
      </c>
      <c r="H11" s="2480" t="s">
        <v>2493</v>
      </c>
      <c r="I11" s="2471" t="s">
        <v>2494</v>
      </c>
    </row>
    <row r="12" spans="1:9">
      <c r="A12" s="4144"/>
      <c r="B12" s="4145" t="s">
        <v>2495</v>
      </c>
      <c r="C12" s="4145"/>
      <c r="D12" s="2472"/>
      <c r="E12" s="2472"/>
      <c r="F12" s="2473"/>
      <c r="G12" s="2474"/>
      <c r="H12" s="2481"/>
      <c r="I12" s="2471">
        <f>ROUND(D12*E12*F12*G12/10000,0)</f>
        <v>0</v>
      </c>
    </row>
    <row r="13" spans="1:9">
      <c r="A13" s="4144"/>
      <c r="B13" s="4145" t="s">
        <v>2496</v>
      </c>
      <c r="C13" s="4145"/>
      <c r="D13" s="2472"/>
      <c r="E13" s="2472"/>
      <c r="F13" s="2473"/>
      <c r="G13" s="2474"/>
      <c r="H13" s="2481"/>
      <c r="I13" s="2471">
        <f>ROUND(D13*E13*F13*G13/10000,0)</f>
        <v>0</v>
      </c>
    </row>
    <row r="14" spans="1:9">
      <c r="A14" s="4144"/>
      <c r="B14" s="4145" t="s">
        <v>2497</v>
      </c>
      <c r="C14" s="4145"/>
      <c r="D14" s="2472"/>
      <c r="E14" s="2472"/>
      <c r="F14" s="2473"/>
      <c r="G14" s="2474"/>
      <c r="H14" s="2481"/>
      <c r="I14" s="2471">
        <f>ROUND(D14*E14*F14*G14/10000,0)</f>
        <v>0</v>
      </c>
    </row>
    <row r="15" spans="1:9">
      <c r="A15" s="4144"/>
      <c r="B15" s="4146" t="s">
        <v>2486</v>
      </c>
      <c r="C15" s="4146"/>
      <c r="D15" s="2476"/>
      <c r="E15" s="2476">
        <f>SUM(E12:E14)</f>
        <v>0</v>
      </c>
      <c r="F15" s="2477"/>
      <c r="G15" s="2474"/>
      <c r="H15" s="2481"/>
      <c r="I15" s="2482">
        <f>SUM(I12:I14)</f>
        <v>0</v>
      </c>
    </row>
    <row r="16" spans="1:9" ht="24">
      <c r="A16" s="4144" t="s">
        <v>2498</v>
      </c>
      <c r="B16" s="4145" t="s">
        <v>2499</v>
      </c>
      <c r="C16" s="4145"/>
      <c r="D16" s="2472" t="s">
        <v>2500</v>
      </c>
      <c r="E16" s="2483" t="s">
        <v>2501</v>
      </c>
      <c r="F16" s="2473" t="s">
        <v>2502</v>
      </c>
      <c r="G16" s="2474" t="s">
        <v>2492</v>
      </c>
      <c r="H16" s="2480" t="s">
        <v>2493</v>
      </c>
      <c r="I16" s="2471" t="s">
        <v>2494</v>
      </c>
    </row>
    <row r="17" spans="1:9" ht="14.25">
      <c r="A17" s="4144"/>
      <c r="B17" s="4145" t="s">
        <v>2503</v>
      </c>
      <c r="C17" s="4145"/>
      <c r="D17" s="2472"/>
      <c r="E17" s="2472"/>
      <c r="F17" s="2473"/>
      <c r="G17" s="2474"/>
      <c r="H17" s="2484"/>
      <c r="I17" s="2485">
        <f>ROUND(D17*E17*F17*G17/10000,0)</f>
        <v>0</v>
      </c>
    </row>
    <row r="18" spans="1:9" ht="14.25">
      <c r="A18" s="4144"/>
      <c r="B18" s="4145" t="s">
        <v>2504</v>
      </c>
      <c r="C18" s="4145"/>
      <c r="D18" s="2472"/>
      <c r="E18" s="2472"/>
      <c r="F18" s="2473"/>
      <c r="G18" s="2474"/>
      <c r="H18" s="2484"/>
      <c r="I18" s="2485">
        <f>ROUND(D18*E18*F18*G18/10000,0)</f>
        <v>0</v>
      </c>
    </row>
    <row r="19" spans="1:9" ht="14.25">
      <c r="A19" s="4144"/>
      <c r="B19" s="4145" t="s">
        <v>2505</v>
      </c>
      <c r="C19" s="4145"/>
      <c r="D19" s="2472"/>
      <c r="E19" s="2472"/>
      <c r="F19" s="2473"/>
      <c r="G19" s="2474"/>
      <c r="H19" s="2484"/>
      <c r="I19" s="2485">
        <f>ROUND(D19*E19*F19*G19/10000,0)</f>
        <v>0</v>
      </c>
    </row>
    <row r="20" spans="1:9">
      <c r="A20" s="4144"/>
      <c r="B20" s="4146" t="s">
        <v>2486</v>
      </c>
      <c r="C20" s="4146"/>
      <c r="D20" s="2476">
        <f>SUM(D17:D19)</f>
        <v>0</v>
      </c>
      <c r="E20" s="2476"/>
      <c r="F20" s="2477"/>
      <c r="G20" s="2474"/>
      <c r="H20" s="2481"/>
      <c r="I20" s="2482">
        <f>SUM(I17:I19)</f>
        <v>0</v>
      </c>
    </row>
    <row r="21" spans="1:9">
      <c r="A21" s="4144" t="s">
        <v>2506</v>
      </c>
      <c r="B21" s="4147"/>
      <c r="C21" s="4147"/>
      <c r="D21" s="4147"/>
      <c r="E21" s="4147"/>
      <c r="F21" s="4147"/>
      <c r="G21" s="4147"/>
      <c r="H21" s="2486">
        <v>0.1</v>
      </c>
      <c r="I21" s="2479">
        <f>ROUND(I10*H21,0)</f>
        <v>0</v>
      </c>
    </row>
    <row r="22" spans="1:9" ht="14.25">
      <c r="A22" s="4148" t="s">
        <v>2507</v>
      </c>
      <c r="B22" s="4149"/>
      <c r="C22" s="4150"/>
      <c r="D22" s="2487" t="s">
        <v>2508</v>
      </c>
      <c r="E22" s="2487" t="s">
        <v>2509</v>
      </c>
      <c r="F22" s="2488" t="s">
        <v>2510</v>
      </c>
      <c r="G22" s="2488" t="s">
        <v>2511</v>
      </c>
      <c r="H22" s="2480" t="s">
        <v>2512</v>
      </c>
      <c r="I22" s="2471" t="s">
        <v>2513</v>
      </c>
    </row>
    <row r="23" spans="1:9" ht="14.25" thickBot="1">
      <c r="A23" s="4151"/>
      <c r="B23" s="4152"/>
      <c r="C23" s="4153"/>
      <c r="D23" s="2489"/>
      <c r="E23" s="2489"/>
      <c r="F23" s="2489"/>
      <c r="G23" s="2490"/>
      <c r="H23" s="2491"/>
      <c r="I23" s="2492">
        <f>ROUND(E23*D23*F23*(1-G23)/10000,0)</f>
        <v>0</v>
      </c>
    </row>
    <row r="26" spans="1:9">
      <c r="A26" s="2493" t="s">
        <v>2514</v>
      </c>
      <c r="B26" s="2493"/>
      <c r="C26" s="2493"/>
      <c r="D26" s="2493"/>
      <c r="E26" s="4141">
        <f>C27-C30-C31-C32</f>
        <v>0</v>
      </c>
      <c r="F26" s="4141"/>
      <c r="G26" s="4141"/>
      <c r="H26" s="2992" t="s">
        <v>2842</v>
      </c>
    </row>
    <row r="27" spans="1:9">
      <c r="A27" s="2494">
        <v>1</v>
      </c>
      <c r="B27" s="2495" t="s">
        <v>2515</v>
      </c>
      <c r="C27" s="2495"/>
      <c r="D27" s="2495"/>
      <c r="E27" s="4142"/>
      <c r="F27" s="4142"/>
      <c r="G27" s="4142"/>
    </row>
    <row r="28" spans="1:9">
      <c r="A28" s="2496" t="s">
        <v>2516</v>
      </c>
      <c r="B28" s="2495" t="s">
        <v>2517</v>
      </c>
      <c r="C28" s="2495"/>
      <c r="D28" s="2495"/>
      <c r="E28" s="4142"/>
      <c r="F28" s="4142"/>
      <c r="G28" s="4142"/>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43"/>
      <c r="F32" s="4143"/>
      <c r="G32" s="4143"/>
    </row>
    <row r="33" spans="1:7" hidden="1">
      <c r="A33" s="4138" t="s">
        <v>2525</v>
      </c>
      <c r="B33" s="4139"/>
      <c r="C33" s="4139"/>
      <c r="D33" s="4140"/>
      <c r="E33" s="4141"/>
      <c r="F33" s="4141"/>
      <c r="G33" s="4141"/>
    </row>
    <row r="34" spans="1:7" hidden="1">
      <c r="A34" s="2498">
        <v>1</v>
      </c>
      <c r="B34" s="2495" t="s">
        <v>2526</v>
      </c>
      <c r="C34" s="2495"/>
      <c r="D34" s="2495"/>
      <c r="E34" s="4142"/>
      <c r="F34" s="4142"/>
      <c r="G34" s="4142"/>
    </row>
    <row r="35" spans="1:7" hidden="1">
      <c r="A35" s="2498">
        <v>2</v>
      </c>
      <c r="B35" s="2495" t="s">
        <v>2527</v>
      </c>
      <c r="C35" s="2495"/>
      <c r="D35" s="2495"/>
      <c r="E35" s="4142"/>
      <c r="F35" s="4142"/>
      <c r="G35" s="4142"/>
    </row>
    <row r="36" spans="1:7" hidden="1">
      <c r="A36" s="2498">
        <v>3</v>
      </c>
      <c r="B36" s="2495" t="s">
        <v>2528</v>
      </c>
      <c r="C36" s="2495"/>
      <c r="D36" s="2495"/>
      <c r="E36" s="4142"/>
      <c r="F36" s="4142"/>
      <c r="G36" s="4142"/>
    </row>
    <row r="37" spans="1:7" hidden="1">
      <c r="A37" s="2498">
        <v>4</v>
      </c>
      <c r="B37" s="2495" t="s">
        <v>2529</v>
      </c>
      <c r="C37" s="2495"/>
      <c r="D37" s="2495"/>
      <c r="E37" s="4142"/>
      <c r="F37" s="4142"/>
      <c r="G37" s="4142"/>
    </row>
    <row r="38" spans="1:7" hidden="1">
      <c r="A38" s="4138" t="s">
        <v>2530</v>
      </c>
      <c r="B38" s="4139"/>
      <c r="C38" s="4139"/>
      <c r="D38" s="4140"/>
      <c r="E38" s="4141"/>
      <c r="F38" s="4141"/>
      <c r="G38" s="41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111281.46</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1480</v>
      </c>
      <c r="D12" s="757">
        <f>'数据-汇总表'!E5</f>
        <v>82203.94</v>
      </c>
      <c r="E12" s="756">
        <f>'数据-取费表'!B27</f>
        <v>180</v>
      </c>
      <c r="F12" s="754"/>
      <c r="G12" s="758"/>
    </row>
    <row r="13" spans="1:25" s="2167" customFormat="1" ht="13.5" customHeight="1">
      <c r="A13" s="2439" t="s">
        <v>2447</v>
      </c>
      <c r="B13" s="755" t="s">
        <v>612</v>
      </c>
      <c r="C13" s="756">
        <f>ROUND(D13*E13/10000,0)</f>
        <v>523</v>
      </c>
      <c r="D13" s="757">
        <f>'数据-汇总表'!E6</f>
        <v>29077.520000000004</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0.83499999999999996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6827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6493.21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57" t="s">
        <v>522</v>
      </c>
      <c r="D4" s="4058"/>
      <c r="E4" s="4081" t="s">
        <v>523</v>
      </c>
      <c r="F4" s="4082"/>
      <c r="G4" s="4057" t="s">
        <v>524</v>
      </c>
      <c r="H4" s="4058"/>
      <c r="I4" s="4057" t="s">
        <v>525</v>
      </c>
      <c r="J4" s="4058"/>
      <c r="K4" s="513" t="s">
        <v>526</v>
      </c>
      <c r="L4" s="2117"/>
      <c r="M4" s="2118"/>
      <c r="N4" s="2118"/>
      <c r="O4" s="2118"/>
      <c r="P4" s="4059" t="s">
        <v>527</v>
      </c>
      <c r="Q4" s="4060"/>
      <c r="R4" s="4045" t="s">
        <v>523</v>
      </c>
      <c r="S4" s="4046"/>
      <c r="T4" s="4045" t="s">
        <v>524</v>
      </c>
      <c r="U4" s="4046"/>
      <c r="V4" s="4065" t="s">
        <v>525</v>
      </c>
      <c r="W4" s="4065"/>
      <c r="X4" s="1552"/>
      <c r="Y4" s="4045" t="s">
        <v>527</v>
      </c>
      <c r="Z4" s="4046"/>
      <c r="AA4" s="4040" t="s">
        <v>523</v>
      </c>
      <c r="AB4" s="4065" t="s">
        <v>524</v>
      </c>
      <c r="AC4" s="4040" t="s">
        <v>525</v>
      </c>
    </row>
    <row r="5" spans="1:29" ht="15">
      <c r="A5" s="514"/>
      <c r="B5" s="515"/>
      <c r="C5" s="4068" t="s">
        <v>2926</v>
      </c>
      <c r="D5" s="4069"/>
      <c r="E5" s="4131" t="s">
        <v>3553</v>
      </c>
      <c r="F5" s="4084"/>
      <c r="G5" s="4132" t="s">
        <v>3321</v>
      </c>
      <c r="H5" s="4069"/>
      <c r="I5" s="4132" t="s">
        <v>3345</v>
      </c>
      <c r="J5" s="4069"/>
      <c r="K5" s="513"/>
      <c r="L5" s="2117"/>
      <c r="M5" s="2118"/>
      <c r="N5" s="2118"/>
      <c r="O5" s="2118"/>
      <c r="P5" s="4061"/>
      <c r="Q5" s="4062"/>
      <c r="R5" s="4047"/>
      <c r="S5" s="4048"/>
      <c r="T5" s="4047"/>
      <c r="U5" s="4048"/>
      <c r="V5" s="4065"/>
      <c r="W5" s="4065"/>
      <c r="X5" s="1552"/>
      <c r="Y5" s="4047"/>
      <c r="Z5" s="4048"/>
      <c r="AA5" s="4041"/>
      <c r="AB5" s="4065"/>
      <c r="AC5" s="4041"/>
    </row>
    <row r="6" spans="1:29" ht="15.75" thickBot="1">
      <c r="A6" s="516"/>
      <c r="B6" s="517"/>
      <c r="C6" s="4066" t="s">
        <v>2930</v>
      </c>
      <c r="D6" s="4067"/>
      <c r="E6" s="4085" t="s">
        <v>2930</v>
      </c>
      <c r="F6" s="4086"/>
      <c r="G6" s="4066" t="s">
        <v>2930</v>
      </c>
      <c r="H6" s="4067"/>
      <c r="I6" s="4066" t="s">
        <v>2930</v>
      </c>
      <c r="J6" s="4067"/>
      <c r="K6" s="513" t="s">
        <v>528</v>
      </c>
      <c r="L6" s="2117"/>
      <c r="M6" s="2118"/>
      <c r="N6" s="2118"/>
      <c r="O6" s="2118"/>
      <c r="P6" s="4063"/>
      <c r="Q6" s="4064"/>
      <c r="R6" s="4047"/>
      <c r="S6" s="4048"/>
      <c r="T6" s="4049"/>
      <c r="U6" s="4050"/>
      <c r="V6" s="4065"/>
      <c r="W6" s="4065"/>
      <c r="X6" s="1552"/>
      <c r="Y6" s="4049"/>
      <c r="Z6" s="4050"/>
      <c r="AA6" s="4042"/>
      <c r="AB6" s="4065"/>
      <c r="AC6" s="4042"/>
    </row>
    <row r="7" spans="1:29" s="1215" customFormat="1" ht="15.75" thickBot="1">
      <c r="A7" s="2865"/>
      <c r="B7" s="2872" t="s">
        <v>529</v>
      </c>
      <c r="C7" s="518">
        <f>'数据-取费表'!B2</f>
        <v>43671</v>
      </c>
      <c r="D7" s="519">
        <v>100</v>
      </c>
      <c r="E7" s="520">
        <f>C7</f>
        <v>43671</v>
      </c>
      <c r="F7" s="521">
        <f>SUMIF(58:58,YEAR(E7)&amp;"-"&amp;MONTH(E7),59:59)</f>
        <v>100</v>
      </c>
      <c r="G7" s="520">
        <f>C7</f>
        <v>43671</v>
      </c>
      <c r="H7" s="519">
        <f>SUMIF(58:58,YEAR(G7)&amp;"-"&amp;MONTH(G7),59:59)</f>
        <v>100</v>
      </c>
      <c r="I7" s="520">
        <f>C7</f>
        <v>43671</v>
      </c>
      <c r="J7" s="519">
        <f>SUMIF(58:58,YEAR(I7)&amp;"-"&amp;MONTH(I7),59:59)</f>
        <v>100</v>
      </c>
      <c r="K7" s="523"/>
      <c r="L7" s="2119"/>
      <c r="M7" s="2120"/>
      <c r="N7" s="2120"/>
      <c r="O7" s="2120"/>
      <c r="P7" s="4043" t="s">
        <v>530</v>
      </c>
      <c r="Q7" s="4052"/>
      <c r="R7" s="1553" t="s">
        <v>8</v>
      </c>
      <c r="S7" s="1554">
        <f t="shared" ref="S7:S15" si="0">F7</f>
        <v>100</v>
      </c>
      <c r="T7" s="1553" t="s">
        <v>8</v>
      </c>
      <c r="U7" s="1554">
        <f t="shared" ref="U7:U15" si="1">H7</f>
        <v>100</v>
      </c>
      <c r="V7" s="1553" t="s">
        <v>8</v>
      </c>
      <c r="W7" s="1554">
        <f t="shared" ref="W7:W15" si="2">J7</f>
        <v>100</v>
      </c>
      <c r="X7" s="1555"/>
      <c r="Y7" s="4043" t="s">
        <v>530</v>
      </c>
      <c r="Z7" s="4044"/>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043" t="s">
        <v>533</v>
      </c>
      <c r="Q8" s="4044"/>
      <c r="R8" s="1553" t="s">
        <v>8</v>
      </c>
      <c r="S8" s="1554">
        <f t="shared" si="0"/>
        <v>100</v>
      </c>
      <c r="T8" s="1553" t="s">
        <v>8</v>
      </c>
      <c r="U8" s="1554">
        <f t="shared" si="1"/>
        <v>100</v>
      </c>
      <c r="V8" s="1553" t="s">
        <v>8</v>
      </c>
      <c r="W8" s="1554">
        <f t="shared" si="2"/>
        <v>100</v>
      </c>
      <c r="X8" s="1555"/>
      <c r="Y8" s="4043" t="s">
        <v>533</v>
      </c>
      <c r="Z8" s="4044"/>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51" t="s">
        <v>535</v>
      </c>
      <c r="Q9" s="1146" t="str">
        <f t="shared" ref="Q9:Q15" si="6">B9</f>
        <v>用途</v>
      </c>
      <c r="R9" s="1553" t="s">
        <v>8</v>
      </c>
      <c r="S9" s="1554">
        <f t="shared" si="0"/>
        <v>100</v>
      </c>
      <c r="T9" s="1553" t="s">
        <v>8</v>
      </c>
      <c r="U9" s="1554">
        <f t="shared" si="1"/>
        <v>100</v>
      </c>
      <c r="V9" s="1553" t="s">
        <v>8</v>
      </c>
      <c r="W9" s="1554">
        <f t="shared" si="2"/>
        <v>100</v>
      </c>
      <c r="X9" s="1555"/>
      <c r="Y9" s="4008"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51"/>
      <c r="Q10" s="1146" t="str">
        <f t="shared" si="6"/>
        <v>土地使用年限（年）</v>
      </c>
      <c r="R10" s="1553" t="s">
        <v>8</v>
      </c>
      <c r="S10" s="1554">
        <f t="shared" si="0"/>
        <v>100</v>
      </c>
      <c r="T10" s="1553" t="s">
        <v>8</v>
      </c>
      <c r="U10" s="1554">
        <f t="shared" si="1"/>
        <v>100</v>
      </c>
      <c r="V10" s="1553" t="s">
        <v>8</v>
      </c>
      <c r="W10" s="1554">
        <f t="shared" si="2"/>
        <v>100</v>
      </c>
      <c r="X10" s="1555"/>
      <c r="Y10" s="4008"/>
      <c r="Z10" s="1145" t="str">
        <f t="shared" si="7"/>
        <v>土地使用年限（年）</v>
      </c>
      <c r="AA10" s="1556">
        <f t="shared" si="3"/>
        <v>1</v>
      </c>
      <c r="AB10" s="1556">
        <f t="shared" si="4"/>
        <v>1</v>
      </c>
      <c r="AC10" s="1556">
        <f t="shared" si="5"/>
        <v>1</v>
      </c>
    </row>
    <row r="11" spans="1:29" ht="15">
      <c r="A11" s="2869"/>
      <c r="B11" s="2873" t="s">
        <v>2757</v>
      </c>
      <c r="C11" s="532">
        <f>'数据-汇总表'!I7</f>
        <v>4.4000000000000004</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51"/>
      <c r="Q11" s="1146" t="str">
        <f t="shared" si="6"/>
        <v>容积率</v>
      </c>
      <c r="R11" s="1553" t="s">
        <v>8</v>
      </c>
      <c r="S11" s="1554">
        <f t="shared" si="0"/>
        <v>104</v>
      </c>
      <c r="T11" s="1553" t="s">
        <v>8</v>
      </c>
      <c r="U11" s="1554">
        <f t="shared" si="1"/>
        <v>102</v>
      </c>
      <c r="V11" s="1553" t="s">
        <v>8</v>
      </c>
      <c r="W11" s="1554">
        <f t="shared" si="2"/>
        <v>104</v>
      </c>
      <c r="X11" s="1555"/>
      <c r="Y11" s="4008"/>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51"/>
      <c r="Q12" s="1146">
        <f t="shared" si="6"/>
        <v>111</v>
      </c>
      <c r="R12" s="1553" t="s">
        <v>8</v>
      </c>
      <c r="S12" s="1554">
        <f t="shared" si="0"/>
        <v>100</v>
      </c>
      <c r="T12" s="1553" t="s">
        <v>8</v>
      </c>
      <c r="U12" s="1554">
        <f t="shared" si="1"/>
        <v>100</v>
      </c>
      <c r="V12" s="1553" t="s">
        <v>8</v>
      </c>
      <c r="W12" s="1554">
        <f t="shared" si="2"/>
        <v>100</v>
      </c>
      <c r="X12" s="1555"/>
      <c r="Y12" s="4008"/>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51"/>
      <c r="Q13" s="1146">
        <f t="shared" si="6"/>
        <v>111</v>
      </c>
      <c r="R13" s="1553" t="s">
        <v>8</v>
      </c>
      <c r="S13" s="1554">
        <f t="shared" si="0"/>
        <v>100</v>
      </c>
      <c r="T13" s="1553" t="s">
        <v>8</v>
      </c>
      <c r="U13" s="1554">
        <f t="shared" si="1"/>
        <v>100</v>
      </c>
      <c r="V13" s="1553" t="s">
        <v>8</v>
      </c>
      <c r="W13" s="1554">
        <f t="shared" si="2"/>
        <v>100</v>
      </c>
      <c r="X13" s="1555"/>
      <c r="Y13" s="4008"/>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51"/>
      <c r="Q14" s="1146">
        <f t="shared" si="6"/>
        <v>111</v>
      </c>
      <c r="R14" s="1553" t="s">
        <v>8</v>
      </c>
      <c r="S14" s="1554">
        <f t="shared" si="0"/>
        <v>100</v>
      </c>
      <c r="T14" s="1553" t="s">
        <v>8</v>
      </c>
      <c r="U14" s="1554">
        <f t="shared" si="1"/>
        <v>100</v>
      </c>
      <c r="V14" s="1553" t="s">
        <v>8</v>
      </c>
      <c r="W14" s="1554">
        <f t="shared" si="2"/>
        <v>100</v>
      </c>
      <c r="X14" s="1555"/>
      <c r="Y14" s="4008"/>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053" t="s">
        <v>540</v>
      </c>
      <c r="Q15" s="1557" t="str">
        <f t="shared" si="6"/>
        <v>商业繁华度</v>
      </c>
      <c r="R15" s="1558" t="s">
        <v>8</v>
      </c>
      <c r="S15" s="1559">
        <f t="shared" si="0"/>
        <v>100</v>
      </c>
      <c r="T15" s="1558" t="s">
        <v>8</v>
      </c>
      <c r="U15" s="1559">
        <f t="shared" si="1"/>
        <v>100</v>
      </c>
      <c r="V15" s="1558" t="s">
        <v>8</v>
      </c>
      <c r="W15" s="1559">
        <f t="shared" si="2"/>
        <v>100</v>
      </c>
      <c r="X15" s="1552"/>
      <c r="Y15" s="4053"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054"/>
      <c r="Q16" s="1557"/>
      <c r="R16" s="1558"/>
      <c r="S16" s="1559"/>
      <c r="T16" s="1558"/>
      <c r="U16" s="1559"/>
      <c r="V16" s="1558"/>
      <c r="W16" s="1559"/>
      <c r="X16" s="1552"/>
      <c r="Y16" s="4054"/>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054"/>
      <c r="Q17" s="1557" t="str">
        <f>B17</f>
        <v>交通便捷度</v>
      </c>
      <c r="R17" s="1558" t="s">
        <v>8</v>
      </c>
      <c r="S17" s="1559">
        <f>F17</f>
        <v>100</v>
      </c>
      <c r="T17" s="1558" t="s">
        <v>8</v>
      </c>
      <c r="U17" s="1559">
        <f>H17</f>
        <v>100</v>
      </c>
      <c r="V17" s="1558" t="s">
        <v>8</v>
      </c>
      <c r="W17" s="1559">
        <f>J17</f>
        <v>100</v>
      </c>
      <c r="X17" s="1552"/>
      <c r="Y17" s="4054"/>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054"/>
      <c r="Q18" s="1557"/>
      <c r="R18" s="1558"/>
      <c r="S18" s="1559"/>
      <c r="T18" s="1558"/>
      <c r="U18" s="1559"/>
      <c r="V18" s="1558"/>
      <c r="W18" s="1559"/>
      <c r="X18" s="1552"/>
      <c r="Y18" s="4054"/>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054"/>
      <c r="Q19" s="1557" t="str">
        <f>B19</f>
        <v>公共配套设施</v>
      </c>
      <c r="R19" s="1558" t="s">
        <v>8</v>
      </c>
      <c r="S19" s="1559">
        <f>F19</f>
        <v>100</v>
      </c>
      <c r="T19" s="1558" t="s">
        <v>8</v>
      </c>
      <c r="U19" s="1559">
        <f>H19</f>
        <v>102</v>
      </c>
      <c r="V19" s="1558" t="s">
        <v>8</v>
      </c>
      <c r="W19" s="1559">
        <f>J19</f>
        <v>102</v>
      </c>
      <c r="X19" s="1552"/>
      <c r="Y19" s="4054"/>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054"/>
      <c r="Q20" s="1557"/>
      <c r="R20" s="1558"/>
      <c r="S20" s="1559"/>
      <c r="T20" s="1558"/>
      <c r="U20" s="1559"/>
      <c r="V20" s="1558"/>
      <c r="W20" s="1559"/>
      <c r="X20" s="1552"/>
      <c r="Y20" s="4054"/>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054"/>
      <c r="Q21" s="2542" t="str">
        <f>B21</f>
        <v>基础设施水平</v>
      </c>
      <c r="R21" s="1558" t="s">
        <v>8</v>
      </c>
      <c r="S21" s="1559">
        <f>F21</f>
        <v>100</v>
      </c>
      <c r="T21" s="1558" t="s">
        <v>8</v>
      </c>
      <c r="U21" s="1559">
        <f>H21</f>
        <v>100</v>
      </c>
      <c r="V21" s="1558" t="s">
        <v>8</v>
      </c>
      <c r="W21" s="1559">
        <f>J21</f>
        <v>100</v>
      </c>
      <c r="X21" s="2544"/>
      <c r="Y21" s="4054"/>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054"/>
      <c r="Q22" s="2542"/>
      <c r="R22" s="1558"/>
      <c r="S22" s="1559"/>
      <c r="T22" s="1558"/>
      <c r="U22" s="1559"/>
      <c r="V22" s="1558"/>
      <c r="W22" s="1559"/>
      <c r="X22" s="2544"/>
      <c r="Y22" s="4054"/>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054"/>
      <c r="Q23" s="1557" t="str">
        <f>B23</f>
        <v>自然及人文环境</v>
      </c>
      <c r="R23" s="1558" t="s">
        <v>8</v>
      </c>
      <c r="S23" s="1559">
        <f>F23</f>
        <v>100</v>
      </c>
      <c r="T23" s="1558" t="s">
        <v>8</v>
      </c>
      <c r="U23" s="1559">
        <f>H23</f>
        <v>100</v>
      </c>
      <c r="V23" s="1558" t="s">
        <v>8</v>
      </c>
      <c r="W23" s="1559">
        <f>J23</f>
        <v>100</v>
      </c>
      <c r="X23" s="1552"/>
      <c r="Y23" s="4054"/>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054"/>
      <c r="Q24" s="1557"/>
      <c r="R24" s="1558"/>
      <c r="S24" s="1559"/>
      <c r="T24" s="1558"/>
      <c r="U24" s="1559"/>
      <c r="V24" s="1558"/>
      <c r="W24" s="1559"/>
      <c r="X24" s="1552"/>
      <c r="Y24" s="4054"/>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054"/>
      <c r="Q25" s="1557" t="str">
        <f t="shared" ref="Q25:Q46" si="11">B25</f>
        <v>临街状况</v>
      </c>
      <c r="R25" s="1558" t="s">
        <v>8</v>
      </c>
      <c r="S25" s="1559">
        <f>F25</f>
        <v>100</v>
      </c>
      <c r="T25" s="1558" t="s">
        <v>8</v>
      </c>
      <c r="U25" s="1559">
        <f>H25</f>
        <v>100</v>
      </c>
      <c r="V25" s="1558" t="s">
        <v>8</v>
      </c>
      <c r="W25" s="1559">
        <f>J25</f>
        <v>100</v>
      </c>
      <c r="X25" s="1552"/>
      <c r="Y25" s="4054"/>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054"/>
      <c r="Q26" s="1557" t="str">
        <f t="shared" si="11"/>
        <v>平面位置/可视性</v>
      </c>
      <c r="R26" s="1558" t="s">
        <v>8</v>
      </c>
      <c r="S26" s="1559">
        <f>F26</f>
        <v>100</v>
      </c>
      <c r="T26" s="1558" t="s">
        <v>8</v>
      </c>
      <c r="U26" s="1559">
        <f>H26</f>
        <v>100</v>
      </c>
      <c r="V26" s="1558" t="s">
        <v>8</v>
      </c>
      <c r="W26" s="1559">
        <f>J26</f>
        <v>100</v>
      </c>
      <c r="X26" s="1552"/>
      <c r="Y26" s="4054"/>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054"/>
      <c r="Q27" s="1146" t="str">
        <f t="shared" si="11"/>
        <v>人流量</v>
      </c>
      <c r="R27" s="1553" t="s">
        <v>8</v>
      </c>
      <c r="S27" s="1554">
        <f>F27</f>
        <v>100</v>
      </c>
      <c r="T27" s="1553" t="s">
        <v>8</v>
      </c>
      <c r="U27" s="1554">
        <f>H27</f>
        <v>100</v>
      </c>
      <c r="V27" s="1553" t="s">
        <v>8</v>
      </c>
      <c r="W27" s="1554">
        <f>J27</f>
        <v>100</v>
      </c>
      <c r="X27" s="1555"/>
      <c r="Y27" s="4054"/>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054"/>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054"/>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054"/>
      <c r="Q29" s="1557">
        <f t="shared" si="11"/>
        <v>111</v>
      </c>
      <c r="R29" s="1558" t="s">
        <v>8</v>
      </c>
      <c r="S29" s="1559">
        <f t="shared" si="12"/>
        <v>100</v>
      </c>
      <c r="T29" s="1558" t="s">
        <v>8</v>
      </c>
      <c r="U29" s="1559">
        <f t="shared" si="13"/>
        <v>100</v>
      </c>
      <c r="V29" s="1558" t="s">
        <v>8</v>
      </c>
      <c r="W29" s="1559">
        <f t="shared" si="14"/>
        <v>100</v>
      </c>
      <c r="X29" s="1552"/>
      <c r="Y29" s="4054"/>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054"/>
      <c r="Q30" s="1557">
        <f t="shared" si="11"/>
        <v>111</v>
      </c>
      <c r="R30" s="1558" t="s">
        <v>8</v>
      </c>
      <c r="S30" s="1559">
        <f t="shared" si="12"/>
        <v>100</v>
      </c>
      <c r="T30" s="1558" t="s">
        <v>8</v>
      </c>
      <c r="U30" s="1559">
        <f t="shared" si="13"/>
        <v>100</v>
      </c>
      <c r="V30" s="1558" t="s">
        <v>8</v>
      </c>
      <c r="W30" s="1559">
        <f t="shared" si="14"/>
        <v>100</v>
      </c>
      <c r="X30" s="1552"/>
      <c r="Y30" s="4054"/>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054"/>
      <c r="Q31" s="1557">
        <f t="shared" si="11"/>
        <v>111</v>
      </c>
      <c r="R31" s="1558" t="s">
        <v>8</v>
      </c>
      <c r="S31" s="1559">
        <f t="shared" si="12"/>
        <v>100</v>
      </c>
      <c r="T31" s="1558" t="s">
        <v>8</v>
      </c>
      <c r="U31" s="1559">
        <f t="shared" si="13"/>
        <v>100</v>
      </c>
      <c r="V31" s="1558" t="s">
        <v>8</v>
      </c>
      <c r="W31" s="1559">
        <f t="shared" si="14"/>
        <v>100</v>
      </c>
      <c r="X31" s="1552"/>
      <c r="Y31" s="4054"/>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055" t="s">
        <v>550</v>
      </c>
      <c r="Q32" s="1557" t="str">
        <f t="shared" si="11"/>
        <v>商业类型</v>
      </c>
      <c r="R32" s="1558" t="s">
        <v>8</v>
      </c>
      <c r="S32" s="1559">
        <f t="shared" si="12"/>
        <v>100</v>
      </c>
      <c r="T32" s="1558" t="s">
        <v>8</v>
      </c>
      <c r="U32" s="1559">
        <f t="shared" si="13"/>
        <v>100</v>
      </c>
      <c r="V32" s="1558" t="s">
        <v>8</v>
      </c>
      <c r="W32" s="1559">
        <f t="shared" si="14"/>
        <v>100</v>
      </c>
      <c r="X32" s="1552"/>
      <c r="Y32" s="4056"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056"/>
      <c r="Q33" s="1589" t="str">
        <f t="shared" si="11"/>
        <v>项目建筑规模</v>
      </c>
      <c r="R33" s="1562" t="s">
        <v>8</v>
      </c>
      <c r="S33" s="1563">
        <f t="shared" si="12"/>
        <v>100</v>
      </c>
      <c r="T33" s="1562" t="s">
        <v>8</v>
      </c>
      <c r="U33" s="1563">
        <f t="shared" si="13"/>
        <v>100</v>
      </c>
      <c r="V33" s="1562" t="s">
        <v>8</v>
      </c>
      <c r="W33" s="1563">
        <f t="shared" si="14"/>
        <v>100</v>
      </c>
      <c r="X33" s="1564"/>
      <c r="Y33" s="4056"/>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056"/>
      <c r="Q34" s="1557" t="str">
        <f t="shared" si="11"/>
        <v>建筑结构</v>
      </c>
      <c r="R34" s="1558" t="s">
        <v>8</v>
      </c>
      <c r="S34" s="1559">
        <f t="shared" si="12"/>
        <v>100</v>
      </c>
      <c r="T34" s="1558" t="s">
        <v>8</v>
      </c>
      <c r="U34" s="1559">
        <f t="shared" si="13"/>
        <v>100</v>
      </c>
      <c r="V34" s="1558" t="s">
        <v>8</v>
      </c>
      <c r="W34" s="1559">
        <f t="shared" si="14"/>
        <v>100</v>
      </c>
      <c r="X34" s="1552"/>
      <c r="Y34" s="4056"/>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056"/>
      <c r="Q35" s="1557" t="str">
        <f t="shared" si="11"/>
        <v>公共部分装修</v>
      </c>
      <c r="R35" s="1558" t="s">
        <v>8</v>
      </c>
      <c r="S35" s="1559">
        <f t="shared" si="12"/>
        <v>100</v>
      </c>
      <c r="T35" s="1558" t="s">
        <v>8</v>
      </c>
      <c r="U35" s="1559">
        <f t="shared" si="13"/>
        <v>100</v>
      </c>
      <c r="V35" s="1558" t="s">
        <v>8</v>
      </c>
      <c r="W35" s="1559">
        <f t="shared" si="14"/>
        <v>100</v>
      </c>
      <c r="X35" s="1552"/>
      <c r="Y35" s="4056"/>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056"/>
      <c r="Q36" s="1557" t="str">
        <f t="shared" si="11"/>
        <v>成新度</v>
      </c>
      <c r="R36" s="1558" t="s">
        <v>8</v>
      </c>
      <c r="S36" s="1559">
        <f t="shared" si="12"/>
        <v>100</v>
      </c>
      <c r="T36" s="1558" t="s">
        <v>8</v>
      </c>
      <c r="U36" s="1559">
        <f t="shared" si="13"/>
        <v>100</v>
      </c>
      <c r="V36" s="1558" t="s">
        <v>8</v>
      </c>
      <c r="W36" s="1559">
        <f t="shared" si="14"/>
        <v>100</v>
      </c>
      <c r="X36" s="1552"/>
      <c r="Y36" s="4056"/>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056"/>
      <c r="Q37" s="1146" t="str">
        <f t="shared" si="11"/>
        <v>市政基础设施</v>
      </c>
      <c r="R37" s="1553" t="s">
        <v>8</v>
      </c>
      <c r="S37" s="1554">
        <f t="shared" si="12"/>
        <v>100</v>
      </c>
      <c r="T37" s="1553" t="s">
        <v>8</v>
      </c>
      <c r="U37" s="1554">
        <f t="shared" si="13"/>
        <v>100</v>
      </c>
      <c r="V37" s="1553" t="s">
        <v>8</v>
      </c>
      <c r="W37" s="1554">
        <f t="shared" si="14"/>
        <v>100</v>
      </c>
      <c r="X37" s="1555"/>
      <c r="Y37" s="4056"/>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056" t="s">
        <v>766</v>
      </c>
      <c r="Q38" s="1557" t="str">
        <f t="shared" si="11"/>
        <v>业态</v>
      </c>
      <c r="R38" s="1558" t="s">
        <v>8</v>
      </c>
      <c r="S38" s="1559">
        <f t="shared" si="12"/>
        <v>100</v>
      </c>
      <c r="T38" s="1558" t="s">
        <v>8</v>
      </c>
      <c r="U38" s="1559">
        <f t="shared" si="13"/>
        <v>100</v>
      </c>
      <c r="V38" s="1558" t="s">
        <v>8</v>
      </c>
      <c r="W38" s="1559">
        <f t="shared" si="14"/>
        <v>100</v>
      </c>
      <c r="X38" s="1552"/>
      <c r="Y38" s="4056"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056"/>
      <c r="Q39" s="1557" t="str">
        <f t="shared" si="11"/>
        <v>层高</v>
      </c>
      <c r="R39" s="1558" t="s">
        <v>8</v>
      </c>
      <c r="S39" s="1559">
        <f t="shared" si="12"/>
        <v>100</v>
      </c>
      <c r="T39" s="1558" t="s">
        <v>8</v>
      </c>
      <c r="U39" s="1559">
        <f t="shared" si="13"/>
        <v>100</v>
      </c>
      <c r="V39" s="1558" t="s">
        <v>8</v>
      </c>
      <c r="W39" s="1559">
        <f t="shared" si="14"/>
        <v>100</v>
      </c>
      <c r="X39" s="1552"/>
      <c r="Y39" s="4056"/>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056"/>
      <c r="Q40" s="1557" t="str">
        <f t="shared" si="11"/>
        <v>单套建筑面积</v>
      </c>
      <c r="R40" s="1558" t="s">
        <v>8</v>
      </c>
      <c r="S40" s="1559">
        <f t="shared" si="12"/>
        <v>100</v>
      </c>
      <c r="T40" s="1558" t="s">
        <v>8</v>
      </c>
      <c r="U40" s="1559">
        <f t="shared" si="13"/>
        <v>100</v>
      </c>
      <c r="V40" s="1558" t="s">
        <v>8</v>
      </c>
      <c r="W40" s="1559">
        <f t="shared" si="14"/>
        <v>100</v>
      </c>
      <c r="X40" s="1552"/>
      <c r="Y40" s="4056"/>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056"/>
      <c r="Q41" s="1589" t="str">
        <f t="shared" si="11"/>
        <v>进深比</v>
      </c>
      <c r="R41" s="1562" t="s">
        <v>8</v>
      </c>
      <c r="S41" s="1563">
        <f t="shared" si="12"/>
        <v>100</v>
      </c>
      <c r="T41" s="1562" t="s">
        <v>8</v>
      </c>
      <c r="U41" s="1563">
        <f t="shared" si="13"/>
        <v>100</v>
      </c>
      <c r="V41" s="1562" t="s">
        <v>8</v>
      </c>
      <c r="W41" s="1563">
        <f t="shared" si="14"/>
        <v>100</v>
      </c>
      <c r="X41" s="1564"/>
      <c r="Y41" s="4056"/>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056"/>
      <c r="Q42" s="1557" t="str">
        <f t="shared" si="11"/>
        <v>内部装修</v>
      </c>
      <c r="R42" s="1558" t="s">
        <v>8</v>
      </c>
      <c r="S42" s="1559">
        <f t="shared" si="12"/>
        <v>100</v>
      </c>
      <c r="T42" s="1558" t="s">
        <v>8</v>
      </c>
      <c r="U42" s="1559">
        <f t="shared" si="13"/>
        <v>100</v>
      </c>
      <c r="V42" s="1558" t="s">
        <v>8</v>
      </c>
      <c r="W42" s="1559">
        <f t="shared" si="14"/>
        <v>100</v>
      </c>
      <c r="X42" s="1552"/>
      <c r="Y42" s="4056"/>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056"/>
      <c r="Q43" s="1557" t="str">
        <f t="shared" si="11"/>
        <v>内部装修维护情况</v>
      </c>
      <c r="R43" s="1558" t="s">
        <v>8</v>
      </c>
      <c r="S43" s="1559">
        <f t="shared" si="12"/>
        <v>100</v>
      </c>
      <c r="T43" s="1558" t="s">
        <v>8</v>
      </c>
      <c r="U43" s="1559">
        <f t="shared" si="13"/>
        <v>100</v>
      </c>
      <c r="V43" s="1558" t="s">
        <v>8</v>
      </c>
      <c r="W43" s="1559">
        <f t="shared" si="14"/>
        <v>100</v>
      </c>
      <c r="X43" s="1552"/>
      <c r="Y43" s="4056"/>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056"/>
      <c r="Q44" s="1146">
        <f t="shared" si="11"/>
        <v>111</v>
      </c>
      <c r="R44" s="1553" t="s">
        <v>8</v>
      </c>
      <c r="S44" s="1554">
        <f t="shared" si="12"/>
        <v>100</v>
      </c>
      <c r="T44" s="1553" t="s">
        <v>8</v>
      </c>
      <c r="U44" s="1554">
        <f t="shared" si="13"/>
        <v>100</v>
      </c>
      <c r="V44" s="1553" t="s">
        <v>8</v>
      </c>
      <c r="W44" s="1554">
        <f t="shared" si="14"/>
        <v>100</v>
      </c>
      <c r="X44" s="1555"/>
      <c r="Y44" s="4056"/>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056"/>
      <c r="Q45" s="1557">
        <f t="shared" si="11"/>
        <v>111</v>
      </c>
      <c r="R45" s="1558" t="s">
        <v>8</v>
      </c>
      <c r="S45" s="1559">
        <f t="shared" si="12"/>
        <v>100</v>
      </c>
      <c r="T45" s="1558" t="s">
        <v>8</v>
      </c>
      <c r="U45" s="1559">
        <f t="shared" si="13"/>
        <v>100</v>
      </c>
      <c r="V45" s="1558" t="s">
        <v>8</v>
      </c>
      <c r="W45" s="1559">
        <f t="shared" si="14"/>
        <v>100</v>
      </c>
      <c r="X45" s="1552"/>
      <c r="Y45" s="4056"/>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35"/>
      <c r="Q46" s="1557">
        <f t="shared" si="11"/>
        <v>111</v>
      </c>
      <c r="R46" s="1558" t="s">
        <v>8</v>
      </c>
      <c r="S46" s="1559">
        <f t="shared" si="12"/>
        <v>100</v>
      </c>
      <c r="T46" s="1558" t="s">
        <v>8</v>
      </c>
      <c r="U46" s="1559">
        <f t="shared" si="13"/>
        <v>100</v>
      </c>
      <c r="V46" s="1558" t="s">
        <v>8</v>
      </c>
      <c r="W46" s="1559">
        <f t="shared" si="14"/>
        <v>100</v>
      </c>
      <c r="X46" s="1552"/>
      <c r="Y46" s="4135"/>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51" t="str">
        <f>A47</f>
        <v>成交单价（元/平方米）</v>
      </c>
      <c r="Q47" s="4051"/>
      <c r="R47" s="4134">
        <f>E47</f>
        <v>13000</v>
      </c>
      <c r="S47" s="4134"/>
      <c r="T47" s="4134">
        <f>G47</f>
        <v>13500</v>
      </c>
      <c r="U47" s="4134"/>
      <c r="V47" s="4134">
        <f>I47</f>
        <v>14800</v>
      </c>
      <c r="W47" s="4134"/>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51" t="str">
        <f>A48</f>
        <v>比较价格（元/平方米）</v>
      </c>
      <c r="Q48" s="4051"/>
      <c r="R48" s="4134">
        <f>IF(F1="售价",ROUND(PRODUCT(R47,AA7:AA46),0),ROUND(PRODUCT(R47,AA7:AA46),1))</f>
        <v>10000</v>
      </c>
      <c r="S48" s="4134"/>
      <c r="T48" s="4134">
        <f>IF(F1="售价",ROUND(PRODUCT(T47,AB7:AB46),0),ROUND(PRODUCT(T47,AB7:AB46),1))</f>
        <v>10381</v>
      </c>
      <c r="U48" s="4134"/>
      <c r="V48" s="4134">
        <f>IF(F1="售价",ROUND(PRODUCT(V47,AC7:AC46),0),ROUND(PRODUCT(V47,AC7:AC46),1))</f>
        <v>11161</v>
      </c>
      <c r="W48" s="4134"/>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072" t="str">
        <f>A49</f>
        <v>估价对象XX用房的比较价格（楼面单价，元/平方米）</v>
      </c>
      <c r="Q49" s="4073"/>
      <c r="R49" s="4133">
        <f>IF(F1="售价",ROUND(AVERAGE(R48:V48),0),ROUND(AVERAGE(R48:V48),1))</f>
        <v>10514</v>
      </c>
      <c r="S49" s="4133"/>
      <c r="T49" s="4133"/>
      <c r="U49" s="4133"/>
      <c r="V49" s="4133"/>
      <c r="W49" s="413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57" t="s">
        <v>522</v>
      </c>
      <c r="D4" s="4058"/>
      <c r="E4" s="4081" t="s">
        <v>523</v>
      </c>
      <c r="F4" s="4082"/>
      <c r="G4" s="4057" t="s">
        <v>524</v>
      </c>
      <c r="H4" s="4058"/>
      <c r="I4" s="4057" t="s">
        <v>525</v>
      </c>
      <c r="J4" s="4058"/>
      <c r="K4" s="513" t="s">
        <v>526</v>
      </c>
      <c r="L4" s="2117"/>
      <c r="M4" s="2118"/>
      <c r="N4" s="2118"/>
      <c r="O4" s="2118"/>
      <c r="P4" s="4159" t="s">
        <v>527</v>
      </c>
      <c r="Q4" s="4060"/>
      <c r="R4" s="4045" t="s">
        <v>523</v>
      </c>
      <c r="S4" s="4046"/>
      <c r="T4" s="4045" t="s">
        <v>524</v>
      </c>
      <c r="U4" s="4046"/>
      <c r="V4" s="4065" t="s">
        <v>525</v>
      </c>
      <c r="W4" s="4065"/>
      <c r="X4" s="1552"/>
      <c r="Y4" s="4045" t="s">
        <v>527</v>
      </c>
      <c r="Z4" s="4046"/>
      <c r="AA4" s="4040" t="s">
        <v>523</v>
      </c>
      <c r="AB4" s="4040" t="s">
        <v>524</v>
      </c>
      <c r="AC4" s="4040" t="s">
        <v>525</v>
      </c>
    </row>
    <row r="5" spans="1:29" ht="15">
      <c r="A5" s="514"/>
      <c r="B5" s="515"/>
      <c r="C5" s="4068" t="s">
        <v>2926</v>
      </c>
      <c r="D5" s="4069"/>
      <c r="E5" s="4083" t="s">
        <v>2927</v>
      </c>
      <c r="F5" s="4084"/>
      <c r="G5" s="4068" t="s">
        <v>2928</v>
      </c>
      <c r="H5" s="4069"/>
      <c r="I5" s="4068" t="s">
        <v>2929</v>
      </c>
      <c r="J5" s="4069"/>
      <c r="K5" s="513"/>
      <c r="L5" s="2117"/>
      <c r="M5" s="2118"/>
      <c r="N5" s="2118"/>
      <c r="O5" s="2118"/>
      <c r="P5" s="4160"/>
      <c r="Q5" s="4062"/>
      <c r="R5" s="4047"/>
      <c r="S5" s="4048"/>
      <c r="T5" s="4047"/>
      <c r="U5" s="4048"/>
      <c r="V5" s="4065"/>
      <c r="W5" s="4065"/>
      <c r="X5" s="1552"/>
      <c r="Y5" s="4047"/>
      <c r="Z5" s="4048"/>
      <c r="AA5" s="4041"/>
      <c r="AB5" s="4041"/>
      <c r="AC5" s="4041"/>
    </row>
    <row r="6" spans="1:29" ht="15.75" thickBot="1">
      <c r="A6" s="516"/>
      <c r="B6" s="517"/>
      <c r="C6" s="4066" t="s">
        <v>2930</v>
      </c>
      <c r="D6" s="4067"/>
      <c r="E6" s="4085" t="s">
        <v>2930</v>
      </c>
      <c r="F6" s="4086"/>
      <c r="G6" s="4066" t="s">
        <v>2930</v>
      </c>
      <c r="H6" s="4067"/>
      <c r="I6" s="4066" t="s">
        <v>2930</v>
      </c>
      <c r="J6" s="4067"/>
      <c r="K6" s="513" t="s">
        <v>528</v>
      </c>
      <c r="L6" s="2117"/>
      <c r="M6" s="2118"/>
      <c r="N6" s="2118"/>
      <c r="O6" s="2118"/>
      <c r="P6" s="4161"/>
      <c r="Q6" s="4064"/>
      <c r="R6" s="4047"/>
      <c r="S6" s="4048"/>
      <c r="T6" s="4049"/>
      <c r="U6" s="4050"/>
      <c r="V6" s="4065"/>
      <c r="W6" s="4065"/>
      <c r="X6" s="1552"/>
      <c r="Y6" s="4049"/>
      <c r="Z6" s="4050"/>
      <c r="AA6" s="4042"/>
      <c r="AB6" s="4042"/>
      <c r="AC6" s="4042"/>
    </row>
    <row r="7" spans="1:29" s="1215" customFormat="1" ht="15.75" thickBot="1">
      <c r="A7" s="2865"/>
      <c r="B7" s="2872" t="s">
        <v>529</v>
      </c>
      <c r="C7" s="518">
        <f>'数据-取费表'!B2</f>
        <v>43671</v>
      </c>
      <c r="D7" s="519">
        <v>100</v>
      </c>
      <c r="E7" s="520"/>
      <c r="F7" s="521">
        <f>SUMIF(59:59,YEAR(E7)&amp;"-"&amp;MONTH(E7),60:60)</f>
        <v>0</v>
      </c>
      <c r="G7" s="520"/>
      <c r="H7" s="519">
        <f>SUMIF(59:59,YEAR(G7)&amp;"-"&amp;MONTH(G7),60:60)</f>
        <v>0</v>
      </c>
      <c r="I7" s="520"/>
      <c r="J7" s="519">
        <f>SUMIF(59:59,YEAR(I7)&amp;"-"&amp;MONTH(I7),60:60)</f>
        <v>0</v>
      </c>
      <c r="K7" s="523"/>
      <c r="L7" s="2119"/>
      <c r="M7" s="2120"/>
      <c r="N7" s="2120"/>
      <c r="O7" s="2120"/>
      <c r="P7" s="4052" t="s">
        <v>530</v>
      </c>
      <c r="Q7" s="4052"/>
      <c r="R7" s="1553" t="s">
        <v>8</v>
      </c>
      <c r="S7" s="1554">
        <f t="shared" ref="S7:S15" si="0">F7</f>
        <v>0</v>
      </c>
      <c r="T7" s="1553" t="s">
        <v>8</v>
      </c>
      <c r="U7" s="1554">
        <f t="shared" ref="U7:U15" si="1">H7</f>
        <v>0</v>
      </c>
      <c r="V7" s="1553" t="s">
        <v>8</v>
      </c>
      <c r="W7" s="1554">
        <f t="shared" ref="W7:W15" si="2">J7</f>
        <v>0</v>
      </c>
      <c r="X7" s="1555"/>
      <c r="Y7" s="4043" t="s">
        <v>530</v>
      </c>
      <c r="Z7" s="4044"/>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052" t="s">
        <v>533</v>
      </c>
      <c r="Q8" s="4044"/>
      <c r="R8" s="1553" t="s">
        <v>8</v>
      </c>
      <c r="S8" s="1554">
        <f t="shared" si="0"/>
        <v>0</v>
      </c>
      <c r="T8" s="1553" t="s">
        <v>8</v>
      </c>
      <c r="U8" s="1554">
        <f t="shared" si="1"/>
        <v>0</v>
      </c>
      <c r="V8" s="1553" t="s">
        <v>8</v>
      </c>
      <c r="W8" s="1554">
        <f t="shared" si="2"/>
        <v>0</v>
      </c>
      <c r="X8" s="1555"/>
      <c r="Y8" s="4043" t="s">
        <v>533</v>
      </c>
      <c r="Z8" s="4044"/>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51" t="s">
        <v>535</v>
      </c>
      <c r="Q9" s="1146" t="str">
        <f t="shared" ref="Q9:Q15" si="6">B9</f>
        <v>用途</v>
      </c>
      <c r="R9" s="1553" t="s">
        <v>8</v>
      </c>
      <c r="S9" s="1554">
        <f t="shared" si="0"/>
        <v>100</v>
      </c>
      <c r="T9" s="1553" t="s">
        <v>8</v>
      </c>
      <c r="U9" s="1554">
        <f t="shared" si="1"/>
        <v>100</v>
      </c>
      <c r="V9" s="1553" t="s">
        <v>8</v>
      </c>
      <c r="W9" s="1554">
        <f t="shared" si="2"/>
        <v>100</v>
      </c>
      <c r="X9" s="1555"/>
      <c r="Y9" s="4008"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51"/>
      <c r="Q10" s="1146" t="str">
        <f t="shared" si="6"/>
        <v>土地使用年限（年）</v>
      </c>
      <c r="R10" s="1553" t="s">
        <v>8</v>
      </c>
      <c r="S10" s="1554">
        <f t="shared" si="0"/>
        <v>100</v>
      </c>
      <c r="T10" s="1553" t="s">
        <v>8</v>
      </c>
      <c r="U10" s="1554">
        <f t="shared" si="1"/>
        <v>100</v>
      </c>
      <c r="V10" s="1553" t="s">
        <v>8</v>
      </c>
      <c r="W10" s="1554">
        <f t="shared" si="2"/>
        <v>100</v>
      </c>
      <c r="X10" s="1555"/>
      <c r="Y10" s="4008"/>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51"/>
      <c r="Q11" s="1146" t="str">
        <f t="shared" si="6"/>
        <v>容积率</v>
      </c>
      <c r="R11" s="1553" t="s">
        <v>8</v>
      </c>
      <c r="S11" s="1554" t="e">
        <f t="shared" si="0"/>
        <v>#N/A</v>
      </c>
      <c r="T11" s="1553" t="s">
        <v>8</v>
      </c>
      <c r="U11" s="1554" t="e">
        <f t="shared" si="1"/>
        <v>#N/A</v>
      </c>
      <c r="V11" s="1553" t="s">
        <v>8</v>
      </c>
      <c r="W11" s="1554" t="e">
        <f t="shared" si="2"/>
        <v>#N/A</v>
      </c>
      <c r="X11" s="1555"/>
      <c r="Y11" s="4008"/>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51"/>
      <c r="Q12" s="1146">
        <f t="shared" si="6"/>
        <v>111</v>
      </c>
      <c r="R12" s="1553" t="s">
        <v>8</v>
      </c>
      <c r="S12" s="1554">
        <f t="shared" si="0"/>
        <v>100</v>
      </c>
      <c r="T12" s="1553" t="s">
        <v>8</v>
      </c>
      <c r="U12" s="1554">
        <f t="shared" si="1"/>
        <v>100</v>
      </c>
      <c r="V12" s="1553" t="s">
        <v>8</v>
      </c>
      <c r="W12" s="1554">
        <f t="shared" si="2"/>
        <v>100</v>
      </c>
      <c r="X12" s="1555"/>
      <c r="Y12" s="4008"/>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51"/>
      <c r="Q13" s="1146">
        <f t="shared" si="6"/>
        <v>111</v>
      </c>
      <c r="R13" s="1553" t="s">
        <v>8</v>
      </c>
      <c r="S13" s="1554">
        <f t="shared" si="0"/>
        <v>100</v>
      </c>
      <c r="T13" s="1553" t="s">
        <v>8</v>
      </c>
      <c r="U13" s="1554">
        <f t="shared" si="1"/>
        <v>100</v>
      </c>
      <c r="V13" s="1553" t="s">
        <v>8</v>
      </c>
      <c r="W13" s="1554">
        <f t="shared" si="2"/>
        <v>100</v>
      </c>
      <c r="X13" s="1555"/>
      <c r="Y13" s="4008"/>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51"/>
      <c r="Q14" s="1146">
        <f t="shared" si="6"/>
        <v>111</v>
      </c>
      <c r="R14" s="1553" t="s">
        <v>8</v>
      </c>
      <c r="S14" s="1554">
        <f t="shared" si="0"/>
        <v>100</v>
      </c>
      <c r="T14" s="1553" t="s">
        <v>8</v>
      </c>
      <c r="U14" s="1554">
        <f t="shared" si="1"/>
        <v>100</v>
      </c>
      <c r="V14" s="1553" t="s">
        <v>8</v>
      </c>
      <c r="W14" s="1554">
        <f t="shared" si="2"/>
        <v>100</v>
      </c>
      <c r="X14" s="1555"/>
      <c r="Y14" s="4008"/>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053" t="s">
        <v>540</v>
      </c>
      <c r="Q15" s="1557" t="str">
        <f t="shared" si="6"/>
        <v>办公集聚程度</v>
      </c>
      <c r="R15" s="1558" t="s">
        <v>8</v>
      </c>
      <c r="S15" s="1559">
        <f t="shared" si="0"/>
        <v>100</v>
      </c>
      <c r="T15" s="1558" t="s">
        <v>8</v>
      </c>
      <c r="U15" s="1559">
        <f t="shared" si="1"/>
        <v>100</v>
      </c>
      <c r="V15" s="1558" t="s">
        <v>8</v>
      </c>
      <c r="W15" s="1559">
        <f t="shared" si="2"/>
        <v>100</v>
      </c>
      <c r="X15" s="1552"/>
      <c r="Y15" s="4053"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054"/>
      <c r="Q16" s="1557"/>
      <c r="R16" s="1558"/>
      <c r="S16" s="1559"/>
      <c r="T16" s="1558"/>
      <c r="U16" s="1559"/>
      <c r="V16" s="1558"/>
      <c r="W16" s="1559"/>
      <c r="X16" s="1552"/>
      <c r="Y16" s="4054"/>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054"/>
      <c r="Q17" s="1557" t="str">
        <f>B17</f>
        <v>交通便捷度</v>
      </c>
      <c r="R17" s="1558" t="s">
        <v>8</v>
      </c>
      <c r="S17" s="1559">
        <f>F17</f>
        <v>100</v>
      </c>
      <c r="T17" s="1558" t="s">
        <v>8</v>
      </c>
      <c r="U17" s="1559">
        <f>H17</f>
        <v>100</v>
      </c>
      <c r="V17" s="1558" t="s">
        <v>8</v>
      </c>
      <c r="W17" s="1559">
        <f>J17</f>
        <v>100</v>
      </c>
      <c r="X17" s="1552"/>
      <c r="Y17" s="4054"/>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054"/>
      <c r="Q18" s="1557"/>
      <c r="R18" s="1558"/>
      <c r="S18" s="1559"/>
      <c r="T18" s="1558"/>
      <c r="U18" s="1559"/>
      <c r="V18" s="1558"/>
      <c r="W18" s="1559"/>
      <c r="X18" s="1552"/>
      <c r="Y18" s="4054"/>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054"/>
      <c r="Q19" s="1557" t="str">
        <f>B19</f>
        <v>公共配套设施</v>
      </c>
      <c r="R19" s="1558" t="s">
        <v>8</v>
      </c>
      <c r="S19" s="1559">
        <f>F19</f>
        <v>100</v>
      </c>
      <c r="T19" s="1558" t="s">
        <v>8</v>
      </c>
      <c r="U19" s="1559">
        <f>H19</f>
        <v>100</v>
      </c>
      <c r="V19" s="1558" t="s">
        <v>8</v>
      </c>
      <c r="W19" s="1559">
        <f>J19</f>
        <v>100</v>
      </c>
      <c r="X19" s="1552"/>
      <c r="Y19" s="4054"/>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054"/>
      <c r="Q20" s="1557"/>
      <c r="R20" s="1558"/>
      <c r="S20" s="1559"/>
      <c r="T20" s="1558"/>
      <c r="U20" s="1559"/>
      <c r="V20" s="1558"/>
      <c r="W20" s="1559"/>
      <c r="X20" s="1552"/>
      <c r="Y20" s="4054"/>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054"/>
      <c r="Q21" s="2542" t="str">
        <f>B21</f>
        <v>基础设施水平</v>
      </c>
      <c r="R21" s="1558" t="s">
        <v>8</v>
      </c>
      <c r="S21" s="1559">
        <f>F21</f>
        <v>100</v>
      </c>
      <c r="T21" s="1558" t="s">
        <v>8</v>
      </c>
      <c r="U21" s="1559">
        <f>H21</f>
        <v>100</v>
      </c>
      <c r="V21" s="1558" t="s">
        <v>8</v>
      </c>
      <c r="W21" s="1559">
        <f>J21</f>
        <v>100</v>
      </c>
      <c r="X21" s="2544"/>
      <c r="Y21" s="4054"/>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054"/>
      <c r="Q22" s="2542"/>
      <c r="R22" s="1558"/>
      <c r="S22" s="1559"/>
      <c r="T22" s="1558"/>
      <c r="U22" s="1559"/>
      <c r="V22" s="1558"/>
      <c r="W22" s="1559"/>
      <c r="X22" s="2544"/>
      <c r="Y22" s="4054"/>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054"/>
      <c r="Q23" s="1557" t="str">
        <f>B23</f>
        <v>环境质量</v>
      </c>
      <c r="R23" s="1558" t="s">
        <v>8</v>
      </c>
      <c r="S23" s="1559">
        <f>F23</f>
        <v>100</v>
      </c>
      <c r="T23" s="1558" t="s">
        <v>8</v>
      </c>
      <c r="U23" s="1559">
        <f>H23</f>
        <v>100</v>
      </c>
      <c r="V23" s="1558" t="s">
        <v>8</v>
      </c>
      <c r="W23" s="1559">
        <f>J23</f>
        <v>100</v>
      </c>
      <c r="X23" s="1552"/>
      <c r="Y23" s="4054"/>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054"/>
      <c r="Q24" s="1557"/>
      <c r="R24" s="1558"/>
      <c r="S24" s="1559"/>
      <c r="T24" s="1558"/>
      <c r="U24" s="1559"/>
      <c r="V24" s="1558"/>
      <c r="W24" s="1559"/>
      <c r="X24" s="1552"/>
      <c r="Y24" s="4054"/>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054"/>
      <c r="Q25" s="1557" t="str">
        <f>B25</f>
        <v>毗邻道路的类型与等级</v>
      </c>
      <c r="R25" s="1558" t="s">
        <v>8</v>
      </c>
      <c r="S25" s="1559">
        <f>F25</f>
        <v>100</v>
      </c>
      <c r="T25" s="1558" t="s">
        <v>8</v>
      </c>
      <c r="U25" s="1559">
        <f>H25</f>
        <v>100</v>
      </c>
      <c r="V25" s="1558" t="s">
        <v>8</v>
      </c>
      <c r="W25" s="1559">
        <f>J25</f>
        <v>100</v>
      </c>
      <c r="X25" s="1552"/>
      <c r="Y25" s="4054"/>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054"/>
      <c r="Q26" s="1557"/>
      <c r="R26" s="1558"/>
      <c r="S26" s="1559"/>
      <c r="T26" s="1558"/>
      <c r="U26" s="1559"/>
      <c r="V26" s="1558"/>
      <c r="W26" s="1559"/>
      <c r="X26" s="1552"/>
      <c r="Y26" s="4054"/>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054"/>
      <c r="Q27" s="1557" t="str">
        <f t="shared" ref="Q27:Q47" si="11">B27</f>
        <v>楼层</v>
      </c>
      <c r="R27" s="1558" t="s">
        <v>8</v>
      </c>
      <c r="S27" s="1559">
        <f>F27</f>
        <v>100</v>
      </c>
      <c r="T27" s="1558" t="s">
        <v>8</v>
      </c>
      <c r="U27" s="1559">
        <f>H27</f>
        <v>100</v>
      </c>
      <c r="V27" s="1558" t="s">
        <v>8</v>
      </c>
      <c r="W27" s="1559">
        <f>J27</f>
        <v>100</v>
      </c>
      <c r="X27" s="1552"/>
      <c r="Y27" s="4054"/>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054"/>
      <c r="Q28" s="1146" t="str">
        <f t="shared" si="11"/>
        <v>朝向</v>
      </c>
      <c r="R28" s="1553" t="s">
        <v>8</v>
      </c>
      <c r="S28" s="1554">
        <f>F28</f>
        <v>100</v>
      </c>
      <c r="T28" s="1553" t="s">
        <v>8</v>
      </c>
      <c r="U28" s="1554">
        <f>H28</f>
        <v>100</v>
      </c>
      <c r="V28" s="1553" t="s">
        <v>8</v>
      </c>
      <c r="W28" s="1554">
        <f>J28</f>
        <v>100</v>
      </c>
      <c r="X28" s="1555"/>
      <c r="Y28" s="4054"/>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054"/>
      <c r="Q29" s="1557">
        <f t="shared" si="11"/>
        <v>111</v>
      </c>
      <c r="R29" s="1558" t="s">
        <v>8</v>
      </c>
      <c r="S29" s="1559">
        <f t="shared" ref="S29:S47" si="12">F29</f>
        <v>100</v>
      </c>
      <c r="T29" s="1558" t="s">
        <v>8</v>
      </c>
      <c r="U29" s="1559">
        <f t="shared" ref="U29:U47" si="13">H29</f>
        <v>100</v>
      </c>
      <c r="V29" s="1558" t="s">
        <v>8</v>
      </c>
      <c r="W29" s="1559">
        <f t="shared" ref="W29:W47" si="14">J29</f>
        <v>100</v>
      </c>
      <c r="X29" s="1552"/>
      <c r="Y29" s="4054"/>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054"/>
      <c r="Q30" s="1557">
        <f t="shared" si="11"/>
        <v>111</v>
      </c>
      <c r="R30" s="1558" t="s">
        <v>8</v>
      </c>
      <c r="S30" s="1559">
        <f t="shared" si="12"/>
        <v>100</v>
      </c>
      <c r="T30" s="1558" t="s">
        <v>8</v>
      </c>
      <c r="U30" s="1559">
        <f t="shared" si="13"/>
        <v>100</v>
      </c>
      <c r="V30" s="1558" t="s">
        <v>8</v>
      </c>
      <c r="W30" s="1559">
        <f t="shared" si="14"/>
        <v>100</v>
      </c>
      <c r="X30" s="1552"/>
      <c r="Y30" s="4054"/>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054"/>
      <c r="Q31" s="1557">
        <f t="shared" si="11"/>
        <v>111</v>
      </c>
      <c r="R31" s="1558" t="s">
        <v>8</v>
      </c>
      <c r="S31" s="1559">
        <f t="shared" si="12"/>
        <v>100</v>
      </c>
      <c r="T31" s="1558" t="s">
        <v>8</v>
      </c>
      <c r="U31" s="1559">
        <f t="shared" si="13"/>
        <v>100</v>
      </c>
      <c r="V31" s="1558" t="s">
        <v>8</v>
      </c>
      <c r="W31" s="1559">
        <f t="shared" si="14"/>
        <v>100</v>
      </c>
      <c r="X31" s="1552"/>
      <c r="Y31" s="4054"/>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054"/>
      <c r="Q32" s="1557">
        <f t="shared" si="11"/>
        <v>111</v>
      </c>
      <c r="R32" s="1558" t="s">
        <v>8</v>
      </c>
      <c r="S32" s="1559">
        <f t="shared" si="12"/>
        <v>100</v>
      </c>
      <c r="T32" s="1558" t="s">
        <v>8</v>
      </c>
      <c r="U32" s="1559">
        <f t="shared" si="13"/>
        <v>100</v>
      </c>
      <c r="V32" s="1558" t="s">
        <v>8</v>
      </c>
      <c r="W32" s="1559">
        <f t="shared" si="14"/>
        <v>100</v>
      </c>
      <c r="X32" s="1552"/>
      <c r="Y32" s="4054"/>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055" t="s">
        <v>550</v>
      </c>
      <c r="Q33" s="1557" t="str">
        <f t="shared" si="11"/>
        <v>建筑类型</v>
      </c>
      <c r="R33" s="1558" t="s">
        <v>8</v>
      </c>
      <c r="S33" s="1559">
        <f t="shared" si="12"/>
        <v>100</v>
      </c>
      <c r="T33" s="1558" t="s">
        <v>8</v>
      </c>
      <c r="U33" s="1559">
        <f t="shared" si="13"/>
        <v>100</v>
      </c>
      <c r="V33" s="1558" t="s">
        <v>8</v>
      </c>
      <c r="W33" s="1559">
        <f t="shared" si="14"/>
        <v>100</v>
      </c>
      <c r="X33" s="1552"/>
      <c r="Y33" s="4056"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056"/>
      <c r="Q34" s="1589" t="str">
        <f t="shared" si="11"/>
        <v>项目建筑规模</v>
      </c>
      <c r="R34" s="1562" t="s">
        <v>8</v>
      </c>
      <c r="S34" s="1563" t="e">
        <f t="shared" si="12"/>
        <v>#N/A</v>
      </c>
      <c r="T34" s="1562" t="s">
        <v>8</v>
      </c>
      <c r="U34" s="1563" t="e">
        <f t="shared" si="13"/>
        <v>#N/A</v>
      </c>
      <c r="V34" s="1562" t="s">
        <v>8</v>
      </c>
      <c r="W34" s="1563" t="e">
        <f t="shared" si="14"/>
        <v>#N/A</v>
      </c>
      <c r="X34" s="1564"/>
      <c r="Y34" s="4056"/>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056"/>
      <c r="Q35" s="1557" t="str">
        <f t="shared" si="11"/>
        <v>建筑结构</v>
      </c>
      <c r="R35" s="1558" t="s">
        <v>8</v>
      </c>
      <c r="S35" s="1559">
        <f t="shared" si="12"/>
        <v>100</v>
      </c>
      <c r="T35" s="1558" t="s">
        <v>8</v>
      </c>
      <c r="U35" s="1559">
        <f t="shared" si="13"/>
        <v>100</v>
      </c>
      <c r="V35" s="1558" t="s">
        <v>8</v>
      </c>
      <c r="W35" s="1559">
        <f t="shared" si="14"/>
        <v>100</v>
      </c>
      <c r="X35" s="1552"/>
      <c r="Y35" s="4056"/>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056"/>
      <c r="Q36" s="1557" t="str">
        <f t="shared" si="11"/>
        <v>公共部分装修</v>
      </c>
      <c r="R36" s="1558" t="s">
        <v>8</v>
      </c>
      <c r="S36" s="1559">
        <f t="shared" si="12"/>
        <v>100</v>
      </c>
      <c r="T36" s="1558" t="s">
        <v>8</v>
      </c>
      <c r="U36" s="1559">
        <f t="shared" si="13"/>
        <v>100</v>
      </c>
      <c r="V36" s="1558" t="s">
        <v>8</v>
      </c>
      <c r="W36" s="1559">
        <f t="shared" si="14"/>
        <v>100</v>
      </c>
      <c r="X36" s="1552"/>
      <c r="Y36" s="4056"/>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056"/>
      <c r="Q37" s="1557" t="str">
        <f t="shared" si="11"/>
        <v>成新度</v>
      </c>
      <c r="R37" s="1558" t="s">
        <v>8</v>
      </c>
      <c r="S37" s="1559" t="e">
        <f t="shared" si="12"/>
        <v>#N/A</v>
      </c>
      <c r="T37" s="1558" t="s">
        <v>8</v>
      </c>
      <c r="U37" s="1559" t="e">
        <f t="shared" si="13"/>
        <v>#N/A</v>
      </c>
      <c r="V37" s="1558" t="s">
        <v>8</v>
      </c>
      <c r="W37" s="1559" t="e">
        <f t="shared" si="14"/>
        <v>#N/A</v>
      </c>
      <c r="X37" s="1552"/>
      <c r="Y37" s="4056"/>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056"/>
      <c r="Q38" s="1146" t="str">
        <f t="shared" si="11"/>
        <v>写字楼等级</v>
      </c>
      <c r="R38" s="1553" t="s">
        <v>8</v>
      </c>
      <c r="S38" s="1554">
        <f t="shared" si="12"/>
        <v>100</v>
      </c>
      <c r="T38" s="1553" t="s">
        <v>8</v>
      </c>
      <c r="U38" s="1554">
        <f t="shared" si="13"/>
        <v>100</v>
      </c>
      <c r="V38" s="1553" t="s">
        <v>8</v>
      </c>
      <c r="W38" s="1554">
        <f t="shared" si="14"/>
        <v>100</v>
      </c>
      <c r="X38" s="1555"/>
      <c r="Y38" s="4056"/>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056" t="s">
        <v>550</v>
      </c>
      <c r="Q39" s="1557" t="str">
        <f t="shared" si="11"/>
        <v>物业管理</v>
      </c>
      <c r="R39" s="1558" t="s">
        <v>8</v>
      </c>
      <c r="S39" s="1559">
        <f t="shared" si="12"/>
        <v>100</v>
      </c>
      <c r="T39" s="1558" t="s">
        <v>8</v>
      </c>
      <c r="U39" s="1559">
        <f t="shared" si="13"/>
        <v>100</v>
      </c>
      <c r="V39" s="1558" t="s">
        <v>8</v>
      </c>
      <c r="W39" s="1559">
        <f t="shared" si="14"/>
        <v>100</v>
      </c>
      <c r="X39" s="1552"/>
      <c r="Y39" s="4056"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056"/>
      <c r="Q40" s="1557" t="str">
        <f t="shared" si="11"/>
        <v>市政基础设施</v>
      </c>
      <c r="R40" s="1558" t="s">
        <v>8</v>
      </c>
      <c r="S40" s="1559">
        <f t="shared" si="12"/>
        <v>100</v>
      </c>
      <c r="T40" s="1558" t="s">
        <v>8</v>
      </c>
      <c r="U40" s="1559">
        <f t="shared" si="13"/>
        <v>100</v>
      </c>
      <c r="V40" s="1558" t="s">
        <v>8</v>
      </c>
      <c r="W40" s="1559">
        <f t="shared" si="14"/>
        <v>100</v>
      </c>
      <c r="X40" s="1552"/>
      <c r="Y40" s="4056"/>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056"/>
      <c r="Q41" s="1557" t="str">
        <f t="shared" si="11"/>
        <v>层高</v>
      </c>
      <c r="R41" s="1558" t="s">
        <v>8</v>
      </c>
      <c r="S41" s="1559">
        <f t="shared" si="12"/>
        <v>100</v>
      </c>
      <c r="T41" s="1558" t="s">
        <v>8</v>
      </c>
      <c r="U41" s="1559">
        <f t="shared" si="13"/>
        <v>100</v>
      </c>
      <c r="V41" s="1558" t="s">
        <v>8</v>
      </c>
      <c r="W41" s="1559">
        <f t="shared" si="14"/>
        <v>100</v>
      </c>
      <c r="X41" s="1552"/>
      <c r="Y41" s="4056"/>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056"/>
      <c r="Q42" s="1589" t="str">
        <f t="shared" si="11"/>
        <v>单套建筑面积</v>
      </c>
      <c r="R42" s="1562" t="s">
        <v>8</v>
      </c>
      <c r="S42" s="1563">
        <f t="shared" si="12"/>
        <v>100</v>
      </c>
      <c r="T42" s="1562" t="s">
        <v>8</v>
      </c>
      <c r="U42" s="1563">
        <f t="shared" si="13"/>
        <v>100</v>
      </c>
      <c r="V42" s="1562" t="s">
        <v>8</v>
      </c>
      <c r="W42" s="1563">
        <f t="shared" si="14"/>
        <v>100</v>
      </c>
      <c r="X42" s="1564"/>
      <c r="Y42" s="4056"/>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056"/>
      <c r="Q43" s="1557" t="str">
        <f t="shared" si="11"/>
        <v>内部装修</v>
      </c>
      <c r="R43" s="1558" t="s">
        <v>8</v>
      </c>
      <c r="S43" s="1559">
        <f t="shared" si="12"/>
        <v>100</v>
      </c>
      <c r="T43" s="1558" t="s">
        <v>8</v>
      </c>
      <c r="U43" s="1559">
        <f t="shared" si="13"/>
        <v>100</v>
      </c>
      <c r="V43" s="1558" t="s">
        <v>8</v>
      </c>
      <c r="W43" s="1559">
        <f t="shared" si="14"/>
        <v>100</v>
      </c>
      <c r="X43" s="1552"/>
      <c r="Y43" s="4056"/>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056"/>
      <c r="Q44" s="1557" t="str">
        <f t="shared" si="11"/>
        <v>内部装修维护情况</v>
      </c>
      <c r="R44" s="1558" t="s">
        <v>8</v>
      </c>
      <c r="S44" s="1559">
        <f t="shared" si="12"/>
        <v>100</v>
      </c>
      <c r="T44" s="1558" t="s">
        <v>8</v>
      </c>
      <c r="U44" s="1559">
        <f t="shared" si="13"/>
        <v>100</v>
      </c>
      <c r="V44" s="1558" t="s">
        <v>8</v>
      </c>
      <c r="W44" s="1559">
        <f t="shared" si="14"/>
        <v>100</v>
      </c>
      <c r="X44" s="1552"/>
      <c r="Y44" s="4056"/>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056"/>
      <c r="Q45" s="1146">
        <f t="shared" si="11"/>
        <v>111</v>
      </c>
      <c r="R45" s="1553" t="s">
        <v>8</v>
      </c>
      <c r="S45" s="1554">
        <f t="shared" si="12"/>
        <v>100</v>
      </c>
      <c r="T45" s="1553" t="s">
        <v>8</v>
      </c>
      <c r="U45" s="1554">
        <f t="shared" si="13"/>
        <v>100</v>
      </c>
      <c r="V45" s="1553" t="s">
        <v>8</v>
      </c>
      <c r="W45" s="1554">
        <f t="shared" si="14"/>
        <v>100</v>
      </c>
      <c r="X45" s="1555"/>
      <c r="Y45" s="4056"/>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056"/>
      <c r="Q46" s="1557">
        <f t="shared" si="11"/>
        <v>111</v>
      </c>
      <c r="R46" s="1558" t="s">
        <v>8</v>
      </c>
      <c r="S46" s="1559">
        <f t="shared" si="12"/>
        <v>100</v>
      </c>
      <c r="T46" s="1558" t="s">
        <v>8</v>
      </c>
      <c r="U46" s="1559">
        <f t="shared" si="13"/>
        <v>100</v>
      </c>
      <c r="V46" s="1558" t="s">
        <v>8</v>
      </c>
      <c r="W46" s="1559">
        <f t="shared" si="14"/>
        <v>100</v>
      </c>
      <c r="X46" s="1552"/>
      <c r="Y46" s="4056"/>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35"/>
      <c r="Q47" s="1557">
        <f t="shared" si="11"/>
        <v>111</v>
      </c>
      <c r="R47" s="1558" t="s">
        <v>8</v>
      </c>
      <c r="S47" s="1559">
        <f t="shared" si="12"/>
        <v>100</v>
      </c>
      <c r="T47" s="1558" t="s">
        <v>8</v>
      </c>
      <c r="U47" s="1559">
        <f t="shared" si="13"/>
        <v>100</v>
      </c>
      <c r="V47" s="1558" t="s">
        <v>8</v>
      </c>
      <c r="W47" s="1559">
        <f t="shared" si="14"/>
        <v>100</v>
      </c>
      <c r="X47" s="1552"/>
      <c r="Y47" s="4135"/>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73" t="str">
        <f>A48</f>
        <v>成交单价（元/平方米）</v>
      </c>
      <c r="Q48" s="4051"/>
      <c r="R48" s="4134">
        <f>E48</f>
        <v>0</v>
      </c>
      <c r="S48" s="4134"/>
      <c r="T48" s="4134">
        <f>G48</f>
        <v>0</v>
      </c>
      <c r="U48" s="4134"/>
      <c r="V48" s="4134">
        <f>I48</f>
        <v>0</v>
      </c>
      <c r="W48" s="4134"/>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73" t="str">
        <f>A49</f>
        <v>比较价格（元/平方米）</v>
      </c>
      <c r="Q49" s="4051"/>
      <c r="R49" s="4134" t="e">
        <f>IF(F1="售价",ROUND(PRODUCT(R48,AA7:AA47),0),ROUND(PRODUCT(R48,AA7:AA47),1))</f>
        <v>#DIV/0!</v>
      </c>
      <c r="S49" s="4134"/>
      <c r="T49" s="4134" t="e">
        <f>IF(F1="售价",ROUND(PRODUCT(T48,AB7:AB47),0),ROUND(PRODUCT(T48,AB7:AB47),1))</f>
        <v>#DIV/0!</v>
      </c>
      <c r="U49" s="4134"/>
      <c r="V49" s="4134" t="e">
        <f>IF(F1="售价",ROUND(PRODUCT(V48,AC7:AC47),0),ROUND(PRODUCT(V48,AC7:AC47),1))</f>
        <v>#DIV/0!</v>
      </c>
      <c r="W49" s="4134"/>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62" t="str">
        <f>A50</f>
        <v>估价对象XX用房的比较价格（楼面单价，元/平方米）</v>
      </c>
      <c r="Q50" s="4073"/>
      <c r="R50" s="4133" t="e">
        <f>IF(F1="售价",ROUND(AVERAGE(R49:V49),0),ROUND(AVERAGE(R49:V49),1))</f>
        <v>#DIV/0!</v>
      </c>
      <c r="S50" s="4133"/>
      <c r="T50" s="4133"/>
      <c r="U50" s="4133"/>
      <c r="V50" s="4133"/>
      <c r="W50" s="413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57" t="s">
        <v>522</v>
      </c>
      <c r="D4" s="4058"/>
      <c r="E4" s="4081" t="s">
        <v>523</v>
      </c>
      <c r="F4" s="4082"/>
      <c r="G4" s="4057" t="s">
        <v>524</v>
      </c>
      <c r="H4" s="4058"/>
      <c r="I4" s="4057" t="s">
        <v>525</v>
      </c>
      <c r="J4" s="4058"/>
      <c r="K4" s="513" t="s">
        <v>526</v>
      </c>
      <c r="L4" s="2117"/>
      <c r="M4" s="2118"/>
      <c r="N4" s="2118"/>
      <c r="O4" s="2118"/>
      <c r="P4" s="4059" t="s">
        <v>527</v>
      </c>
      <c r="Q4" s="4060"/>
      <c r="R4" s="4045" t="s">
        <v>523</v>
      </c>
      <c r="S4" s="4046"/>
      <c r="T4" s="4045" t="s">
        <v>524</v>
      </c>
      <c r="U4" s="4046"/>
      <c r="V4" s="4065" t="s">
        <v>525</v>
      </c>
      <c r="W4" s="4065"/>
      <c r="X4" s="1552"/>
      <c r="Y4" s="4045" t="s">
        <v>527</v>
      </c>
      <c r="Z4" s="4046"/>
      <c r="AA4" s="4040" t="s">
        <v>523</v>
      </c>
      <c r="AB4" s="4041" t="s">
        <v>524</v>
      </c>
      <c r="AC4" s="4040" t="s">
        <v>525</v>
      </c>
    </row>
    <row r="5" spans="1:29" ht="15">
      <c r="A5" s="514"/>
      <c r="B5" s="515"/>
      <c r="C5" s="4068" t="s">
        <v>2926</v>
      </c>
      <c r="D5" s="4069"/>
      <c r="E5" s="4083" t="s">
        <v>2927</v>
      </c>
      <c r="F5" s="4084"/>
      <c r="G5" s="4068" t="s">
        <v>2928</v>
      </c>
      <c r="H5" s="4069"/>
      <c r="I5" s="4068" t="s">
        <v>2929</v>
      </c>
      <c r="J5" s="4069"/>
      <c r="K5" s="513"/>
      <c r="L5" s="2117"/>
      <c r="M5" s="2118"/>
      <c r="N5" s="2118"/>
      <c r="O5" s="2118"/>
      <c r="P5" s="4061"/>
      <c r="Q5" s="4062"/>
      <c r="R5" s="4047"/>
      <c r="S5" s="4048"/>
      <c r="T5" s="4047"/>
      <c r="U5" s="4048"/>
      <c r="V5" s="4065"/>
      <c r="W5" s="4065"/>
      <c r="X5" s="1552"/>
      <c r="Y5" s="4047"/>
      <c r="Z5" s="4048"/>
      <c r="AA5" s="4041"/>
      <c r="AB5" s="4041"/>
      <c r="AC5" s="4041"/>
    </row>
    <row r="6" spans="1:29" ht="15.75" thickBot="1">
      <c r="A6" s="516"/>
      <c r="B6" s="517"/>
      <c r="C6" s="4066" t="s">
        <v>2930</v>
      </c>
      <c r="D6" s="4067"/>
      <c r="E6" s="4085" t="s">
        <v>2930</v>
      </c>
      <c r="F6" s="4086"/>
      <c r="G6" s="4066" t="s">
        <v>2930</v>
      </c>
      <c r="H6" s="4067"/>
      <c r="I6" s="4066" t="s">
        <v>2930</v>
      </c>
      <c r="J6" s="4067"/>
      <c r="K6" s="513" t="s">
        <v>528</v>
      </c>
      <c r="L6" s="2117"/>
      <c r="M6" s="2118"/>
      <c r="N6" s="2118"/>
      <c r="O6" s="2118"/>
      <c r="P6" s="4063"/>
      <c r="Q6" s="4064"/>
      <c r="R6" s="4047"/>
      <c r="S6" s="4048"/>
      <c r="T6" s="4049"/>
      <c r="U6" s="4050"/>
      <c r="V6" s="4065"/>
      <c r="W6" s="4065"/>
      <c r="X6" s="1552"/>
      <c r="Y6" s="4049"/>
      <c r="Z6" s="4050"/>
      <c r="AA6" s="4042"/>
      <c r="AB6" s="4042"/>
      <c r="AC6" s="4042"/>
    </row>
    <row r="7" spans="1:29" s="1215" customFormat="1" ht="15.75" thickBot="1">
      <c r="A7" s="2865"/>
      <c r="B7" s="2872" t="s">
        <v>529</v>
      </c>
      <c r="C7" s="518">
        <f>'数据-取费表'!B2</f>
        <v>43671</v>
      </c>
      <c r="D7" s="519">
        <v>100</v>
      </c>
      <c r="E7" s="520"/>
      <c r="F7" s="521">
        <f>SUMIF(52:52,YEAR(E7)&amp;"-"&amp;MONTH(E7),53:53)</f>
        <v>0</v>
      </c>
      <c r="G7" s="520"/>
      <c r="H7" s="519">
        <f>SUMIF(52:52,YEAR(G7)&amp;"-"&amp;MONTH(G7),53:53)</f>
        <v>0</v>
      </c>
      <c r="I7" s="520"/>
      <c r="J7" s="519">
        <f>SUMIF(52:52,YEAR(I7)&amp;"-"&amp;MONTH(I7),53:53)</f>
        <v>0</v>
      </c>
      <c r="K7" s="523"/>
      <c r="L7" s="2119"/>
      <c r="M7" s="2120"/>
      <c r="N7" s="2120"/>
      <c r="O7" s="2120"/>
      <c r="P7" s="4043" t="s">
        <v>530</v>
      </c>
      <c r="Q7" s="4052"/>
      <c r="R7" s="1553" t="s">
        <v>8</v>
      </c>
      <c r="S7" s="1554">
        <f t="shared" ref="S7:S15" si="0">F7</f>
        <v>0</v>
      </c>
      <c r="T7" s="1553" t="s">
        <v>8</v>
      </c>
      <c r="U7" s="1554">
        <f t="shared" ref="U7:U15" si="1">H7</f>
        <v>0</v>
      </c>
      <c r="V7" s="1553" t="s">
        <v>8</v>
      </c>
      <c r="W7" s="1554">
        <f t="shared" ref="W7:W15" si="2">J7</f>
        <v>0</v>
      </c>
      <c r="X7" s="1555"/>
      <c r="Y7" s="4043" t="s">
        <v>530</v>
      </c>
      <c r="Z7" s="4044"/>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043" t="s">
        <v>533</v>
      </c>
      <c r="Q8" s="4044"/>
      <c r="R8" s="1553" t="s">
        <v>8</v>
      </c>
      <c r="S8" s="1554">
        <f t="shared" si="0"/>
        <v>0</v>
      </c>
      <c r="T8" s="1553" t="s">
        <v>8</v>
      </c>
      <c r="U8" s="1554">
        <f t="shared" si="1"/>
        <v>0</v>
      </c>
      <c r="V8" s="1553" t="s">
        <v>8</v>
      </c>
      <c r="W8" s="1554">
        <f t="shared" si="2"/>
        <v>0</v>
      </c>
      <c r="X8" s="1555"/>
      <c r="Y8" s="4043" t="s">
        <v>533</v>
      </c>
      <c r="Z8" s="4044"/>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51" t="s">
        <v>535</v>
      </c>
      <c r="Q9" s="1146" t="str">
        <f t="shared" ref="Q9:Q15" si="6">B9</f>
        <v>用途</v>
      </c>
      <c r="R9" s="1553" t="s">
        <v>8</v>
      </c>
      <c r="S9" s="1554">
        <f t="shared" si="0"/>
        <v>100</v>
      </c>
      <c r="T9" s="1553" t="s">
        <v>8</v>
      </c>
      <c r="U9" s="1554">
        <f t="shared" si="1"/>
        <v>100</v>
      </c>
      <c r="V9" s="1553" t="s">
        <v>8</v>
      </c>
      <c r="W9" s="1554">
        <f t="shared" si="2"/>
        <v>100</v>
      </c>
      <c r="X9" s="1555"/>
      <c r="Y9" s="4008"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51"/>
      <c r="Q10" s="1146" t="str">
        <f t="shared" si="6"/>
        <v>土地使用年限（年）</v>
      </c>
      <c r="R10" s="1553" t="s">
        <v>8</v>
      </c>
      <c r="S10" s="1554">
        <f t="shared" si="0"/>
        <v>100</v>
      </c>
      <c r="T10" s="1553" t="s">
        <v>8</v>
      </c>
      <c r="U10" s="1554">
        <f t="shared" si="1"/>
        <v>100</v>
      </c>
      <c r="V10" s="1553" t="s">
        <v>8</v>
      </c>
      <c r="W10" s="1554">
        <f t="shared" si="2"/>
        <v>100</v>
      </c>
      <c r="X10" s="1555"/>
      <c r="Y10" s="4008"/>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51"/>
      <c r="Q11" s="1146" t="str">
        <f t="shared" si="6"/>
        <v>容积率</v>
      </c>
      <c r="R11" s="1553" t="s">
        <v>8</v>
      </c>
      <c r="S11" s="1554" t="e">
        <f t="shared" si="0"/>
        <v>#N/A</v>
      </c>
      <c r="T11" s="1553" t="s">
        <v>8</v>
      </c>
      <c r="U11" s="1554" t="e">
        <f t="shared" si="1"/>
        <v>#N/A</v>
      </c>
      <c r="V11" s="1553" t="s">
        <v>8</v>
      </c>
      <c r="W11" s="1554" t="e">
        <f t="shared" si="2"/>
        <v>#N/A</v>
      </c>
      <c r="X11" s="1555"/>
      <c r="Y11" s="4008"/>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51"/>
      <c r="Q12" s="1146">
        <f t="shared" si="6"/>
        <v>111</v>
      </c>
      <c r="R12" s="1553" t="s">
        <v>8</v>
      </c>
      <c r="S12" s="1554">
        <f t="shared" si="0"/>
        <v>100</v>
      </c>
      <c r="T12" s="1553" t="s">
        <v>8</v>
      </c>
      <c r="U12" s="1554">
        <f t="shared" si="1"/>
        <v>100</v>
      </c>
      <c r="V12" s="1553" t="s">
        <v>8</v>
      </c>
      <c r="W12" s="1554">
        <f t="shared" si="2"/>
        <v>100</v>
      </c>
      <c r="X12" s="1555"/>
      <c r="Y12" s="4008"/>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51"/>
      <c r="Q13" s="1146">
        <f t="shared" si="6"/>
        <v>111</v>
      </c>
      <c r="R13" s="1553" t="s">
        <v>8</v>
      </c>
      <c r="S13" s="1554">
        <f t="shared" si="0"/>
        <v>100</v>
      </c>
      <c r="T13" s="1553" t="s">
        <v>8</v>
      </c>
      <c r="U13" s="1554">
        <f t="shared" si="1"/>
        <v>100</v>
      </c>
      <c r="V13" s="1553" t="s">
        <v>8</v>
      </c>
      <c r="W13" s="1554">
        <f t="shared" si="2"/>
        <v>100</v>
      </c>
      <c r="X13" s="1555"/>
      <c r="Y13" s="4008"/>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51"/>
      <c r="Q14" s="1146">
        <f t="shared" si="6"/>
        <v>111</v>
      </c>
      <c r="R14" s="1553" t="s">
        <v>8</v>
      </c>
      <c r="S14" s="1554">
        <f t="shared" si="0"/>
        <v>100</v>
      </c>
      <c r="T14" s="1553" t="s">
        <v>8</v>
      </c>
      <c r="U14" s="1554">
        <f t="shared" si="1"/>
        <v>100</v>
      </c>
      <c r="V14" s="1553" t="s">
        <v>8</v>
      </c>
      <c r="W14" s="1554">
        <f t="shared" si="2"/>
        <v>100</v>
      </c>
      <c r="X14" s="1555"/>
      <c r="Y14" s="4008"/>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053" t="s">
        <v>540</v>
      </c>
      <c r="Q15" s="1557" t="str">
        <f t="shared" si="6"/>
        <v>产业集聚程度</v>
      </c>
      <c r="R15" s="1558" t="s">
        <v>8</v>
      </c>
      <c r="S15" s="1559">
        <f t="shared" si="0"/>
        <v>100</v>
      </c>
      <c r="T15" s="1558" t="s">
        <v>8</v>
      </c>
      <c r="U15" s="1559">
        <f t="shared" si="1"/>
        <v>100</v>
      </c>
      <c r="V15" s="1558" t="s">
        <v>8</v>
      </c>
      <c r="W15" s="1559">
        <f t="shared" si="2"/>
        <v>100</v>
      </c>
      <c r="X15" s="1552"/>
      <c r="Y15" s="4053"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054"/>
      <c r="Q16" s="1557"/>
      <c r="R16" s="1558"/>
      <c r="S16" s="1559"/>
      <c r="T16" s="1558"/>
      <c r="U16" s="1559"/>
      <c r="V16" s="1558"/>
      <c r="W16" s="1559"/>
      <c r="X16" s="1552"/>
      <c r="Y16" s="4054"/>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054"/>
      <c r="Q17" s="1557" t="str">
        <f>B17</f>
        <v>交通便捷度</v>
      </c>
      <c r="R17" s="1558" t="s">
        <v>8</v>
      </c>
      <c r="S17" s="1559">
        <f>F17</f>
        <v>100</v>
      </c>
      <c r="T17" s="1558" t="s">
        <v>8</v>
      </c>
      <c r="U17" s="1559">
        <f>H17</f>
        <v>100</v>
      </c>
      <c r="V17" s="1558" t="s">
        <v>8</v>
      </c>
      <c r="W17" s="1559">
        <f>J17</f>
        <v>100</v>
      </c>
      <c r="X17" s="1552"/>
      <c r="Y17" s="4054"/>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054"/>
      <c r="Q18" s="1557"/>
      <c r="R18" s="1558"/>
      <c r="S18" s="1559"/>
      <c r="T18" s="1558"/>
      <c r="U18" s="1559"/>
      <c r="V18" s="1558"/>
      <c r="W18" s="1559"/>
      <c r="X18" s="1552"/>
      <c r="Y18" s="4054"/>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054"/>
      <c r="Q19" s="1557" t="str">
        <f>B19</f>
        <v>公共配套设施</v>
      </c>
      <c r="R19" s="1558" t="s">
        <v>8</v>
      </c>
      <c r="S19" s="1559">
        <f>F19</f>
        <v>100</v>
      </c>
      <c r="T19" s="1558" t="s">
        <v>8</v>
      </c>
      <c r="U19" s="1559">
        <f>H19</f>
        <v>100</v>
      </c>
      <c r="V19" s="1558" t="s">
        <v>8</v>
      </c>
      <c r="W19" s="1559">
        <f>J19</f>
        <v>100</v>
      </c>
      <c r="X19" s="1552"/>
      <c r="Y19" s="4054"/>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054"/>
      <c r="Q20" s="1557"/>
      <c r="R20" s="1558"/>
      <c r="S20" s="1559"/>
      <c r="T20" s="1558"/>
      <c r="U20" s="1559"/>
      <c r="V20" s="1558"/>
      <c r="W20" s="1559"/>
      <c r="X20" s="1552"/>
      <c r="Y20" s="4054"/>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054"/>
      <c r="Q21" s="2542" t="str">
        <f>B21</f>
        <v>基础设施水平</v>
      </c>
      <c r="R21" s="1558" t="s">
        <v>8</v>
      </c>
      <c r="S21" s="1559">
        <f>F21</f>
        <v>100</v>
      </c>
      <c r="T21" s="1558" t="s">
        <v>8</v>
      </c>
      <c r="U21" s="1559">
        <f>H21</f>
        <v>100</v>
      </c>
      <c r="V21" s="1558" t="s">
        <v>8</v>
      </c>
      <c r="W21" s="1559">
        <f>J21</f>
        <v>100</v>
      </c>
      <c r="X21" s="2544"/>
      <c r="Y21" s="4054"/>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054"/>
      <c r="Q22" s="2542"/>
      <c r="R22" s="1558"/>
      <c r="S22" s="1559"/>
      <c r="T22" s="1558"/>
      <c r="U22" s="1559"/>
      <c r="V22" s="1558"/>
      <c r="W22" s="1559"/>
      <c r="X22" s="2544"/>
      <c r="Y22" s="4054"/>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054"/>
      <c r="Q23" s="1557" t="str">
        <f>B23</f>
        <v>环境质量</v>
      </c>
      <c r="R23" s="1558" t="s">
        <v>8</v>
      </c>
      <c r="S23" s="1559">
        <f>F23</f>
        <v>100</v>
      </c>
      <c r="T23" s="1558" t="s">
        <v>8</v>
      </c>
      <c r="U23" s="1559">
        <f>H23</f>
        <v>100</v>
      </c>
      <c r="V23" s="1558" t="s">
        <v>8</v>
      </c>
      <c r="W23" s="1559">
        <f>J23</f>
        <v>100</v>
      </c>
      <c r="X23" s="1552"/>
      <c r="Y23" s="4054"/>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054"/>
      <c r="Q24" s="1557"/>
      <c r="R24" s="1558"/>
      <c r="S24" s="1559"/>
      <c r="T24" s="1558"/>
      <c r="U24" s="1559"/>
      <c r="V24" s="1558"/>
      <c r="W24" s="1559"/>
      <c r="X24" s="1552"/>
      <c r="Y24" s="4054"/>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054"/>
      <c r="Q25" s="1557">
        <f>B25</f>
        <v>111</v>
      </c>
      <c r="R25" s="1558" t="s">
        <v>8</v>
      </c>
      <c r="S25" s="1559">
        <f>F25</f>
        <v>100</v>
      </c>
      <c r="T25" s="1558" t="s">
        <v>8</v>
      </c>
      <c r="U25" s="1559">
        <f>H25</f>
        <v>100</v>
      </c>
      <c r="V25" s="1558" t="s">
        <v>8</v>
      </c>
      <c r="W25" s="1559">
        <f>J25</f>
        <v>100</v>
      </c>
      <c r="X25" s="1552"/>
      <c r="Y25" s="4054"/>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054"/>
      <c r="Q26" s="1557">
        <f t="shared" ref="Q26:Q40" si="11">B26</f>
        <v>111</v>
      </c>
      <c r="R26" s="1558" t="s">
        <v>8</v>
      </c>
      <c r="S26" s="1559">
        <f>F26</f>
        <v>100</v>
      </c>
      <c r="T26" s="1558" t="s">
        <v>8</v>
      </c>
      <c r="U26" s="1559">
        <f>H26</f>
        <v>100</v>
      </c>
      <c r="V26" s="1558" t="s">
        <v>8</v>
      </c>
      <c r="W26" s="1559">
        <f>J26</f>
        <v>100</v>
      </c>
      <c r="X26" s="1552"/>
      <c r="Y26" s="4054"/>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054"/>
      <c r="Q27" s="1146">
        <f t="shared" si="11"/>
        <v>111</v>
      </c>
      <c r="R27" s="1553" t="s">
        <v>8</v>
      </c>
      <c r="S27" s="1554">
        <f>F27</f>
        <v>100</v>
      </c>
      <c r="T27" s="1553" t="s">
        <v>8</v>
      </c>
      <c r="U27" s="1554">
        <f>H27</f>
        <v>100</v>
      </c>
      <c r="V27" s="1553" t="s">
        <v>8</v>
      </c>
      <c r="W27" s="1554">
        <f>J27</f>
        <v>100</v>
      </c>
      <c r="X27" s="1555"/>
      <c r="Y27" s="4054"/>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054"/>
      <c r="Q28" s="1557">
        <f t="shared" si="11"/>
        <v>111</v>
      </c>
      <c r="R28" s="1558" t="s">
        <v>8</v>
      </c>
      <c r="S28" s="1559">
        <f t="shared" ref="S28:S40" si="12">F28</f>
        <v>100</v>
      </c>
      <c r="T28" s="1558" t="s">
        <v>8</v>
      </c>
      <c r="U28" s="1559">
        <f t="shared" ref="U28:U40" si="13">H28</f>
        <v>100</v>
      </c>
      <c r="V28" s="1558" t="s">
        <v>8</v>
      </c>
      <c r="W28" s="1559">
        <f t="shared" ref="W28:W40" si="14">J28</f>
        <v>100</v>
      </c>
      <c r="X28" s="1552"/>
      <c r="Y28" s="4054"/>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055" t="s">
        <v>550</v>
      </c>
      <c r="Q29" s="1557" t="str">
        <f t="shared" si="11"/>
        <v>建筑类型</v>
      </c>
      <c r="R29" s="1558" t="s">
        <v>8</v>
      </c>
      <c r="S29" s="1559">
        <f t="shared" si="12"/>
        <v>100</v>
      </c>
      <c r="T29" s="1558" t="s">
        <v>8</v>
      </c>
      <c r="U29" s="1559">
        <f t="shared" si="13"/>
        <v>100</v>
      </c>
      <c r="V29" s="1558" t="s">
        <v>8</v>
      </c>
      <c r="W29" s="1559">
        <f t="shared" si="14"/>
        <v>100</v>
      </c>
      <c r="X29" s="1552"/>
      <c r="Y29" s="4056"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056"/>
      <c r="Q30" s="1589" t="str">
        <f t="shared" si="11"/>
        <v>项目建筑规模</v>
      </c>
      <c r="R30" s="1562" t="s">
        <v>8</v>
      </c>
      <c r="S30" s="1563" t="e">
        <f t="shared" si="12"/>
        <v>#N/A</v>
      </c>
      <c r="T30" s="1562" t="s">
        <v>8</v>
      </c>
      <c r="U30" s="1563" t="e">
        <f t="shared" si="13"/>
        <v>#N/A</v>
      </c>
      <c r="V30" s="1562" t="s">
        <v>8</v>
      </c>
      <c r="W30" s="1563" t="e">
        <f t="shared" si="14"/>
        <v>#N/A</v>
      </c>
      <c r="X30" s="1564"/>
      <c r="Y30" s="4056"/>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056"/>
      <c r="Q31" s="1557" t="str">
        <f t="shared" si="11"/>
        <v>建筑结构</v>
      </c>
      <c r="R31" s="1558" t="s">
        <v>8</v>
      </c>
      <c r="S31" s="1559">
        <f t="shared" si="12"/>
        <v>100</v>
      </c>
      <c r="T31" s="1558" t="s">
        <v>8</v>
      </c>
      <c r="U31" s="1559">
        <f t="shared" si="13"/>
        <v>100</v>
      </c>
      <c r="V31" s="1558" t="s">
        <v>8</v>
      </c>
      <c r="W31" s="1559">
        <f t="shared" si="14"/>
        <v>100</v>
      </c>
      <c r="X31" s="1552"/>
      <c r="Y31" s="4056"/>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056"/>
      <c r="Q32" s="1557" t="str">
        <f t="shared" si="11"/>
        <v>公共部分装修</v>
      </c>
      <c r="R32" s="1558" t="s">
        <v>8</v>
      </c>
      <c r="S32" s="1559">
        <f t="shared" si="12"/>
        <v>100</v>
      </c>
      <c r="T32" s="1558" t="s">
        <v>8</v>
      </c>
      <c r="U32" s="1559">
        <f t="shared" si="13"/>
        <v>100</v>
      </c>
      <c r="V32" s="1558" t="s">
        <v>8</v>
      </c>
      <c r="W32" s="1559">
        <f t="shared" si="14"/>
        <v>100</v>
      </c>
      <c r="X32" s="1552"/>
      <c r="Y32" s="4056"/>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056"/>
      <c r="Q33" s="1557" t="str">
        <f t="shared" si="11"/>
        <v>成新度</v>
      </c>
      <c r="R33" s="1558" t="s">
        <v>8</v>
      </c>
      <c r="S33" s="1559" t="e">
        <f t="shared" si="12"/>
        <v>#N/A</v>
      </c>
      <c r="T33" s="1558" t="s">
        <v>8</v>
      </c>
      <c r="U33" s="1559" t="e">
        <f t="shared" si="13"/>
        <v>#N/A</v>
      </c>
      <c r="V33" s="1558" t="s">
        <v>8</v>
      </c>
      <c r="W33" s="1559" t="e">
        <f t="shared" si="14"/>
        <v>#N/A</v>
      </c>
      <c r="X33" s="1552"/>
      <c r="Y33" s="4056"/>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056"/>
      <c r="Q34" s="1146" t="str">
        <f t="shared" si="11"/>
        <v>物业管理</v>
      </c>
      <c r="R34" s="1553" t="s">
        <v>8</v>
      </c>
      <c r="S34" s="1554">
        <f t="shared" si="12"/>
        <v>100</v>
      </c>
      <c r="T34" s="1553" t="s">
        <v>8</v>
      </c>
      <c r="U34" s="1554">
        <f t="shared" si="13"/>
        <v>100</v>
      </c>
      <c r="V34" s="1553" t="s">
        <v>8</v>
      </c>
      <c r="W34" s="1554">
        <f t="shared" si="14"/>
        <v>100</v>
      </c>
      <c r="X34" s="1555"/>
      <c r="Y34" s="4056"/>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056" t="s">
        <v>550</v>
      </c>
      <c r="Q35" s="1557" t="str">
        <f t="shared" si="11"/>
        <v>市政基础设施</v>
      </c>
      <c r="R35" s="1558" t="s">
        <v>8</v>
      </c>
      <c r="S35" s="1559">
        <f t="shared" si="12"/>
        <v>100</v>
      </c>
      <c r="T35" s="1558" t="s">
        <v>8</v>
      </c>
      <c r="U35" s="1559">
        <f t="shared" si="13"/>
        <v>100</v>
      </c>
      <c r="V35" s="1558" t="s">
        <v>8</v>
      </c>
      <c r="W35" s="1559">
        <f t="shared" si="14"/>
        <v>100</v>
      </c>
      <c r="X35" s="1552"/>
      <c r="Y35" s="4056"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056"/>
      <c r="Q36" s="1557" t="str">
        <f t="shared" si="11"/>
        <v>内部装修</v>
      </c>
      <c r="R36" s="1558" t="s">
        <v>8</v>
      </c>
      <c r="S36" s="1559">
        <f t="shared" si="12"/>
        <v>100</v>
      </c>
      <c r="T36" s="1558" t="s">
        <v>8</v>
      </c>
      <c r="U36" s="1559">
        <f t="shared" si="13"/>
        <v>100</v>
      </c>
      <c r="V36" s="1558" t="s">
        <v>8</v>
      </c>
      <c r="W36" s="1559">
        <f t="shared" si="14"/>
        <v>100</v>
      </c>
      <c r="X36" s="1552"/>
      <c r="Y36" s="4056"/>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056"/>
      <c r="Q37" s="1557" t="str">
        <f t="shared" si="11"/>
        <v>内部装修状况</v>
      </c>
      <c r="R37" s="1558" t="s">
        <v>8</v>
      </c>
      <c r="S37" s="1559">
        <f t="shared" si="12"/>
        <v>100</v>
      </c>
      <c r="T37" s="1558" t="s">
        <v>8</v>
      </c>
      <c r="U37" s="1559">
        <f t="shared" si="13"/>
        <v>100</v>
      </c>
      <c r="V37" s="1558" t="s">
        <v>8</v>
      </c>
      <c r="W37" s="1559">
        <f t="shared" si="14"/>
        <v>100</v>
      </c>
      <c r="X37" s="1552"/>
      <c r="Y37" s="4056"/>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056"/>
      <c r="Q38" s="1589">
        <f t="shared" si="11"/>
        <v>111</v>
      </c>
      <c r="R38" s="1562" t="s">
        <v>8</v>
      </c>
      <c r="S38" s="1563">
        <f t="shared" si="12"/>
        <v>100</v>
      </c>
      <c r="T38" s="1562" t="s">
        <v>8</v>
      </c>
      <c r="U38" s="1563">
        <f t="shared" si="13"/>
        <v>100</v>
      </c>
      <c r="V38" s="1562" t="s">
        <v>8</v>
      </c>
      <c r="W38" s="1563">
        <f t="shared" si="14"/>
        <v>100</v>
      </c>
      <c r="X38" s="1564"/>
      <c r="Y38" s="4056"/>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056"/>
      <c r="Q39" s="1557">
        <f t="shared" si="11"/>
        <v>111</v>
      </c>
      <c r="R39" s="1558" t="s">
        <v>8</v>
      </c>
      <c r="S39" s="1559">
        <f t="shared" si="12"/>
        <v>100</v>
      </c>
      <c r="T39" s="1558" t="s">
        <v>8</v>
      </c>
      <c r="U39" s="1559">
        <f t="shared" si="13"/>
        <v>100</v>
      </c>
      <c r="V39" s="1558" t="s">
        <v>8</v>
      </c>
      <c r="W39" s="1559">
        <f t="shared" si="14"/>
        <v>100</v>
      </c>
      <c r="X39" s="1552"/>
      <c r="Y39" s="4056"/>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35"/>
      <c r="Q40" s="1557">
        <f t="shared" si="11"/>
        <v>111</v>
      </c>
      <c r="R40" s="1558" t="s">
        <v>8</v>
      </c>
      <c r="S40" s="1559">
        <f t="shared" si="12"/>
        <v>100</v>
      </c>
      <c r="T40" s="1558" t="s">
        <v>8</v>
      </c>
      <c r="U40" s="1559">
        <f t="shared" si="13"/>
        <v>100</v>
      </c>
      <c r="V40" s="1558" t="s">
        <v>8</v>
      </c>
      <c r="W40" s="1559">
        <f t="shared" si="14"/>
        <v>100</v>
      </c>
      <c r="X40" s="1552"/>
      <c r="Y40" s="4135"/>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51" t="str">
        <f>A41</f>
        <v>成交单价（元/平方米）</v>
      </c>
      <c r="Q41" s="4051"/>
      <c r="R41" s="4134">
        <f>E41</f>
        <v>0</v>
      </c>
      <c r="S41" s="4134"/>
      <c r="T41" s="4134">
        <f>G41</f>
        <v>0</v>
      </c>
      <c r="U41" s="4134"/>
      <c r="V41" s="4134">
        <f>I41</f>
        <v>0</v>
      </c>
      <c r="W41" s="4134"/>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51" t="str">
        <f>A42</f>
        <v>比较价格（元/平方米）</v>
      </c>
      <c r="Q42" s="4051"/>
      <c r="R42" s="4134" t="e">
        <f>IF(F1="售价",ROUND(PRODUCT(R41,AA7:AA40),0),ROUND(PRODUCT(R41,AA7:AA40),1))</f>
        <v>#DIV/0!</v>
      </c>
      <c r="S42" s="4134"/>
      <c r="T42" s="4134" t="e">
        <f>IF(F1="售价",ROUND(PRODUCT(T41,AB7:AB40),0),ROUND(PRODUCT(T41,AB7:AB40),1))</f>
        <v>#DIV/0!</v>
      </c>
      <c r="U42" s="4134"/>
      <c r="V42" s="4134" t="e">
        <f>IF(F1="售价",ROUND(PRODUCT(V41,AC7:AC40),0),ROUND(PRODUCT(V41,AC7:AC40),1))</f>
        <v>#DIV/0!</v>
      </c>
      <c r="W42" s="4134"/>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072" t="str">
        <f>A43</f>
        <v>估价对象XX用房的比较价格（楼面单价，元/平方米）</v>
      </c>
      <c r="Q43" s="4073"/>
      <c r="R43" s="4133" t="e">
        <f>IF(F1="售价",ROUND(AVERAGE(R42:V42),0),ROUND(AVERAGE(R42:V42),1))</f>
        <v>#DIV/0!</v>
      </c>
      <c r="S43" s="4133"/>
      <c r="T43" s="4133"/>
      <c r="U43" s="4133"/>
      <c r="V43" s="4133"/>
      <c r="W43" s="413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111281.46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根据《国有土地使用证》[]，估价对象（分摊）出让国有建设用地使用权面积为20122.04平方米。根据《建设工程规划许可证》[]、《出让合同》[]，估价对象规划建筑面积为111281.46平方米。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57" t="s">
        <v>798</v>
      </c>
      <c r="D4" s="4058"/>
      <c r="E4" s="4057" t="s">
        <v>799</v>
      </c>
      <c r="F4" s="4058"/>
      <c r="G4" s="4057" t="s">
        <v>800</v>
      </c>
      <c r="H4" s="4058"/>
      <c r="I4" s="4057" t="s">
        <v>801</v>
      </c>
      <c r="J4" s="4058"/>
      <c r="K4" s="513" t="s">
        <v>802</v>
      </c>
      <c r="L4" s="2117"/>
      <c r="M4" s="2118"/>
      <c r="N4" s="2118"/>
      <c r="O4" s="2118"/>
      <c r="P4" s="4059" t="s">
        <v>803</v>
      </c>
      <c r="Q4" s="4060"/>
      <c r="R4" s="4045" t="s">
        <v>799</v>
      </c>
      <c r="S4" s="4046"/>
      <c r="T4" s="4045" t="s">
        <v>800</v>
      </c>
      <c r="U4" s="4046"/>
      <c r="V4" s="4065" t="s">
        <v>801</v>
      </c>
      <c r="W4" s="4065"/>
      <c r="X4" s="1552"/>
      <c r="Y4" s="4045" t="s">
        <v>803</v>
      </c>
      <c r="Z4" s="4046"/>
      <c r="AA4" s="4040" t="s">
        <v>799</v>
      </c>
      <c r="AB4" s="4041" t="s">
        <v>800</v>
      </c>
      <c r="AC4" s="4040" t="s">
        <v>801</v>
      </c>
    </row>
    <row r="5" spans="1:29" ht="15">
      <c r="A5" s="514"/>
      <c r="B5" s="515"/>
      <c r="C5" s="4068" t="s">
        <v>2926</v>
      </c>
      <c r="D5" s="4069"/>
      <c r="E5" s="4068" t="s">
        <v>2927</v>
      </c>
      <c r="F5" s="4069"/>
      <c r="G5" s="4068" t="s">
        <v>2928</v>
      </c>
      <c r="H5" s="4069"/>
      <c r="I5" s="4068" t="s">
        <v>2929</v>
      </c>
      <c r="J5" s="4069"/>
      <c r="K5" s="513"/>
      <c r="L5" s="2117"/>
      <c r="M5" s="2118"/>
      <c r="N5" s="2118"/>
      <c r="O5" s="2118"/>
      <c r="P5" s="4061"/>
      <c r="Q5" s="4062"/>
      <c r="R5" s="4047"/>
      <c r="S5" s="4048"/>
      <c r="T5" s="4047"/>
      <c r="U5" s="4048"/>
      <c r="V5" s="4065"/>
      <c r="W5" s="4065"/>
      <c r="X5" s="1552"/>
      <c r="Y5" s="4047"/>
      <c r="Z5" s="4048"/>
      <c r="AA5" s="4041"/>
      <c r="AB5" s="4041"/>
      <c r="AC5" s="4041"/>
    </row>
    <row r="6" spans="1:29" ht="15.75" thickBot="1">
      <c r="A6" s="516"/>
      <c r="B6" s="517"/>
      <c r="C6" s="4066" t="s">
        <v>2930</v>
      </c>
      <c r="D6" s="4067"/>
      <c r="E6" s="4070" t="s">
        <v>2930</v>
      </c>
      <c r="F6" s="4071"/>
      <c r="G6" s="4066" t="s">
        <v>2930</v>
      </c>
      <c r="H6" s="4067"/>
      <c r="I6" s="4066" t="s">
        <v>2930</v>
      </c>
      <c r="J6" s="4067"/>
      <c r="K6" s="513" t="s">
        <v>528</v>
      </c>
      <c r="L6" s="2117"/>
      <c r="M6" s="2118"/>
      <c r="N6" s="2118"/>
      <c r="O6" s="2118"/>
      <c r="P6" s="4063"/>
      <c r="Q6" s="4064"/>
      <c r="R6" s="4047"/>
      <c r="S6" s="4048"/>
      <c r="T6" s="4049"/>
      <c r="U6" s="4050"/>
      <c r="V6" s="4065"/>
      <c r="W6" s="4065"/>
      <c r="X6" s="1552"/>
      <c r="Y6" s="4049"/>
      <c r="Z6" s="4050"/>
      <c r="AA6" s="4042"/>
      <c r="AB6" s="4042"/>
      <c r="AC6" s="4042"/>
    </row>
    <row r="7" spans="1:29" s="1215" customFormat="1" ht="15.75" thickBot="1">
      <c r="A7" s="2865"/>
      <c r="B7" s="2872" t="s">
        <v>529</v>
      </c>
      <c r="C7" s="518">
        <f>'数据-取费表'!B2</f>
        <v>43671</v>
      </c>
      <c r="D7" s="519">
        <v>100</v>
      </c>
      <c r="E7" s="520"/>
      <c r="F7" s="521">
        <f>SUMIF(48:48,YEAR(E7)&amp;"-"&amp;MONTH(E7),49:49)</f>
        <v>0</v>
      </c>
      <c r="G7" s="522"/>
      <c r="H7" s="519">
        <f>SUMIF(48:48,YEAR(G7)&amp;"-"&amp;MONTH(G7),49:49)</f>
        <v>0</v>
      </c>
      <c r="I7" s="522"/>
      <c r="J7" s="519">
        <f>SUMIF(48:48,YEAR(I7)&amp;"-"&amp;MONTH(I7),49:49)</f>
        <v>0</v>
      </c>
      <c r="K7" s="523"/>
      <c r="L7" s="2119"/>
      <c r="M7" s="2120"/>
      <c r="N7" s="2120"/>
      <c r="O7" s="2120"/>
      <c r="P7" s="4043" t="s">
        <v>530</v>
      </c>
      <c r="Q7" s="4052"/>
      <c r="R7" s="1553" t="s">
        <v>8</v>
      </c>
      <c r="S7" s="1554">
        <f t="shared" ref="S7:S14" si="0">F7</f>
        <v>0</v>
      </c>
      <c r="T7" s="1553" t="s">
        <v>8</v>
      </c>
      <c r="U7" s="1554">
        <f t="shared" ref="U7:U14" si="1">H7</f>
        <v>0</v>
      </c>
      <c r="V7" s="1553" t="s">
        <v>8</v>
      </c>
      <c r="W7" s="1554">
        <f t="shared" ref="W7:W14" si="2">J7</f>
        <v>0</v>
      </c>
      <c r="X7" s="1555"/>
      <c r="Y7" s="4043" t="s">
        <v>530</v>
      </c>
      <c r="Z7" s="4044"/>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043" t="s">
        <v>533</v>
      </c>
      <c r="Q8" s="4044"/>
      <c r="R8" s="1553" t="s">
        <v>8</v>
      </c>
      <c r="S8" s="1554">
        <f t="shared" si="0"/>
        <v>0</v>
      </c>
      <c r="T8" s="1553" t="s">
        <v>8</v>
      </c>
      <c r="U8" s="1554">
        <f t="shared" si="1"/>
        <v>0</v>
      </c>
      <c r="V8" s="1553" t="s">
        <v>8</v>
      </c>
      <c r="W8" s="1554">
        <f t="shared" si="2"/>
        <v>0</v>
      </c>
      <c r="X8" s="1555"/>
      <c r="Y8" s="4043" t="s">
        <v>533</v>
      </c>
      <c r="Z8" s="4044"/>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51" t="s">
        <v>535</v>
      </c>
      <c r="Q9" s="1146" t="str">
        <f t="shared" ref="Q9:Q14" si="6">B9</f>
        <v>用途</v>
      </c>
      <c r="R9" s="1553" t="s">
        <v>8</v>
      </c>
      <c r="S9" s="1554">
        <f t="shared" si="0"/>
        <v>100</v>
      </c>
      <c r="T9" s="1553" t="s">
        <v>8</v>
      </c>
      <c r="U9" s="1554">
        <f t="shared" si="1"/>
        <v>100</v>
      </c>
      <c r="V9" s="1553" t="s">
        <v>8</v>
      </c>
      <c r="W9" s="1554">
        <f t="shared" si="2"/>
        <v>100</v>
      </c>
      <c r="X9" s="1555"/>
      <c r="Y9" s="4008"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51"/>
      <c r="Q10" s="1146" t="str">
        <f t="shared" si="6"/>
        <v>土地使用年限（年）</v>
      </c>
      <c r="R10" s="1553" t="s">
        <v>8</v>
      </c>
      <c r="S10" s="1554">
        <f t="shared" si="0"/>
        <v>100</v>
      </c>
      <c r="T10" s="1553" t="s">
        <v>8</v>
      </c>
      <c r="U10" s="1554">
        <f t="shared" si="1"/>
        <v>100</v>
      </c>
      <c r="V10" s="1553" t="s">
        <v>8</v>
      </c>
      <c r="W10" s="1554">
        <f t="shared" si="2"/>
        <v>100</v>
      </c>
      <c r="X10" s="1555"/>
      <c r="Y10" s="4008"/>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51"/>
      <c r="Q11" s="1146">
        <f t="shared" si="6"/>
        <v>111</v>
      </c>
      <c r="R11" s="1553" t="s">
        <v>8</v>
      </c>
      <c r="S11" s="1554">
        <f t="shared" si="0"/>
        <v>100</v>
      </c>
      <c r="T11" s="1553" t="s">
        <v>8</v>
      </c>
      <c r="U11" s="1554">
        <f t="shared" si="1"/>
        <v>100</v>
      </c>
      <c r="V11" s="1553" t="s">
        <v>8</v>
      </c>
      <c r="W11" s="1554">
        <f t="shared" si="2"/>
        <v>100</v>
      </c>
      <c r="X11" s="1555"/>
      <c r="Y11" s="4008"/>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51"/>
      <c r="Q12" s="1146">
        <f t="shared" si="6"/>
        <v>111</v>
      </c>
      <c r="R12" s="1553" t="s">
        <v>8</v>
      </c>
      <c r="S12" s="1554">
        <f t="shared" si="0"/>
        <v>100</v>
      </c>
      <c r="T12" s="1553" t="s">
        <v>8</v>
      </c>
      <c r="U12" s="1554">
        <f t="shared" si="1"/>
        <v>100</v>
      </c>
      <c r="V12" s="1553" t="s">
        <v>8</v>
      </c>
      <c r="W12" s="1554">
        <f t="shared" si="2"/>
        <v>100</v>
      </c>
      <c r="X12" s="1555"/>
      <c r="Y12" s="4008"/>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51"/>
      <c r="Q13" s="1146">
        <f t="shared" si="6"/>
        <v>111</v>
      </c>
      <c r="R13" s="1553" t="s">
        <v>8</v>
      </c>
      <c r="S13" s="1554">
        <f t="shared" si="0"/>
        <v>100</v>
      </c>
      <c r="T13" s="1553" t="s">
        <v>8</v>
      </c>
      <c r="U13" s="1554">
        <f t="shared" si="1"/>
        <v>100</v>
      </c>
      <c r="V13" s="1553" t="s">
        <v>8</v>
      </c>
      <c r="W13" s="1554">
        <f t="shared" si="2"/>
        <v>100</v>
      </c>
      <c r="X13" s="1555"/>
      <c r="Y13" s="4008"/>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053" t="s">
        <v>540</v>
      </c>
      <c r="Q14" s="1557" t="str">
        <f t="shared" si="6"/>
        <v>交通便捷度</v>
      </c>
      <c r="R14" s="1558" t="s">
        <v>8</v>
      </c>
      <c r="S14" s="1559">
        <f t="shared" si="0"/>
        <v>100</v>
      </c>
      <c r="T14" s="1558" t="s">
        <v>8</v>
      </c>
      <c r="U14" s="1559">
        <f t="shared" si="1"/>
        <v>100</v>
      </c>
      <c r="V14" s="1558" t="s">
        <v>8</v>
      </c>
      <c r="W14" s="1559">
        <f t="shared" si="2"/>
        <v>100</v>
      </c>
      <c r="X14" s="1552"/>
      <c r="Y14" s="4053"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054"/>
      <c r="Q15" s="1557"/>
      <c r="R15" s="1558"/>
      <c r="S15" s="1559"/>
      <c r="T15" s="1558"/>
      <c r="U15" s="1559"/>
      <c r="V15" s="1558"/>
      <c r="W15" s="1559"/>
      <c r="X15" s="1552"/>
      <c r="Y15" s="4054"/>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054"/>
      <c r="Q16" s="1557" t="str">
        <f>B16</f>
        <v>公共配套设施</v>
      </c>
      <c r="R16" s="1558" t="s">
        <v>8</v>
      </c>
      <c r="S16" s="1559">
        <f>F16</f>
        <v>100</v>
      </c>
      <c r="T16" s="1558" t="s">
        <v>8</v>
      </c>
      <c r="U16" s="1559">
        <f>H16</f>
        <v>100</v>
      </c>
      <c r="V16" s="1558" t="s">
        <v>8</v>
      </c>
      <c r="W16" s="1559">
        <f>J16</f>
        <v>100</v>
      </c>
      <c r="X16" s="1552"/>
      <c r="Y16" s="4054"/>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054"/>
      <c r="Q17" s="1557"/>
      <c r="R17" s="1558"/>
      <c r="S17" s="1559"/>
      <c r="T17" s="1558"/>
      <c r="U17" s="1559"/>
      <c r="V17" s="1558"/>
      <c r="W17" s="1559"/>
      <c r="X17" s="1552"/>
      <c r="Y17" s="4054"/>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054"/>
      <c r="Q18" s="2542" t="str">
        <f>B18</f>
        <v>基础设施水平</v>
      </c>
      <c r="R18" s="1558" t="s">
        <v>8</v>
      </c>
      <c r="S18" s="1559">
        <f>F18</f>
        <v>100</v>
      </c>
      <c r="T18" s="1558" t="s">
        <v>8</v>
      </c>
      <c r="U18" s="1559">
        <f>H18</f>
        <v>100</v>
      </c>
      <c r="V18" s="1558" t="s">
        <v>8</v>
      </c>
      <c r="W18" s="1559">
        <f>J18</f>
        <v>100</v>
      </c>
      <c r="X18" s="2544"/>
      <c r="Y18" s="4054"/>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054"/>
      <c r="Q19" s="2542"/>
      <c r="R19" s="1558"/>
      <c r="S19" s="1559"/>
      <c r="T19" s="1558"/>
      <c r="U19" s="1559"/>
      <c r="V19" s="1558"/>
      <c r="W19" s="1559"/>
      <c r="X19" s="2544"/>
      <c r="Y19" s="4054"/>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054"/>
      <c r="Q20" s="1557" t="str">
        <f>B20</f>
        <v>自然及人文环境</v>
      </c>
      <c r="R20" s="1558" t="s">
        <v>8</v>
      </c>
      <c r="S20" s="1559">
        <f>F20</f>
        <v>100</v>
      </c>
      <c r="T20" s="1558" t="s">
        <v>8</v>
      </c>
      <c r="U20" s="1559">
        <f>H20</f>
        <v>100</v>
      </c>
      <c r="V20" s="1558" t="s">
        <v>8</v>
      </c>
      <c r="W20" s="1559">
        <f>J20</f>
        <v>100</v>
      </c>
      <c r="X20" s="1552"/>
      <c r="Y20" s="4054"/>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054"/>
      <c r="Q21" s="1557"/>
      <c r="R21" s="1558"/>
      <c r="S21" s="1559"/>
      <c r="T21" s="1558"/>
      <c r="U21" s="1559"/>
      <c r="V21" s="1558"/>
      <c r="W21" s="1559"/>
      <c r="X21" s="1552"/>
      <c r="Y21" s="4054"/>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054"/>
      <c r="Q22" s="1557" t="str">
        <f>B22</f>
        <v>楼层</v>
      </c>
      <c r="R22" s="1558" t="s">
        <v>8</v>
      </c>
      <c r="S22" s="1559">
        <f>F22</f>
        <v>100</v>
      </c>
      <c r="T22" s="1558" t="s">
        <v>8</v>
      </c>
      <c r="U22" s="1559">
        <f>H22</f>
        <v>100</v>
      </c>
      <c r="V22" s="1558" t="s">
        <v>8</v>
      </c>
      <c r="W22" s="1559">
        <f>J22</f>
        <v>100</v>
      </c>
      <c r="X22" s="1552"/>
      <c r="Y22" s="4054"/>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054"/>
      <c r="Q23" s="1557">
        <f>B23</f>
        <v>111</v>
      </c>
      <c r="R23" s="1558" t="s">
        <v>8</v>
      </c>
      <c r="S23" s="1559">
        <f>F23</f>
        <v>100</v>
      </c>
      <c r="T23" s="1558" t="s">
        <v>8</v>
      </c>
      <c r="U23" s="1559">
        <f>H23</f>
        <v>100</v>
      </c>
      <c r="V23" s="1558" t="s">
        <v>8</v>
      </c>
      <c r="W23" s="1559">
        <f>J23</f>
        <v>100</v>
      </c>
      <c r="X23" s="1552"/>
      <c r="Y23" s="4054"/>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054"/>
      <c r="Q24" s="1557">
        <f t="shared" ref="Q24:Q36" si="11">B24</f>
        <v>111</v>
      </c>
      <c r="R24" s="1558" t="s">
        <v>8</v>
      </c>
      <c r="S24" s="1559">
        <f>F24</f>
        <v>100</v>
      </c>
      <c r="T24" s="1558" t="s">
        <v>8</v>
      </c>
      <c r="U24" s="1559">
        <f>H24</f>
        <v>100</v>
      </c>
      <c r="V24" s="1558" t="s">
        <v>8</v>
      </c>
      <c r="W24" s="1559">
        <f>J24</f>
        <v>100</v>
      </c>
      <c r="X24" s="1552"/>
      <c r="Y24" s="4054"/>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054"/>
      <c r="Q25" s="1146">
        <f t="shared" si="11"/>
        <v>111</v>
      </c>
      <c r="R25" s="1553" t="s">
        <v>8</v>
      </c>
      <c r="S25" s="1554">
        <f>F25</f>
        <v>100</v>
      </c>
      <c r="T25" s="1553" t="s">
        <v>8</v>
      </c>
      <c r="U25" s="1554">
        <f>H25</f>
        <v>100</v>
      </c>
      <c r="V25" s="1553" t="s">
        <v>8</v>
      </c>
      <c r="W25" s="1554">
        <f>J25</f>
        <v>100</v>
      </c>
      <c r="X25" s="1555"/>
      <c r="Y25" s="4054"/>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05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056"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056"/>
      <c r="Q27" s="1589" t="str">
        <f t="shared" si="11"/>
        <v>项目停车位配比</v>
      </c>
      <c r="R27" s="1562" t="s">
        <v>8</v>
      </c>
      <c r="S27" s="1563">
        <f t="shared" si="12"/>
        <v>100</v>
      </c>
      <c r="T27" s="1562" t="s">
        <v>8</v>
      </c>
      <c r="U27" s="1563">
        <f t="shared" si="13"/>
        <v>100</v>
      </c>
      <c r="V27" s="1562" t="s">
        <v>8</v>
      </c>
      <c r="W27" s="1563">
        <f t="shared" si="14"/>
        <v>100</v>
      </c>
      <c r="X27" s="1564"/>
      <c r="Y27" s="4056"/>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056"/>
      <c r="Q28" s="1557" t="str">
        <f t="shared" si="11"/>
        <v>公共部分装修</v>
      </c>
      <c r="R28" s="1558" t="s">
        <v>8</v>
      </c>
      <c r="S28" s="1559">
        <f t="shared" si="12"/>
        <v>100</v>
      </c>
      <c r="T28" s="1558" t="s">
        <v>8</v>
      </c>
      <c r="U28" s="1559">
        <f t="shared" si="13"/>
        <v>100</v>
      </c>
      <c r="V28" s="1558" t="s">
        <v>8</v>
      </c>
      <c r="W28" s="1559">
        <f t="shared" si="14"/>
        <v>100</v>
      </c>
      <c r="X28" s="1552"/>
      <c r="Y28" s="4056"/>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056"/>
      <c r="Q29" s="1557" t="str">
        <f t="shared" si="11"/>
        <v>成新率</v>
      </c>
      <c r="R29" s="1558" t="s">
        <v>8</v>
      </c>
      <c r="S29" s="1559" t="e">
        <f t="shared" si="12"/>
        <v>#N/A</v>
      </c>
      <c r="T29" s="1558" t="s">
        <v>8</v>
      </c>
      <c r="U29" s="1559" t="e">
        <f t="shared" si="13"/>
        <v>#N/A</v>
      </c>
      <c r="V29" s="1558" t="s">
        <v>8</v>
      </c>
      <c r="W29" s="1559" t="e">
        <f t="shared" si="14"/>
        <v>#N/A</v>
      </c>
      <c r="X29" s="1552"/>
      <c r="Y29" s="4056"/>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056"/>
      <c r="Q30" s="1557" t="str">
        <f t="shared" si="11"/>
        <v>物业等级</v>
      </c>
      <c r="R30" s="1558" t="s">
        <v>8</v>
      </c>
      <c r="S30" s="1559">
        <f t="shared" si="12"/>
        <v>100</v>
      </c>
      <c r="T30" s="1558" t="s">
        <v>8</v>
      </c>
      <c r="U30" s="1559">
        <f t="shared" si="13"/>
        <v>100</v>
      </c>
      <c r="V30" s="1558" t="s">
        <v>8</v>
      </c>
      <c r="W30" s="1559">
        <f t="shared" si="14"/>
        <v>100</v>
      </c>
      <c r="X30" s="1552"/>
      <c r="Y30" s="4056"/>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056"/>
      <c r="Q31" s="1146" t="str">
        <f t="shared" si="11"/>
        <v>停车位面积</v>
      </c>
      <c r="R31" s="1553" t="s">
        <v>8</v>
      </c>
      <c r="S31" s="1554" t="e">
        <f t="shared" si="12"/>
        <v>#N/A</v>
      </c>
      <c r="T31" s="1553" t="s">
        <v>8</v>
      </c>
      <c r="U31" s="1554" t="e">
        <f t="shared" si="13"/>
        <v>#N/A</v>
      </c>
      <c r="V31" s="1553" t="s">
        <v>8</v>
      </c>
      <c r="W31" s="1554" t="e">
        <f t="shared" si="14"/>
        <v>#N/A</v>
      </c>
      <c r="X31" s="1555"/>
      <c r="Y31" s="4056"/>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056" t="s">
        <v>550</v>
      </c>
      <c r="Q32" s="1557" t="str">
        <f t="shared" si="11"/>
        <v>车位类型</v>
      </c>
      <c r="R32" s="1558" t="s">
        <v>8</v>
      </c>
      <c r="S32" s="1559">
        <f t="shared" si="12"/>
        <v>100</v>
      </c>
      <c r="T32" s="1558" t="s">
        <v>8</v>
      </c>
      <c r="U32" s="1559">
        <f t="shared" si="13"/>
        <v>100</v>
      </c>
      <c r="V32" s="1558" t="s">
        <v>8</v>
      </c>
      <c r="W32" s="1559">
        <f t="shared" si="14"/>
        <v>100</v>
      </c>
      <c r="X32" s="1552"/>
      <c r="Y32" s="4056"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056"/>
      <c r="Q33" s="1557" t="str">
        <f t="shared" si="11"/>
        <v>是否直接入户</v>
      </c>
      <c r="R33" s="1558" t="s">
        <v>8</v>
      </c>
      <c r="S33" s="1559">
        <f t="shared" si="12"/>
        <v>100</v>
      </c>
      <c r="T33" s="1558" t="s">
        <v>8</v>
      </c>
      <c r="U33" s="1559">
        <f t="shared" si="13"/>
        <v>100</v>
      </c>
      <c r="V33" s="1558" t="s">
        <v>8</v>
      </c>
      <c r="W33" s="1559">
        <f t="shared" si="14"/>
        <v>100</v>
      </c>
      <c r="X33" s="1552"/>
      <c r="Y33" s="4056"/>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056"/>
      <c r="Q34" s="1557">
        <f t="shared" si="11"/>
        <v>111</v>
      </c>
      <c r="R34" s="1558" t="s">
        <v>8</v>
      </c>
      <c r="S34" s="1559">
        <f t="shared" si="12"/>
        <v>100</v>
      </c>
      <c r="T34" s="1558" t="s">
        <v>8</v>
      </c>
      <c r="U34" s="1559">
        <f t="shared" si="13"/>
        <v>100</v>
      </c>
      <c r="V34" s="1558" t="s">
        <v>8</v>
      </c>
      <c r="W34" s="1559">
        <f t="shared" si="14"/>
        <v>100</v>
      </c>
      <c r="X34" s="1552"/>
      <c r="Y34" s="4056"/>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056"/>
      <c r="Q35" s="1589">
        <f t="shared" si="11"/>
        <v>111</v>
      </c>
      <c r="R35" s="1562" t="s">
        <v>8</v>
      </c>
      <c r="S35" s="1563">
        <f t="shared" si="12"/>
        <v>100</v>
      </c>
      <c r="T35" s="1562" t="s">
        <v>8</v>
      </c>
      <c r="U35" s="1563">
        <f t="shared" si="13"/>
        <v>100</v>
      </c>
      <c r="V35" s="1562" t="s">
        <v>8</v>
      </c>
      <c r="W35" s="1563">
        <f t="shared" si="14"/>
        <v>100</v>
      </c>
      <c r="X35" s="1564"/>
      <c r="Y35" s="4056"/>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056"/>
      <c r="Q36" s="1557">
        <f t="shared" si="11"/>
        <v>111</v>
      </c>
      <c r="R36" s="1558" t="s">
        <v>8</v>
      </c>
      <c r="S36" s="1559">
        <f t="shared" si="12"/>
        <v>100</v>
      </c>
      <c r="T36" s="1558" t="s">
        <v>8</v>
      </c>
      <c r="U36" s="1559">
        <f t="shared" si="13"/>
        <v>100</v>
      </c>
      <c r="V36" s="1558" t="s">
        <v>8</v>
      </c>
      <c r="W36" s="1559">
        <f t="shared" si="14"/>
        <v>100</v>
      </c>
      <c r="X36" s="1552"/>
      <c r="Y36" s="4056"/>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51" t="str">
        <f>A37</f>
        <v>成交单价</v>
      </c>
      <c r="Q37" s="4051"/>
      <c r="R37" s="4134">
        <f>E37</f>
        <v>0</v>
      </c>
      <c r="S37" s="4134"/>
      <c r="T37" s="4134">
        <f>G37</f>
        <v>0</v>
      </c>
      <c r="U37" s="4134"/>
      <c r="V37" s="4134">
        <f>I37</f>
        <v>0</v>
      </c>
      <c r="W37" s="4134"/>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51" t="str">
        <f>A38</f>
        <v>比较价格（元/平方米）</v>
      </c>
      <c r="Q38" s="4051"/>
      <c r="R38" s="4134" t="e">
        <f>IF(F1="售价",ROUND(PRODUCT(R37,AA7:AA36),0),ROUND(PRODUCT(R37,AA7:AA36),1))</f>
        <v>#DIV/0!</v>
      </c>
      <c r="S38" s="4134"/>
      <c r="T38" s="4134" t="e">
        <f>IF(F1="售价",ROUND(PRODUCT(T37,AB7:AB36),0),ROUND(PRODUCT(T37,AB7:AB36),1))</f>
        <v>#DIV/0!</v>
      </c>
      <c r="U38" s="4134"/>
      <c r="V38" s="4134" t="e">
        <f>IF(F1="售价",ROUND(PRODUCT(V37,AC7:AC36),0),ROUND(PRODUCT(V37,AC7:AC36),1))</f>
        <v>#DIV/0!</v>
      </c>
      <c r="W38" s="4134"/>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072" t="str">
        <f>A39</f>
        <v>估价对象XX用房的比较价格（楼面单价，元/平方米）</v>
      </c>
      <c r="Q39" s="4073"/>
      <c r="R39" s="4133" t="e">
        <f>IF(F1="售价",ROUND(AVERAGE(R38:V38),0),ROUND(AVERAGE(R38:V38),1))</f>
        <v>#DIV/0!</v>
      </c>
      <c r="S39" s="4133"/>
      <c r="T39" s="4133"/>
      <c r="U39" s="4133"/>
      <c r="V39" s="4133"/>
      <c r="W39" s="413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57" t="s">
        <v>798</v>
      </c>
      <c r="D4" s="4058"/>
      <c r="E4" s="4081" t="s">
        <v>799</v>
      </c>
      <c r="F4" s="4082"/>
      <c r="G4" s="4057" t="s">
        <v>800</v>
      </c>
      <c r="H4" s="4058"/>
      <c r="I4" s="4057" t="s">
        <v>801</v>
      </c>
      <c r="J4" s="4058"/>
      <c r="K4" s="513" t="s">
        <v>802</v>
      </c>
      <c r="L4" s="2117"/>
      <c r="M4" s="2118"/>
      <c r="N4" s="2118"/>
      <c r="O4" s="2118"/>
      <c r="P4" s="4059" t="s">
        <v>803</v>
      </c>
      <c r="Q4" s="4060"/>
      <c r="R4" s="4045" t="s">
        <v>799</v>
      </c>
      <c r="S4" s="4046"/>
      <c r="T4" s="4045" t="s">
        <v>800</v>
      </c>
      <c r="U4" s="4046"/>
      <c r="V4" s="4065" t="s">
        <v>801</v>
      </c>
      <c r="W4" s="4065"/>
      <c r="X4" s="1552"/>
      <c r="Y4" s="4045" t="s">
        <v>803</v>
      </c>
      <c r="Z4" s="4046"/>
      <c r="AA4" s="4040" t="s">
        <v>799</v>
      </c>
      <c r="AB4" s="4041" t="s">
        <v>800</v>
      </c>
      <c r="AC4" s="4040" t="s">
        <v>801</v>
      </c>
    </row>
    <row r="5" spans="1:29" ht="15">
      <c r="A5" s="514"/>
      <c r="B5" s="515"/>
      <c r="C5" s="4068" t="s">
        <v>2926</v>
      </c>
      <c r="D5" s="4069"/>
      <c r="E5" s="4083" t="s">
        <v>2927</v>
      </c>
      <c r="F5" s="4084"/>
      <c r="G5" s="4068" t="s">
        <v>2928</v>
      </c>
      <c r="H5" s="4069"/>
      <c r="I5" s="4068" t="s">
        <v>2929</v>
      </c>
      <c r="J5" s="4069"/>
      <c r="K5" s="513"/>
      <c r="L5" s="2117"/>
      <c r="M5" s="2118"/>
      <c r="N5" s="2118"/>
      <c r="O5" s="2118"/>
      <c r="P5" s="4061"/>
      <c r="Q5" s="4062"/>
      <c r="R5" s="4047"/>
      <c r="S5" s="4048"/>
      <c r="T5" s="4047"/>
      <c r="U5" s="4048"/>
      <c r="V5" s="4065"/>
      <c r="W5" s="4065"/>
      <c r="X5" s="1552"/>
      <c r="Y5" s="4047"/>
      <c r="Z5" s="4048"/>
      <c r="AA5" s="4041"/>
      <c r="AB5" s="4041"/>
      <c r="AC5" s="4041"/>
    </row>
    <row r="6" spans="1:29" ht="15.75" thickBot="1">
      <c r="A6" s="516"/>
      <c r="B6" s="517"/>
      <c r="C6" s="4066" t="s">
        <v>2930</v>
      </c>
      <c r="D6" s="4067"/>
      <c r="E6" s="4085" t="s">
        <v>2930</v>
      </c>
      <c r="F6" s="4086"/>
      <c r="G6" s="4066" t="s">
        <v>2930</v>
      </c>
      <c r="H6" s="4067"/>
      <c r="I6" s="4066" t="s">
        <v>2930</v>
      </c>
      <c r="J6" s="4067"/>
      <c r="K6" s="513" t="s">
        <v>528</v>
      </c>
      <c r="L6" s="2117"/>
      <c r="M6" s="2118"/>
      <c r="N6" s="2118"/>
      <c r="O6" s="2118"/>
      <c r="P6" s="4063"/>
      <c r="Q6" s="4064"/>
      <c r="R6" s="4047"/>
      <c r="S6" s="4048"/>
      <c r="T6" s="4049"/>
      <c r="U6" s="4050"/>
      <c r="V6" s="4065"/>
      <c r="W6" s="4065"/>
      <c r="X6" s="1552"/>
      <c r="Y6" s="4049"/>
      <c r="Z6" s="4050"/>
      <c r="AA6" s="4042"/>
      <c r="AB6" s="4042"/>
      <c r="AC6" s="4042"/>
    </row>
    <row r="7" spans="1:29" s="1215" customFormat="1" ht="15.75" thickBot="1">
      <c r="A7" s="2865"/>
      <c r="B7" s="2872" t="s">
        <v>529</v>
      </c>
      <c r="C7" s="518">
        <f>'数据-取费表'!B2</f>
        <v>43671</v>
      </c>
      <c r="D7" s="519">
        <v>100</v>
      </c>
      <c r="E7" s="520"/>
      <c r="F7" s="521">
        <f>SUMIF(46:46,YEAR(E7)&amp;"-"&amp;MONTH(E7),47:47)</f>
        <v>0</v>
      </c>
      <c r="G7" s="522"/>
      <c r="H7" s="519">
        <f>SUMIF(46:46,YEAR(G7)&amp;"-"&amp;MONTH(G7),47:47)</f>
        <v>0</v>
      </c>
      <c r="I7" s="522"/>
      <c r="J7" s="519">
        <f>SUMIF(46:46,YEAR(I7)&amp;"-"&amp;MONTH(I7),47:47)</f>
        <v>0</v>
      </c>
      <c r="K7" s="523"/>
      <c r="L7" s="2119"/>
      <c r="M7" s="2120"/>
      <c r="N7" s="2120"/>
      <c r="O7" s="2120"/>
      <c r="P7" s="4043" t="s">
        <v>530</v>
      </c>
      <c r="Q7" s="4052"/>
      <c r="R7" s="1553" t="s">
        <v>8</v>
      </c>
      <c r="S7" s="1554">
        <f t="shared" ref="S7:S14" si="0">F7</f>
        <v>0</v>
      </c>
      <c r="T7" s="1553" t="s">
        <v>8</v>
      </c>
      <c r="U7" s="1554">
        <f t="shared" ref="U7:U14" si="1">H7</f>
        <v>0</v>
      </c>
      <c r="V7" s="1553" t="s">
        <v>8</v>
      </c>
      <c r="W7" s="1554">
        <f t="shared" ref="W7:W14" si="2">J7</f>
        <v>0</v>
      </c>
      <c r="X7" s="1555"/>
      <c r="Y7" s="4043" t="s">
        <v>530</v>
      </c>
      <c r="Z7" s="4044"/>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043" t="s">
        <v>533</v>
      </c>
      <c r="Q8" s="4044"/>
      <c r="R8" s="1553" t="s">
        <v>8</v>
      </c>
      <c r="S8" s="1554">
        <f t="shared" si="0"/>
        <v>0</v>
      </c>
      <c r="T8" s="1553" t="s">
        <v>8</v>
      </c>
      <c r="U8" s="1554">
        <f t="shared" si="1"/>
        <v>0</v>
      </c>
      <c r="V8" s="1553" t="s">
        <v>8</v>
      </c>
      <c r="W8" s="1554">
        <f t="shared" si="2"/>
        <v>0</v>
      </c>
      <c r="X8" s="1555"/>
      <c r="Y8" s="4043" t="s">
        <v>533</v>
      </c>
      <c r="Z8" s="4044"/>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51" t="s">
        <v>535</v>
      </c>
      <c r="Q9" s="1146" t="str">
        <f t="shared" ref="Q9:Q14" si="6">B9</f>
        <v>用途</v>
      </c>
      <c r="R9" s="1553" t="s">
        <v>8</v>
      </c>
      <c r="S9" s="1554">
        <f t="shared" si="0"/>
        <v>100</v>
      </c>
      <c r="T9" s="1553" t="s">
        <v>8</v>
      </c>
      <c r="U9" s="1554">
        <f t="shared" si="1"/>
        <v>100</v>
      </c>
      <c r="V9" s="1553" t="s">
        <v>8</v>
      </c>
      <c r="W9" s="1554">
        <f t="shared" si="2"/>
        <v>100</v>
      </c>
      <c r="X9" s="1555"/>
      <c r="Y9" s="4008"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51"/>
      <c r="Q10" s="1146" t="str">
        <f t="shared" si="6"/>
        <v>土地使用年限（年）</v>
      </c>
      <c r="R10" s="1553" t="s">
        <v>8</v>
      </c>
      <c r="S10" s="1554">
        <f t="shared" si="0"/>
        <v>100</v>
      </c>
      <c r="T10" s="1553" t="s">
        <v>8</v>
      </c>
      <c r="U10" s="1554">
        <f t="shared" si="1"/>
        <v>100</v>
      </c>
      <c r="V10" s="1553" t="s">
        <v>8</v>
      </c>
      <c r="W10" s="1554">
        <f t="shared" si="2"/>
        <v>100</v>
      </c>
      <c r="X10" s="1555"/>
      <c r="Y10" s="4008"/>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51"/>
      <c r="Q11" s="1146">
        <f t="shared" si="6"/>
        <v>111</v>
      </c>
      <c r="R11" s="1553" t="s">
        <v>8</v>
      </c>
      <c r="S11" s="1554">
        <f t="shared" si="0"/>
        <v>100</v>
      </c>
      <c r="T11" s="1553" t="s">
        <v>8</v>
      </c>
      <c r="U11" s="1554">
        <f t="shared" si="1"/>
        <v>100</v>
      </c>
      <c r="V11" s="1553" t="s">
        <v>8</v>
      </c>
      <c r="W11" s="1554">
        <f t="shared" si="2"/>
        <v>100</v>
      </c>
      <c r="X11" s="1555"/>
      <c r="Y11" s="4008"/>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51"/>
      <c r="Q12" s="1146">
        <f t="shared" si="6"/>
        <v>111</v>
      </c>
      <c r="R12" s="1553" t="s">
        <v>8</v>
      </c>
      <c r="S12" s="1554">
        <f t="shared" si="0"/>
        <v>100</v>
      </c>
      <c r="T12" s="1553" t="s">
        <v>8</v>
      </c>
      <c r="U12" s="1554">
        <f t="shared" si="1"/>
        <v>100</v>
      </c>
      <c r="V12" s="1553" t="s">
        <v>8</v>
      </c>
      <c r="W12" s="1554">
        <f t="shared" si="2"/>
        <v>100</v>
      </c>
      <c r="X12" s="1555"/>
      <c r="Y12" s="4008"/>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51"/>
      <c r="Q13" s="1146">
        <f t="shared" si="6"/>
        <v>111</v>
      </c>
      <c r="R13" s="1553" t="s">
        <v>8</v>
      </c>
      <c r="S13" s="1554">
        <f t="shared" si="0"/>
        <v>100</v>
      </c>
      <c r="T13" s="1553" t="s">
        <v>8</v>
      </c>
      <c r="U13" s="1554">
        <f t="shared" si="1"/>
        <v>100</v>
      </c>
      <c r="V13" s="1553" t="s">
        <v>8</v>
      </c>
      <c r="W13" s="1554">
        <f t="shared" si="2"/>
        <v>100</v>
      </c>
      <c r="X13" s="1555"/>
      <c r="Y13" s="4008"/>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053" t="s">
        <v>540</v>
      </c>
      <c r="Q14" s="1557" t="str">
        <f t="shared" si="6"/>
        <v>交通便捷度</v>
      </c>
      <c r="R14" s="1558" t="s">
        <v>8</v>
      </c>
      <c r="S14" s="1559">
        <f t="shared" si="0"/>
        <v>100</v>
      </c>
      <c r="T14" s="1558" t="s">
        <v>8</v>
      </c>
      <c r="U14" s="1559">
        <f t="shared" si="1"/>
        <v>100</v>
      </c>
      <c r="V14" s="1558" t="s">
        <v>8</v>
      </c>
      <c r="W14" s="1559">
        <f t="shared" si="2"/>
        <v>100</v>
      </c>
      <c r="X14" s="1552"/>
      <c r="Y14" s="4053"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054"/>
      <c r="Q15" s="1557"/>
      <c r="R15" s="1558"/>
      <c r="S15" s="1559"/>
      <c r="T15" s="1558"/>
      <c r="U15" s="1559"/>
      <c r="V15" s="1558"/>
      <c r="W15" s="1559"/>
      <c r="X15" s="1552"/>
      <c r="Y15" s="4054"/>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054"/>
      <c r="Q16" s="1557" t="str">
        <f>B16</f>
        <v>公共配套设施</v>
      </c>
      <c r="R16" s="1558" t="s">
        <v>8</v>
      </c>
      <c r="S16" s="1559">
        <f>F16</f>
        <v>100</v>
      </c>
      <c r="T16" s="1558" t="s">
        <v>8</v>
      </c>
      <c r="U16" s="1559">
        <f>H16</f>
        <v>100</v>
      </c>
      <c r="V16" s="1558" t="s">
        <v>8</v>
      </c>
      <c r="W16" s="1559">
        <f>J16</f>
        <v>100</v>
      </c>
      <c r="X16" s="1552"/>
      <c r="Y16" s="4054"/>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054"/>
      <c r="Q17" s="1557"/>
      <c r="R17" s="1558"/>
      <c r="S17" s="1559"/>
      <c r="T17" s="1558"/>
      <c r="U17" s="1559"/>
      <c r="V17" s="1558"/>
      <c r="W17" s="1559"/>
      <c r="X17" s="1552"/>
      <c r="Y17" s="4054"/>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054"/>
      <c r="Q18" s="2542" t="str">
        <f>B18</f>
        <v>基础设施水平</v>
      </c>
      <c r="R18" s="1558" t="s">
        <v>8</v>
      </c>
      <c r="S18" s="1559">
        <f>F18</f>
        <v>100</v>
      </c>
      <c r="T18" s="1558" t="s">
        <v>8</v>
      </c>
      <c r="U18" s="1559">
        <f>H18</f>
        <v>100</v>
      </c>
      <c r="V18" s="1558" t="s">
        <v>8</v>
      </c>
      <c r="W18" s="1559">
        <f>J18</f>
        <v>100</v>
      </c>
      <c r="X18" s="2544"/>
      <c r="Y18" s="4054"/>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054"/>
      <c r="Q19" s="2542"/>
      <c r="R19" s="1558"/>
      <c r="S19" s="1559"/>
      <c r="T19" s="1558"/>
      <c r="U19" s="1559"/>
      <c r="V19" s="1558"/>
      <c r="W19" s="1559"/>
      <c r="X19" s="2544"/>
      <c r="Y19" s="4054"/>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054"/>
      <c r="Q20" s="1557" t="str">
        <f>B20</f>
        <v>自然及人文环境</v>
      </c>
      <c r="R20" s="1558" t="s">
        <v>8</v>
      </c>
      <c r="S20" s="1559">
        <f>F20</f>
        <v>100</v>
      </c>
      <c r="T20" s="1558" t="s">
        <v>8</v>
      </c>
      <c r="U20" s="1559">
        <f>H20</f>
        <v>100</v>
      </c>
      <c r="V20" s="1558" t="s">
        <v>8</v>
      </c>
      <c r="W20" s="1559">
        <f>J20</f>
        <v>100</v>
      </c>
      <c r="X20" s="1552"/>
      <c r="Y20" s="4054"/>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054"/>
      <c r="Q21" s="1557"/>
      <c r="R21" s="1558"/>
      <c r="S21" s="1559"/>
      <c r="T21" s="1558"/>
      <c r="U21" s="1559"/>
      <c r="V21" s="1558"/>
      <c r="W21" s="1559"/>
      <c r="X21" s="1552"/>
      <c r="Y21" s="4054"/>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054"/>
      <c r="Q22" s="1557" t="str">
        <f>B22</f>
        <v>楼层</v>
      </c>
      <c r="R22" s="1558" t="s">
        <v>8</v>
      </c>
      <c r="S22" s="1559">
        <f>F22</f>
        <v>100</v>
      </c>
      <c r="T22" s="1558" t="s">
        <v>8</v>
      </c>
      <c r="U22" s="1559">
        <f>H22</f>
        <v>100</v>
      </c>
      <c r="V22" s="1558" t="s">
        <v>8</v>
      </c>
      <c r="W22" s="1559">
        <f>J22</f>
        <v>100</v>
      </c>
      <c r="X22" s="1552"/>
      <c r="Y22" s="4054"/>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054"/>
      <c r="Q23" s="1557">
        <f>B23</f>
        <v>111</v>
      </c>
      <c r="R23" s="1558" t="s">
        <v>8</v>
      </c>
      <c r="S23" s="1559">
        <f>F23</f>
        <v>100</v>
      </c>
      <c r="T23" s="1558" t="s">
        <v>8</v>
      </c>
      <c r="U23" s="1559">
        <f>H23</f>
        <v>100</v>
      </c>
      <c r="V23" s="1558" t="s">
        <v>8</v>
      </c>
      <c r="W23" s="1559">
        <f>J23</f>
        <v>100</v>
      </c>
      <c r="X23" s="1552"/>
      <c r="Y23" s="4054"/>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054"/>
      <c r="Q24" s="1557">
        <f t="shared" ref="Q24:Q34" si="11">B24</f>
        <v>111</v>
      </c>
      <c r="R24" s="1558" t="s">
        <v>8</v>
      </c>
      <c r="S24" s="1559">
        <f>F24</f>
        <v>100</v>
      </c>
      <c r="T24" s="1558" t="s">
        <v>8</v>
      </c>
      <c r="U24" s="1559">
        <f>H24</f>
        <v>100</v>
      </c>
      <c r="V24" s="1558" t="s">
        <v>8</v>
      </c>
      <c r="W24" s="1559">
        <f>J24</f>
        <v>100</v>
      </c>
      <c r="X24" s="1552"/>
      <c r="Y24" s="4054"/>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054"/>
      <c r="Q25" s="1146">
        <f t="shared" si="11"/>
        <v>111</v>
      </c>
      <c r="R25" s="1553" t="s">
        <v>8</v>
      </c>
      <c r="S25" s="1554">
        <f>F25</f>
        <v>100</v>
      </c>
      <c r="T25" s="1553" t="s">
        <v>8</v>
      </c>
      <c r="U25" s="1554">
        <f>H25</f>
        <v>100</v>
      </c>
      <c r="V25" s="1553" t="s">
        <v>8</v>
      </c>
      <c r="W25" s="1554">
        <f>J25</f>
        <v>100</v>
      </c>
      <c r="X25" s="1555"/>
      <c r="Y25" s="4054"/>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05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056"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056"/>
      <c r="Q27" s="1589" t="str">
        <f t="shared" si="11"/>
        <v>成新率</v>
      </c>
      <c r="R27" s="1562" t="s">
        <v>8</v>
      </c>
      <c r="S27" s="1563" t="e">
        <f t="shared" si="12"/>
        <v>#N/A</v>
      </c>
      <c r="T27" s="1562" t="s">
        <v>8</v>
      </c>
      <c r="U27" s="1563" t="e">
        <f t="shared" si="13"/>
        <v>#N/A</v>
      </c>
      <c r="V27" s="1562" t="s">
        <v>8</v>
      </c>
      <c r="W27" s="1563" t="e">
        <f t="shared" si="14"/>
        <v>#N/A</v>
      </c>
      <c r="X27" s="1564"/>
      <c r="Y27" s="4056"/>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056"/>
      <c r="Q28" s="1557" t="str">
        <f t="shared" si="11"/>
        <v>物业等级</v>
      </c>
      <c r="R28" s="1558" t="s">
        <v>8</v>
      </c>
      <c r="S28" s="1559">
        <f t="shared" si="12"/>
        <v>100</v>
      </c>
      <c r="T28" s="1558" t="s">
        <v>8</v>
      </c>
      <c r="U28" s="1559">
        <f t="shared" si="13"/>
        <v>100</v>
      </c>
      <c r="V28" s="1558" t="s">
        <v>8</v>
      </c>
      <c r="W28" s="1559">
        <f t="shared" si="14"/>
        <v>100</v>
      </c>
      <c r="X28" s="1552"/>
      <c r="Y28" s="4056"/>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056"/>
      <c r="Q29" s="1557" t="str">
        <f t="shared" si="11"/>
        <v>有无电梯</v>
      </c>
      <c r="R29" s="1558" t="s">
        <v>8</v>
      </c>
      <c r="S29" s="1559">
        <f t="shared" si="12"/>
        <v>100</v>
      </c>
      <c r="T29" s="1558" t="s">
        <v>8</v>
      </c>
      <c r="U29" s="1559">
        <f t="shared" si="13"/>
        <v>100</v>
      </c>
      <c r="V29" s="1558" t="s">
        <v>8</v>
      </c>
      <c r="W29" s="1559">
        <f t="shared" si="14"/>
        <v>100</v>
      </c>
      <c r="X29" s="1552"/>
      <c r="Y29" s="4056"/>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056"/>
      <c r="Q30" s="1557" t="str">
        <f t="shared" si="11"/>
        <v>建筑面积</v>
      </c>
      <c r="R30" s="1558" t="s">
        <v>8</v>
      </c>
      <c r="S30" s="1559" t="e">
        <f t="shared" si="12"/>
        <v>#N/A</v>
      </c>
      <c r="T30" s="1558" t="s">
        <v>8</v>
      </c>
      <c r="U30" s="1559" t="e">
        <f t="shared" si="13"/>
        <v>#N/A</v>
      </c>
      <c r="V30" s="1558" t="s">
        <v>8</v>
      </c>
      <c r="W30" s="1559" t="e">
        <f t="shared" si="14"/>
        <v>#N/A</v>
      </c>
      <c r="X30" s="1552"/>
      <c r="Y30" s="4056"/>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056"/>
      <c r="Q31" s="1146" t="str">
        <f t="shared" si="11"/>
        <v>是否封闭</v>
      </c>
      <c r="R31" s="1553" t="s">
        <v>8</v>
      </c>
      <c r="S31" s="1554">
        <f t="shared" si="12"/>
        <v>100</v>
      </c>
      <c r="T31" s="1553" t="s">
        <v>8</v>
      </c>
      <c r="U31" s="1554">
        <f t="shared" si="13"/>
        <v>100</v>
      </c>
      <c r="V31" s="1553" t="s">
        <v>8</v>
      </c>
      <c r="W31" s="1554">
        <f t="shared" si="14"/>
        <v>100</v>
      </c>
      <c r="X31" s="1555"/>
      <c r="Y31" s="4056"/>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056" t="s">
        <v>550</v>
      </c>
      <c r="Q32" s="1557">
        <f t="shared" si="11"/>
        <v>111</v>
      </c>
      <c r="R32" s="1558" t="s">
        <v>8</v>
      </c>
      <c r="S32" s="1559">
        <f t="shared" si="12"/>
        <v>100</v>
      </c>
      <c r="T32" s="1558" t="s">
        <v>8</v>
      </c>
      <c r="U32" s="1559">
        <f t="shared" si="13"/>
        <v>100</v>
      </c>
      <c r="V32" s="1558" t="s">
        <v>8</v>
      </c>
      <c r="W32" s="1559">
        <f t="shared" si="14"/>
        <v>100</v>
      </c>
      <c r="X32" s="1552"/>
      <c r="Y32" s="4056"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056"/>
      <c r="Q33" s="1557">
        <f t="shared" si="11"/>
        <v>111</v>
      </c>
      <c r="R33" s="1558" t="s">
        <v>8</v>
      </c>
      <c r="S33" s="1559">
        <f t="shared" si="12"/>
        <v>100</v>
      </c>
      <c r="T33" s="1558" t="s">
        <v>8</v>
      </c>
      <c r="U33" s="1559">
        <f t="shared" si="13"/>
        <v>100</v>
      </c>
      <c r="V33" s="1558" t="s">
        <v>8</v>
      </c>
      <c r="W33" s="1559">
        <f t="shared" si="14"/>
        <v>100</v>
      </c>
      <c r="X33" s="1552"/>
      <c r="Y33" s="4056"/>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056"/>
      <c r="Q34" s="1557">
        <f t="shared" si="11"/>
        <v>111</v>
      </c>
      <c r="R34" s="1558" t="s">
        <v>8</v>
      </c>
      <c r="S34" s="1559">
        <f t="shared" si="12"/>
        <v>100</v>
      </c>
      <c r="T34" s="1558" t="s">
        <v>8</v>
      </c>
      <c r="U34" s="1559">
        <f t="shared" si="13"/>
        <v>100</v>
      </c>
      <c r="V34" s="1558" t="s">
        <v>8</v>
      </c>
      <c r="W34" s="1559">
        <f t="shared" si="14"/>
        <v>100</v>
      </c>
      <c r="X34" s="1552"/>
      <c r="Y34" s="4056"/>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51" t="str">
        <f>A35</f>
        <v>成交单价（元/平方米）</v>
      </c>
      <c r="Q35" s="4051"/>
      <c r="R35" s="4134">
        <f>E35</f>
        <v>0</v>
      </c>
      <c r="S35" s="4134"/>
      <c r="T35" s="4134">
        <f>G35</f>
        <v>0</v>
      </c>
      <c r="U35" s="4134"/>
      <c r="V35" s="4134">
        <f>I35</f>
        <v>0</v>
      </c>
      <c r="W35" s="4134"/>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51" t="str">
        <f>A36</f>
        <v>比较价格（元/平方米）</v>
      </c>
      <c r="Q36" s="4051"/>
      <c r="R36" s="4134" t="e">
        <f>IF(F1="售价",ROUND(PRODUCT(R35,AA7:AA34),0),ROUND(PRODUCT(R35,AA7:AA34),1))</f>
        <v>#DIV/0!</v>
      </c>
      <c r="S36" s="4134"/>
      <c r="T36" s="4134" t="e">
        <f>IF(F1="售价",ROUND(PRODUCT(T35,AB7:AB34),0),ROUND(PRODUCT(T35,AB7:AB34),1))</f>
        <v>#DIV/0!</v>
      </c>
      <c r="U36" s="4134"/>
      <c r="V36" s="4134" t="e">
        <f>IF(F1="售价",ROUND(PRODUCT(V35,AC7:AC34),0),ROUND(PRODUCT(V35,AC7:AC34),1))</f>
        <v>#DIV/0!</v>
      </c>
      <c r="W36" s="4134"/>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072" t="str">
        <f>A37</f>
        <v>估价对象XX用房的比较价格（楼面单价，元/平方米）</v>
      </c>
      <c r="Q37" s="4073"/>
      <c r="R37" s="4133" t="e">
        <f>IF(F1="售价",ROUND(AVERAGE(R36:V36),0),ROUND(AVERAGE(R36:V36),1))</f>
        <v>#DIV/0!</v>
      </c>
      <c r="S37" s="4133"/>
      <c r="T37" s="4133"/>
      <c r="U37" s="4133"/>
      <c r="V37" s="4133"/>
      <c r="W37" s="413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66" t="s">
        <v>2304</v>
      </c>
      <c r="D1" s="4167"/>
      <c r="E1" s="4167"/>
      <c r="F1" s="4167"/>
      <c r="G1" s="4167"/>
      <c r="H1" s="4167"/>
      <c r="I1" s="4167"/>
      <c r="J1" s="4167"/>
      <c r="K1" s="4167"/>
      <c r="L1" s="4167"/>
      <c r="M1" s="4167"/>
      <c r="N1" s="4167"/>
      <c r="O1" s="4167"/>
      <c r="P1" s="4167"/>
      <c r="Q1" s="4167"/>
      <c r="R1" s="4167"/>
      <c r="S1" s="4168"/>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63" t="s">
        <v>20</v>
      </c>
      <c r="D22" s="4164"/>
      <c r="E22" s="4164"/>
      <c r="F22" s="4164"/>
      <c r="G22" s="4164"/>
      <c r="H22" s="4164"/>
      <c r="I22" s="4164"/>
      <c r="J22" s="4164"/>
      <c r="K22" s="4164"/>
      <c r="L22" s="4164"/>
      <c r="M22" s="4164"/>
      <c r="N22" s="4164"/>
      <c r="O22" s="4164"/>
      <c r="P22" s="4164"/>
      <c r="Q22" s="4165"/>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521</v>
      </c>
      <c r="B4" s="3364"/>
      <c r="C4" s="3827" t="s">
        <v>798</v>
      </c>
      <c r="D4" s="3828"/>
      <c r="E4" s="3829" t="s">
        <v>799</v>
      </c>
      <c r="F4" s="3830"/>
      <c r="G4" s="3827" t="s">
        <v>524</v>
      </c>
      <c r="H4" s="3828"/>
      <c r="I4" s="3827" t="s">
        <v>801</v>
      </c>
      <c r="J4" s="3828"/>
      <c r="K4" s="3365" t="s">
        <v>802</v>
      </c>
      <c r="L4" s="3366"/>
      <c r="M4" s="3367"/>
      <c r="N4" s="3367"/>
      <c r="O4" s="3367"/>
      <c r="P4" s="3831" t="s">
        <v>803</v>
      </c>
      <c r="Q4" s="3832"/>
      <c r="R4" s="3817" t="s">
        <v>799</v>
      </c>
      <c r="S4" s="3818"/>
      <c r="T4" s="3817" t="s">
        <v>524</v>
      </c>
      <c r="U4" s="3818"/>
      <c r="V4" s="3816" t="s">
        <v>801</v>
      </c>
      <c r="W4" s="3816"/>
      <c r="X4" s="3368"/>
      <c r="Y4" s="3817" t="s">
        <v>803</v>
      </c>
      <c r="Z4" s="3818"/>
      <c r="AA4" s="3823" t="s">
        <v>799</v>
      </c>
      <c r="AB4" s="3823" t="s">
        <v>524</v>
      </c>
      <c r="AC4" s="3823" t="s">
        <v>801</v>
      </c>
    </row>
    <row r="5" spans="1:29" ht="15">
      <c r="A5" s="3370"/>
      <c r="B5" s="3371"/>
      <c r="C5" s="3837" t="s">
        <v>2926</v>
      </c>
      <c r="D5" s="3838"/>
      <c r="E5" s="3839" t="s">
        <v>3016</v>
      </c>
      <c r="F5" s="3840"/>
      <c r="G5" s="3841" t="s">
        <v>3321</v>
      </c>
      <c r="H5" s="3838"/>
      <c r="I5" s="3841" t="s">
        <v>3345</v>
      </c>
      <c r="J5" s="3838"/>
      <c r="K5" s="3372"/>
      <c r="L5" s="3366"/>
      <c r="M5" s="3367"/>
      <c r="N5" s="3367"/>
      <c r="O5" s="3367"/>
      <c r="P5" s="3833"/>
      <c r="Q5" s="3834"/>
      <c r="R5" s="3819"/>
      <c r="S5" s="3820"/>
      <c r="T5" s="3819"/>
      <c r="U5" s="3820"/>
      <c r="V5" s="3816"/>
      <c r="W5" s="3816"/>
      <c r="X5" s="3368"/>
      <c r="Y5" s="3819"/>
      <c r="Z5" s="3820"/>
      <c r="AA5" s="3824"/>
      <c r="AB5" s="3824"/>
      <c r="AC5" s="3824"/>
    </row>
    <row r="6" spans="1:29" ht="15.75" thickBot="1">
      <c r="A6" s="3373"/>
      <c r="B6" s="3374"/>
      <c r="C6" s="3842" t="s">
        <v>2930</v>
      </c>
      <c r="D6" s="3843"/>
      <c r="E6" s="3844" t="s">
        <v>2930</v>
      </c>
      <c r="F6" s="3845"/>
      <c r="G6" s="3842" t="s">
        <v>2930</v>
      </c>
      <c r="H6" s="3843"/>
      <c r="I6" s="3842" t="s">
        <v>2930</v>
      </c>
      <c r="J6" s="3843"/>
      <c r="K6" s="3372" t="s">
        <v>528</v>
      </c>
      <c r="L6" s="3366"/>
      <c r="M6" s="3367"/>
      <c r="N6" s="3367"/>
      <c r="O6" s="3367"/>
      <c r="P6" s="3835"/>
      <c r="Q6" s="3836"/>
      <c r="R6" s="3819"/>
      <c r="S6" s="3820"/>
      <c r="T6" s="3821"/>
      <c r="U6" s="3822"/>
      <c r="V6" s="3816"/>
      <c r="W6" s="3816"/>
      <c r="X6" s="3368"/>
      <c r="Y6" s="3821"/>
      <c r="Z6" s="3822"/>
      <c r="AA6" s="3825"/>
      <c r="AB6" s="3825"/>
      <c r="AC6" s="3825"/>
    </row>
    <row r="7" spans="1:29" s="3389" customFormat="1" ht="15.75" thickBot="1">
      <c r="A7" s="3375"/>
      <c r="B7" s="3376" t="s">
        <v>3349</v>
      </c>
      <c r="C7" s="3377">
        <f>'数据-取费表'!B2</f>
        <v>43671</v>
      </c>
      <c r="D7" s="3378">
        <v>100</v>
      </c>
      <c r="E7" s="3379">
        <f>C7</f>
        <v>43671</v>
      </c>
      <c r="F7" s="3380">
        <f>SUMIF(58:58,YEAR(E7)&amp;"-"&amp;MONTH(E7),59:59)</f>
        <v>100</v>
      </c>
      <c r="G7" s="3381">
        <f>C7</f>
        <v>43671</v>
      </c>
      <c r="H7" s="3378">
        <f>SUMIF(58:58,YEAR(G7)&amp;"-"&amp;MONTH(G7),59:59)</f>
        <v>100</v>
      </c>
      <c r="I7" s="3381">
        <f>C7</f>
        <v>43671</v>
      </c>
      <c r="J7" s="3378">
        <f>SUMIF(58:58,YEAR(I7)&amp;"-"&amp;MONTH(I7),59:59)</f>
        <v>100</v>
      </c>
      <c r="K7" s="3382"/>
      <c r="L7" s="3383"/>
      <c r="M7" s="3384"/>
      <c r="N7" s="3384"/>
      <c r="O7" s="3384"/>
      <c r="P7" s="3813" t="s">
        <v>530</v>
      </c>
      <c r="Q7" s="3826"/>
      <c r="R7" s="3385" t="s">
        <v>8</v>
      </c>
      <c r="S7" s="3386">
        <f t="shared" ref="S7:S15" si="0">F7</f>
        <v>100</v>
      </c>
      <c r="T7" s="3385" t="s">
        <v>8</v>
      </c>
      <c r="U7" s="3386">
        <f t="shared" ref="U7:U15" si="1">H7</f>
        <v>100</v>
      </c>
      <c r="V7" s="3385" t="s">
        <v>8</v>
      </c>
      <c r="W7" s="3386">
        <f t="shared" ref="W7:W15" si="2">J7</f>
        <v>100</v>
      </c>
      <c r="X7" s="3387"/>
      <c r="Y7" s="3813" t="s">
        <v>530</v>
      </c>
      <c r="Z7" s="3814"/>
      <c r="AA7" s="3388">
        <f>D7/F7</f>
        <v>1</v>
      </c>
      <c r="AB7" s="3388">
        <f>D7/H7</f>
        <v>1</v>
      </c>
      <c r="AC7" s="3388">
        <f>D7/J7</f>
        <v>1</v>
      </c>
    </row>
    <row r="8" spans="1:29" s="3389" customFormat="1" ht="15.7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13" t="s">
        <v>533</v>
      </c>
      <c r="Q8" s="3814"/>
      <c r="R8" s="3385" t="s">
        <v>8</v>
      </c>
      <c r="S8" s="3386">
        <f t="shared" si="0"/>
        <v>100</v>
      </c>
      <c r="T8" s="3385" t="s">
        <v>8</v>
      </c>
      <c r="U8" s="3386">
        <f t="shared" si="1"/>
        <v>100</v>
      </c>
      <c r="V8" s="3385" t="s">
        <v>8</v>
      </c>
      <c r="W8" s="3386">
        <f t="shared" si="2"/>
        <v>100</v>
      </c>
      <c r="X8" s="3387"/>
      <c r="Y8" s="3813" t="s">
        <v>533</v>
      </c>
      <c r="Z8" s="3814"/>
      <c r="AA8" s="3388">
        <f t="shared" ref="AA8:AA46" si="3">D8/F8</f>
        <v>1</v>
      </c>
      <c r="AB8" s="3388">
        <f t="shared" ref="AB8:AB46" si="4">D8/H8</f>
        <v>1</v>
      </c>
      <c r="AC8" s="3388">
        <f t="shared" ref="AC8:AC46" si="5">D8/J8</f>
        <v>1</v>
      </c>
    </row>
    <row r="9" spans="1:29" s="3389" customFormat="1" ht="15">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03" t="s">
        <v>535</v>
      </c>
      <c r="Q9" s="3402" t="str">
        <f t="shared" ref="Q9:Q15" si="6">B9</f>
        <v>用途</v>
      </c>
      <c r="R9" s="3385" t="s">
        <v>8</v>
      </c>
      <c r="S9" s="3386">
        <f t="shared" si="0"/>
        <v>100</v>
      </c>
      <c r="T9" s="3385" t="s">
        <v>8</v>
      </c>
      <c r="U9" s="3386">
        <f t="shared" si="1"/>
        <v>100</v>
      </c>
      <c r="V9" s="3385" t="s">
        <v>8</v>
      </c>
      <c r="W9" s="3386">
        <f t="shared" si="2"/>
        <v>100</v>
      </c>
      <c r="X9" s="3387"/>
      <c r="Y9" s="3815" t="s">
        <v>536</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03"/>
      <c r="Q10" s="3402" t="str">
        <f t="shared" si="6"/>
        <v>土地使用年限（年）</v>
      </c>
      <c r="R10" s="3385" t="s">
        <v>8</v>
      </c>
      <c r="S10" s="3386">
        <f t="shared" si="0"/>
        <v>100</v>
      </c>
      <c r="T10" s="3385" t="s">
        <v>8</v>
      </c>
      <c r="U10" s="3386">
        <f t="shared" si="1"/>
        <v>100</v>
      </c>
      <c r="V10" s="3385" t="s">
        <v>8</v>
      </c>
      <c r="W10" s="3386">
        <f t="shared" si="2"/>
        <v>100</v>
      </c>
      <c r="X10" s="3387"/>
      <c r="Y10" s="3815"/>
      <c r="Z10" s="3403" t="str">
        <f t="shared" si="7"/>
        <v>土地使用年限（年）</v>
      </c>
      <c r="AA10" s="3388">
        <f t="shared" si="3"/>
        <v>1</v>
      </c>
      <c r="AB10" s="3388">
        <f t="shared" si="4"/>
        <v>1</v>
      </c>
      <c r="AC10" s="3388">
        <f t="shared" si="5"/>
        <v>1</v>
      </c>
    </row>
    <row r="11" spans="1:29" ht="15">
      <c r="A11" s="3414"/>
      <c r="B11" s="3391" t="s">
        <v>2757</v>
      </c>
      <c r="C11" s="3415">
        <f>'数据-汇总表'!I7</f>
        <v>4.4000000000000004</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03"/>
      <c r="Q11" s="3402" t="str">
        <f t="shared" si="6"/>
        <v>容积率</v>
      </c>
      <c r="R11" s="3385" t="s">
        <v>8</v>
      </c>
      <c r="S11" s="3386">
        <f t="shared" si="0"/>
        <v>102</v>
      </c>
      <c r="T11" s="3385" t="s">
        <v>8</v>
      </c>
      <c r="U11" s="3386">
        <f t="shared" si="1"/>
        <v>101</v>
      </c>
      <c r="V11" s="3385" t="s">
        <v>8</v>
      </c>
      <c r="W11" s="3386">
        <f t="shared" si="2"/>
        <v>102</v>
      </c>
      <c r="X11" s="3387"/>
      <c r="Y11" s="3815"/>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03"/>
      <c r="Q12" s="3402">
        <f t="shared" si="6"/>
        <v>111</v>
      </c>
      <c r="R12" s="3385" t="s">
        <v>8</v>
      </c>
      <c r="S12" s="3386">
        <f t="shared" si="0"/>
        <v>100</v>
      </c>
      <c r="T12" s="3385" t="s">
        <v>8</v>
      </c>
      <c r="U12" s="3386">
        <f t="shared" si="1"/>
        <v>100</v>
      </c>
      <c r="V12" s="3385" t="s">
        <v>8</v>
      </c>
      <c r="W12" s="3386">
        <f t="shared" si="2"/>
        <v>100</v>
      </c>
      <c r="X12" s="3387"/>
      <c r="Y12" s="3815"/>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03"/>
      <c r="Q13" s="3402">
        <f t="shared" si="6"/>
        <v>111</v>
      </c>
      <c r="R13" s="3385" t="s">
        <v>8</v>
      </c>
      <c r="S13" s="3386">
        <f t="shared" si="0"/>
        <v>100</v>
      </c>
      <c r="T13" s="3385" t="s">
        <v>8</v>
      </c>
      <c r="U13" s="3386">
        <f t="shared" si="1"/>
        <v>100</v>
      </c>
      <c r="V13" s="3385" t="s">
        <v>8</v>
      </c>
      <c r="W13" s="3386">
        <f t="shared" si="2"/>
        <v>100</v>
      </c>
      <c r="X13" s="3387"/>
      <c r="Y13" s="3815"/>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03"/>
      <c r="Q14" s="3402">
        <f t="shared" si="6"/>
        <v>111</v>
      </c>
      <c r="R14" s="3385" t="s">
        <v>8</v>
      </c>
      <c r="S14" s="3386">
        <f t="shared" si="0"/>
        <v>100</v>
      </c>
      <c r="T14" s="3385" t="s">
        <v>8</v>
      </c>
      <c r="U14" s="3386">
        <f t="shared" si="1"/>
        <v>100</v>
      </c>
      <c r="V14" s="3385" t="s">
        <v>8</v>
      </c>
      <c r="W14" s="3386">
        <f t="shared" si="2"/>
        <v>100</v>
      </c>
      <c r="X14" s="3387"/>
      <c r="Y14" s="3815"/>
      <c r="Z14" s="3403">
        <f t="shared" si="7"/>
        <v>111</v>
      </c>
      <c r="AA14" s="3388">
        <f t="shared" si="3"/>
        <v>1</v>
      </c>
      <c r="AB14" s="3388">
        <f t="shared" si="4"/>
        <v>1</v>
      </c>
      <c r="AC14" s="3388">
        <f t="shared" si="5"/>
        <v>1</v>
      </c>
    </row>
    <row r="15" spans="1:29" ht="81">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08" t="s">
        <v>540</v>
      </c>
      <c r="Q15" s="3441" t="str">
        <f t="shared" si="6"/>
        <v>居住社区成熟度</v>
      </c>
      <c r="R15" s="3442" t="s">
        <v>8</v>
      </c>
      <c r="S15" s="3443">
        <f t="shared" si="0"/>
        <v>100</v>
      </c>
      <c r="T15" s="3442" t="s">
        <v>8</v>
      </c>
      <c r="U15" s="3443">
        <f t="shared" si="1"/>
        <v>100</v>
      </c>
      <c r="V15" s="3442" t="s">
        <v>8</v>
      </c>
      <c r="W15" s="3443">
        <f t="shared" si="2"/>
        <v>100</v>
      </c>
      <c r="X15" s="3368"/>
      <c r="Y15" s="3808"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09"/>
      <c r="Q16" s="3441"/>
      <c r="R16" s="3442"/>
      <c r="S16" s="3443"/>
      <c r="T16" s="3442"/>
      <c r="U16" s="3443"/>
      <c r="V16" s="3442"/>
      <c r="W16" s="3443"/>
      <c r="X16" s="3368"/>
      <c r="Y16" s="3809"/>
      <c r="Z16" s="3444"/>
      <c r="AA16" s="3445">
        <v>1</v>
      </c>
      <c r="AB16" s="3445">
        <v>1</v>
      </c>
      <c r="AC16" s="3445">
        <v>1</v>
      </c>
    </row>
    <row r="17" spans="1:29" ht="123">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09"/>
      <c r="Q17" s="3441" t="str">
        <f>B17</f>
        <v>交通便捷度</v>
      </c>
      <c r="R17" s="3442" t="s">
        <v>8</v>
      </c>
      <c r="S17" s="3443">
        <f>F17</f>
        <v>100</v>
      </c>
      <c r="T17" s="3442" t="s">
        <v>8</v>
      </c>
      <c r="U17" s="3443">
        <f>H17</f>
        <v>100</v>
      </c>
      <c r="V17" s="3442" t="s">
        <v>8</v>
      </c>
      <c r="W17" s="3443">
        <f>J17</f>
        <v>100</v>
      </c>
      <c r="X17" s="3368"/>
      <c r="Y17" s="3809"/>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09"/>
      <c r="Q18" s="3441"/>
      <c r="R18" s="3442"/>
      <c r="S18" s="3443"/>
      <c r="T18" s="3442"/>
      <c r="U18" s="3443"/>
      <c r="V18" s="3442"/>
      <c r="W18" s="3443"/>
      <c r="X18" s="3368"/>
      <c r="Y18" s="3809"/>
      <c r="Z18" s="3444"/>
      <c r="AA18" s="3445">
        <v>1</v>
      </c>
      <c r="AB18" s="3445">
        <v>1</v>
      </c>
      <c r="AC18" s="3445">
        <v>1</v>
      </c>
    </row>
    <row r="19" spans="1:29" ht="149.25">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09"/>
      <c r="Q19" s="3441" t="str">
        <f>B19</f>
        <v>公共配套设施</v>
      </c>
      <c r="R19" s="3442" t="s">
        <v>8</v>
      </c>
      <c r="S19" s="3443">
        <f>F19</f>
        <v>100</v>
      </c>
      <c r="T19" s="3442" t="s">
        <v>8</v>
      </c>
      <c r="U19" s="3443">
        <f>H19</f>
        <v>102</v>
      </c>
      <c r="V19" s="3442" t="s">
        <v>8</v>
      </c>
      <c r="W19" s="3443">
        <f>J19</f>
        <v>102</v>
      </c>
      <c r="X19" s="3368"/>
      <c r="Y19" s="3809"/>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09"/>
      <c r="Q20" s="3441"/>
      <c r="R20" s="3442"/>
      <c r="S20" s="3443"/>
      <c r="T20" s="3442"/>
      <c r="U20" s="3443"/>
      <c r="V20" s="3442"/>
      <c r="W20" s="3443"/>
      <c r="X20" s="3368"/>
      <c r="Y20" s="3809"/>
      <c r="Z20" s="3444"/>
      <c r="AA20" s="3445">
        <v>1</v>
      </c>
      <c r="AB20" s="3445">
        <v>1</v>
      </c>
      <c r="AC20" s="3445">
        <v>1</v>
      </c>
    </row>
    <row r="21" spans="1:29" ht="28.5">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09"/>
      <c r="Q21" s="3441" t="str">
        <f>B21</f>
        <v>基础设施水平</v>
      </c>
      <c r="R21" s="3442" t="s">
        <v>8</v>
      </c>
      <c r="S21" s="3443">
        <f>F21</f>
        <v>100</v>
      </c>
      <c r="T21" s="3442" t="s">
        <v>8</v>
      </c>
      <c r="U21" s="3443">
        <f>H21</f>
        <v>100</v>
      </c>
      <c r="V21" s="3442" t="s">
        <v>8</v>
      </c>
      <c r="W21" s="3443">
        <f>J21</f>
        <v>100</v>
      </c>
      <c r="X21" s="3368"/>
      <c r="Y21" s="3809"/>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09"/>
      <c r="Q22" s="3441"/>
      <c r="R22" s="3442"/>
      <c r="S22" s="3443"/>
      <c r="T22" s="3442"/>
      <c r="U22" s="3443"/>
      <c r="V22" s="3442"/>
      <c r="W22" s="3443"/>
      <c r="X22" s="3368"/>
      <c r="Y22" s="3809"/>
      <c r="Z22" s="3444"/>
      <c r="AA22" s="3445">
        <v>1</v>
      </c>
      <c r="AB22" s="3445">
        <v>1</v>
      </c>
      <c r="AC22" s="3445">
        <v>1</v>
      </c>
    </row>
    <row r="23" spans="1:29" ht="81">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09"/>
      <c r="Q23" s="3441" t="str">
        <f>B23</f>
        <v>自然及人文环境</v>
      </c>
      <c r="R23" s="3442" t="s">
        <v>8</v>
      </c>
      <c r="S23" s="3443">
        <f>F23</f>
        <v>98</v>
      </c>
      <c r="T23" s="3442" t="s">
        <v>8</v>
      </c>
      <c r="U23" s="3443">
        <f>H23</f>
        <v>100</v>
      </c>
      <c r="V23" s="3442" t="s">
        <v>8</v>
      </c>
      <c r="W23" s="3443">
        <f>J23</f>
        <v>100</v>
      </c>
      <c r="X23" s="3368"/>
      <c r="Y23" s="3809"/>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09"/>
      <c r="Q24" s="3441"/>
      <c r="R24" s="3442"/>
      <c r="S24" s="3443"/>
      <c r="T24" s="3442"/>
      <c r="U24" s="3443"/>
      <c r="V24" s="3442"/>
      <c r="W24" s="3443"/>
      <c r="X24" s="3368"/>
      <c r="Y24" s="3809"/>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09"/>
      <c r="Q25" s="3441" t="str">
        <f t="shared" ref="Q25:Q46" si="11">B25</f>
        <v>楼层-1</v>
      </c>
      <c r="R25" s="3442" t="s">
        <v>8</v>
      </c>
      <c r="S25" s="3443">
        <f>F25</f>
        <v>100</v>
      </c>
      <c r="T25" s="3442" t="s">
        <v>8</v>
      </c>
      <c r="U25" s="3443">
        <f>H25</f>
        <v>100</v>
      </c>
      <c r="V25" s="3442" t="s">
        <v>8</v>
      </c>
      <c r="W25" s="3443">
        <f>J25</f>
        <v>100</v>
      </c>
      <c r="X25" s="3368"/>
      <c r="Y25" s="3809"/>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09"/>
      <c r="Q26" s="3441" t="str">
        <f t="shared" si="11"/>
        <v>朝向</v>
      </c>
      <c r="R26" s="3442" t="s">
        <v>8</v>
      </c>
      <c r="S26" s="3443">
        <f>F26</f>
        <v>100</v>
      </c>
      <c r="T26" s="3442" t="s">
        <v>8</v>
      </c>
      <c r="U26" s="3443">
        <f>H26</f>
        <v>100</v>
      </c>
      <c r="V26" s="3442" t="s">
        <v>8</v>
      </c>
      <c r="W26" s="3443">
        <f>J26</f>
        <v>100</v>
      </c>
      <c r="X26" s="3368"/>
      <c r="Y26" s="3809"/>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09"/>
      <c r="Q27" s="3402" t="str">
        <f t="shared" si="11"/>
        <v>道路级别</v>
      </c>
      <c r="R27" s="3385" t="s">
        <v>8</v>
      </c>
      <c r="S27" s="3386">
        <f>F27</f>
        <v>101</v>
      </c>
      <c r="T27" s="3385" t="s">
        <v>8</v>
      </c>
      <c r="U27" s="3386">
        <f>H27</f>
        <v>101</v>
      </c>
      <c r="V27" s="3385" t="s">
        <v>8</v>
      </c>
      <c r="W27" s="3386">
        <f>J27</f>
        <v>99</v>
      </c>
      <c r="X27" s="3387"/>
      <c r="Y27" s="3809"/>
      <c r="Z27" s="3403" t="str">
        <f>Q27</f>
        <v>道路级别</v>
      </c>
      <c r="AA27" s="3445">
        <f>D27/F27</f>
        <v>0.99009900990099009</v>
      </c>
      <c r="AB27" s="3445">
        <f>D27/H27</f>
        <v>0.99009900990099009</v>
      </c>
      <c r="AC27" s="3445">
        <f>D27/J27</f>
        <v>1.0101010101010102</v>
      </c>
    </row>
    <row r="28" spans="1:29" ht="15">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09"/>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09"/>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09"/>
      <c r="Q29" s="3441">
        <f t="shared" si="11"/>
        <v>111</v>
      </c>
      <c r="R29" s="3442" t="s">
        <v>3480</v>
      </c>
      <c r="S29" s="3443">
        <f t="shared" si="12"/>
        <v>100</v>
      </c>
      <c r="T29" s="3442" t="s">
        <v>3480</v>
      </c>
      <c r="U29" s="3443">
        <f t="shared" si="13"/>
        <v>100</v>
      </c>
      <c r="V29" s="3442" t="s">
        <v>3480</v>
      </c>
      <c r="W29" s="3443">
        <f t="shared" si="14"/>
        <v>100</v>
      </c>
      <c r="X29" s="3368"/>
      <c r="Y29" s="3809"/>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09"/>
      <c r="Q30" s="3441">
        <f t="shared" si="11"/>
        <v>111</v>
      </c>
      <c r="R30" s="3442" t="s">
        <v>3480</v>
      </c>
      <c r="S30" s="3443">
        <f t="shared" si="12"/>
        <v>100</v>
      </c>
      <c r="T30" s="3442" t="s">
        <v>3480</v>
      </c>
      <c r="U30" s="3443">
        <f t="shared" si="13"/>
        <v>100</v>
      </c>
      <c r="V30" s="3442" t="s">
        <v>3480</v>
      </c>
      <c r="W30" s="3443">
        <f t="shared" si="14"/>
        <v>100</v>
      </c>
      <c r="X30" s="3368"/>
      <c r="Y30" s="3809"/>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09"/>
      <c r="Q31" s="3441">
        <f t="shared" si="11"/>
        <v>111</v>
      </c>
      <c r="R31" s="3442" t="s">
        <v>3480</v>
      </c>
      <c r="S31" s="3443">
        <f t="shared" si="12"/>
        <v>100</v>
      </c>
      <c r="T31" s="3442" t="s">
        <v>3480</v>
      </c>
      <c r="U31" s="3443">
        <f t="shared" si="13"/>
        <v>100</v>
      </c>
      <c r="V31" s="3442" t="s">
        <v>3480</v>
      </c>
      <c r="W31" s="3443">
        <f t="shared" si="14"/>
        <v>100</v>
      </c>
      <c r="X31" s="3368"/>
      <c r="Y31" s="3809"/>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10" t="s">
        <v>3482</v>
      </c>
      <c r="Q32" s="3441" t="str">
        <f t="shared" si="11"/>
        <v>建筑类型</v>
      </c>
      <c r="R32" s="3442" t="s">
        <v>3483</v>
      </c>
      <c r="S32" s="3443">
        <f t="shared" si="12"/>
        <v>100</v>
      </c>
      <c r="T32" s="3442" t="s">
        <v>3483</v>
      </c>
      <c r="U32" s="3443">
        <f t="shared" si="13"/>
        <v>100</v>
      </c>
      <c r="V32" s="3442" t="s">
        <v>3483</v>
      </c>
      <c r="W32" s="3443">
        <f t="shared" si="14"/>
        <v>100</v>
      </c>
      <c r="X32" s="3368"/>
      <c r="Y32" s="3811"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11"/>
      <c r="Q33" s="3501" t="str">
        <f t="shared" si="11"/>
        <v>项目建筑规模</v>
      </c>
      <c r="R33" s="3502" t="s">
        <v>3485</v>
      </c>
      <c r="S33" s="3503">
        <f t="shared" si="12"/>
        <v>100</v>
      </c>
      <c r="T33" s="3502" t="s">
        <v>3485</v>
      </c>
      <c r="U33" s="3503">
        <f t="shared" si="13"/>
        <v>100</v>
      </c>
      <c r="V33" s="3502" t="s">
        <v>3485</v>
      </c>
      <c r="W33" s="3503">
        <f t="shared" si="14"/>
        <v>100</v>
      </c>
      <c r="X33" s="3504"/>
      <c r="Y33" s="3811"/>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11"/>
      <c r="Q34" s="3441" t="str">
        <f t="shared" si="11"/>
        <v>建筑结构</v>
      </c>
      <c r="R34" s="3442" t="s">
        <v>3486</v>
      </c>
      <c r="S34" s="3443">
        <f t="shared" si="12"/>
        <v>100</v>
      </c>
      <c r="T34" s="3442" t="s">
        <v>3486</v>
      </c>
      <c r="U34" s="3443">
        <f t="shared" si="13"/>
        <v>100</v>
      </c>
      <c r="V34" s="3442" t="s">
        <v>3486</v>
      </c>
      <c r="W34" s="3443">
        <f t="shared" si="14"/>
        <v>100</v>
      </c>
      <c r="X34" s="3368"/>
      <c r="Y34" s="3811"/>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11"/>
      <c r="Q35" s="3441" t="str">
        <f t="shared" si="11"/>
        <v>建筑品质</v>
      </c>
      <c r="R35" s="3442" t="s">
        <v>3487</v>
      </c>
      <c r="S35" s="3443">
        <f t="shared" si="12"/>
        <v>100</v>
      </c>
      <c r="T35" s="3442" t="s">
        <v>3487</v>
      </c>
      <c r="U35" s="3443">
        <f t="shared" si="13"/>
        <v>100</v>
      </c>
      <c r="V35" s="3442" t="s">
        <v>3487</v>
      </c>
      <c r="W35" s="3443">
        <f t="shared" si="14"/>
        <v>100</v>
      </c>
      <c r="X35" s="3368"/>
      <c r="Y35" s="3811"/>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11"/>
      <c r="Q36" s="3441" t="str">
        <f t="shared" si="11"/>
        <v>公共部分装修</v>
      </c>
      <c r="R36" s="3442" t="s">
        <v>3488</v>
      </c>
      <c r="S36" s="3443">
        <f t="shared" si="12"/>
        <v>100</v>
      </c>
      <c r="T36" s="3442" t="s">
        <v>3488</v>
      </c>
      <c r="U36" s="3443">
        <f t="shared" si="13"/>
        <v>100</v>
      </c>
      <c r="V36" s="3442" t="s">
        <v>3488</v>
      </c>
      <c r="W36" s="3443">
        <f t="shared" si="14"/>
        <v>100</v>
      </c>
      <c r="X36" s="3368"/>
      <c r="Y36" s="3811"/>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11"/>
      <c r="Q37" s="3402" t="str">
        <f t="shared" si="11"/>
        <v>成新度</v>
      </c>
      <c r="R37" s="3385" t="s">
        <v>3489</v>
      </c>
      <c r="S37" s="3386">
        <f t="shared" si="12"/>
        <v>100</v>
      </c>
      <c r="T37" s="3385" t="s">
        <v>3489</v>
      </c>
      <c r="U37" s="3386">
        <f t="shared" si="13"/>
        <v>100</v>
      </c>
      <c r="V37" s="3385" t="s">
        <v>3489</v>
      </c>
      <c r="W37" s="3386">
        <f t="shared" si="14"/>
        <v>100</v>
      </c>
      <c r="X37" s="3387"/>
      <c r="Y37" s="3811"/>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11" t="s">
        <v>3490</v>
      </c>
      <c r="Q38" s="3441" t="str">
        <f t="shared" si="11"/>
        <v>物业管理</v>
      </c>
      <c r="R38" s="3442" t="s">
        <v>3491</v>
      </c>
      <c r="S38" s="3443">
        <f t="shared" si="12"/>
        <v>100</v>
      </c>
      <c r="T38" s="3442" t="s">
        <v>3491</v>
      </c>
      <c r="U38" s="3443">
        <f t="shared" si="13"/>
        <v>100</v>
      </c>
      <c r="V38" s="3442" t="s">
        <v>3491</v>
      </c>
      <c r="W38" s="3443">
        <f t="shared" si="14"/>
        <v>100</v>
      </c>
      <c r="X38" s="3368"/>
      <c r="Y38" s="3811"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11"/>
      <c r="Q39" s="3441" t="str">
        <f t="shared" si="11"/>
        <v>市政基础设施</v>
      </c>
      <c r="R39" s="3442" t="s">
        <v>3494</v>
      </c>
      <c r="S39" s="3443">
        <f t="shared" si="12"/>
        <v>100</v>
      </c>
      <c r="T39" s="3442" t="s">
        <v>3494</v>
      </c>
      <c r="U39" s="3443">
        <f t="shared" si="13"/>
        <v>100</v>
      </c>
      <c r="V39" s="3442" t="s">
        <v>3494</v>
      </c>
      <c r="W39" s="3443">
        <f t="shared" si="14"/>
        <v>100</v>
      </c>
      <c r="X39" s="3368"/>
      <c r="Y39" s="3811"/>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11"/>
      <c r="Q40" s="3441" t="str">
        <f t="shared" si="11"/>
        <v>房型</v>
      </c>
      <c r="R40" s="3442" t="s">
        <v>3488</v>
      </c>
      <c r="S40" s="3443">
        <f t="shared" si="12"/>
        <v>100</v>
      </c>
      <c r="T40" s="3442" t="s">
        <v>3488</v>
      </c>
      <c r="U40" s="3443">
        <f t="shared" si="13"/>
        <v>100</v>
      </c>
      <c r="V40" s="3442" t="s">
        <v>3488</v>
      </c>
      <c r="W40" s="3443">
        <f t="shared" si="14"/>
        <v>100</v>
      </c>
      <c r="X40" s="3368"/>
      <c r="Y40" s="3811"/>
      <c r="Z40" s="3444" t="str">
        <f t="shared" si="15"/>
        <v>房型</v>
      </c>
      <c r="AA40" s="3445">
        <f t="shared" si="3"/>
        <v>1</v>
      </c>
      <c r="AB40" s="3445">
        <f t="shared" si="4"/>
        <v>1</v>
      </c>
      <c r="AC40" s="3445">
        <f t="shared" si="5"/>
        <v>1</v>
      </c>
    </row>
    <row r="41" spans="1:29" s="3506" customFormat="1" ht="28.5">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11"/>
      <c r="Q41" s="3501" t="str">
        <f t="shared" si="11"/>
        <v>单套/主力户型建筑面积</v>
      </c>
      <c r="R41" s="3502" t="s">
        <v>8</v>
      </c>
      <c r="S41" s="3503">
        <f t="shared" si="12"/>
        <v>98</v>
      </c>
      <c r="T41" s="3502" t="s">
        <v>8</v>
      </c>
      <c r="U41" s="3503">
        <f t="shared" si="13"/>
        <v>100</v>
      </c>
      <c r="V41" s="3502" t="s">
        <v>8</v>
      </c>
      <c r="W41" s="3503">
        <f t="shared" si="14"/>
        <v>96</v>
      </c>
      <c r="X41" s="3504"/>
      <c r="Y41" s="3811"/>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11"/>
      <c r="Q42" s="3441" t="str">
        <f t="shared" si="11"/>
        <v>内部装修</v>
      </c>
      <c r="R42" s="3442" t="s">
        <v>3488</v>
      </c>
      <c r="S42" s="3443">
        <f t="shared" si="12"/>
        <v>100</v>
      </c>
      <c r="T42" s="3442" t="s">
        <v>3488</v>
      </c>
      <c r="U42" s="3443">
        <f t="shared" si="13"/>
        <v>100</v>
      </c>
      <c r="V42" s="3442" t="s">
        <v>3488</v>
      </c>
      <c r="W42" s="3443">
        <f t="shared" si="14"/>
        <v>100</v>
      </c>
      <c r="X42" s="3368"/>
      <c r="Y42" s="3811"/>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11"/>
      <c r="Q43" s="3441" t="str">
        <f t="shared" si="11"/>
        <v>内部装修维护情况</v>
      </c>
      <c r="R43" s="3442" t="s">
        <v>3483</v>
      </c>
      <c r="S43" s="3443">
        <f t="shared" si="12"/>
        <v>100</v>
      </c>
      <c r="T43" s="3442" t="s">
        <v>3483</v>
      </c>
      <c r="U43" s="3443">
        <f t="shared" si="13"/>
        <v>100</v>
      </c>
      <c r="V43" s="3442" t="s">
        <v>3483</v>
      </c>
      <c r="W43" s="3443">
        <f t="shared" si="14"/>
        <v>100</v>
      </c>
      <c r="X43" s="3368"/>
      <c r="Y43" s="3811"/>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11"/>
      <c r="Q44" s="3402">
        <f t="shared" si="11"/>
        <v>111</v>
      </c>
      <c r="R44" s="3385" t="s">
        <v>3483</v>
      </c>
      <c r="S44" s="3386">
        <f t="shared" si="12"/>
        <v>100</v>
      </c>
      <c r="T44" s="3385" t="s">
        <v>3483</v>
      </c>
      <c r="U44" s="3386">
        <f t="shared" si="13"/>
        <v>100</v>
      </c>
      <c r="V44" s="3385" t="s">
        <v>3483</v>
      </c>
      <c r="W44" s="3386">
        <f t="shared" si="14"/>
        <v>100</v>
      </c>
      <c r="X44" s="3387"/>
      <c r="Y44" s="3811"/>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11"/>
      <c r="Q45" s="3441">
        <f t="shared" si="11"/>
        <v>111</v>
      </c>
      <c r="R45" s="3442" t="s">
        <v>3483</v>
      </c>
      <c r="S45" s="3443">
        <f t="shared" si="12"/>
        <v>100</v>
      </c>
      <c r="T45" s="3442" t="s">
        <v>3483</v>
      </c>
      <c r="U45" s="3443">
        <f t="shared" si="13"/>
        <v>100</v>
      </c>
      <c r="V45" s="3442" t="s">
        <v>3483</v>
      </c>
      <c r="W45" s="3443">
        <f t="shared" si="14"/>
        <v>100</v>
      </c>
      <c r="X45" s="3368"/>
      <c r="Y45" s="3811"/>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12"/>
      <c r="Q46" s="3441">
        <f t="shared" si="11"/>
        <v>111</v>
      </c>
      <c r="R46" s="3442" t="s">
        <v>3483</v>
      </c>
      <c r="S46" s="3443">
        <f t="shared" si="12"/>
        <v>100</v>
      </c>
      <c r="T46" s="3442" t="s">
        <v>3483</v>
      </c>
      <c r="U46" s="3443">
        <f t="shared" si="13"/>
        <v>100</v>
      </c>
      <c r="V46" s="3442" t="s">
        <v>3483</v>
      </c>
      <c r="W46" s="3443">
        <f t="shared" si="14"/>
        <v>100</v>
      </c>
      <c r="X46" s="3368"/>
      <c r="Y46" s="3812"/>
      <c r="Z46" s="3444">
        <f t="shared" si="15"/>
        <v>111</v>
      </c>
      <c r="AA46" s="3445">
        <f t="shared" si="3"/>
        <v>1</v>
      </c>
      <c r="AB46" s="3445">
        <f t="shared" si="4"/>
        <v>1</v>
      </c>
      <c r="AC46" s="3445">
        <f t="shared" si="5"/>
        <v>1</v>
      </c>
    </row>
    <row r="47" spans="1:29" ht="15">
      <c r="A47" s="3518" t="s">
        <v>3498</v>
      </c>
      <c r="B47" s="3519"/>
      <c r="C47" s="3520" t="s">
        <v>3499</v>
      </c>
      <c r="D47" s="3521"/>
      <c r="E47" s="3522">
        <v>13000</v>
      </c>
      <c r="F47" s="3523"/>
      <c r="G47" s="3524">
        <v>13500</v>
      </c>
      <c r="H47" s="3525"/>
      <c r="I47" s="3522">
        <v>15000</v>
      </c>
      <c r="J47" s="3525"/>
      <c r="K47" s="3526"/>
      <c r="L47" s="3527"/>
      <c r="M47" s="3528"/>
      <c r="N47" s="3367"/>
      <c r="O47" s="3528"/>
      <c r="P47" s="3803" t="str">
        <f>A47</f>
        <v>成交单价（元/平方米）</v>
      </c>
      <c r="Q47" s="3803"/>
      <c r="R47" s="3804">
        <f>E47</f>
        <v>13000</v>
      </c>
      <c r="S47" s="3804"/>
      <c r="T47" s="3804">
        <f>G47</f>
        <v>13500</v>
      </c>
      <c r="U47" s="3804"/>
      <c r="V47" s="3804">
        <f>I47</f>
        <v>15000</v>
      </c>
      <c r="W47" s="3804"/>
      <c r="X47" s="3529"/>
      <c r="Y47" s="3530"/>
      <c r="Z47" s="3529"/>
      <c r="AA47" s="3529"/>
      <c r="AB47" s="3529"/>
      <c r="AC47" s="3529"/>
    </row>
    <row r="48" spans="1:29" ht="15.7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03" t="str">
        <f>A48</f>
        <v>比较价格（元/平方米）</v>
      </c>
      <c r="Q48" s="3803"/>
      <c r="R48" s="3804">
        <f>IF(F1="售价",ROUND(PRODUCT(R47,AA7:AA46),0),ROUND(PRODUCT(R47,AA7:AA46),1))</f>
        <v>13139</v>
      </c>
      <c r="S48" s="3804"/>
      <c r="T48" s="3804">
        <f>IF(F1="售价",ROUND(PRODUCT(T47,AB7:AB46),0),ROUND(PRODUCT(T47,AB7:AB46),1))</f>
        <v>12975</v>
      </c>
      <c r="U48" s="3804"/>
      <c r="V48" s="3804">
        <f>IF(F1="售价",ROUND(PRODUCT(V47,AC7:AC46),0),ROUND(PRODUCT(V47,AC7:AC46),1))</f>
        <v>15170</v>
      </c>
      <c r="W48" s="3804"/>
      <c r="X48" s="3529"/>
      <c r="Y48" s="3529"/>
      <c r="Z48" s="3529"/>
      <c r="AA48" s="3529"/>
      <c r="AB48" s="3529"/>
      <c r="AC48" s="3529"/>
    </row>
    <row r="49" spans="1:29" ht="15.75" thickBot="1">
      <c r="A49" s="3537" t="s">
        <v>3501</v>
      </c>
      <c r="B49" s="3538"/>
      <c r="C49" s="3539">
        <f>R49</f>
        <v>13761</v>
      </c>
      <c r="D49" s="3539"/>
      <c r="E49" s="3539"/>
      <c r="F49" s="3539"/>
      <c r="G49" s="3539"/>
      <c r="H49" s="3539"/>
      <c r="I49" s="3539"/>
      <c r="J49" s="3539"/>
      <c r="K49" s="3540"/>
      <c r="L49" s="3527"/>
      <c r="M49" s="3528"/>
      <c r="N49" s="3528"/>
      <c r="O49" s="3528"/>
      <c r="P49" s="3805" t="str">
        <f>A49</f>
        <v>估价对象XX用房的比较价格（楼面单价，元/平方米）</v>
      </c>
      <c r="Q49" s="3806"/>
      <c r="R49" s="3807">
        <f>IF(F1="售价",ROUND(AVERAGE(R48:V48),0),ROUND(AVERAGE(R48:V48),1))</f>
        <v>13761</v>
      </c>
      <c r="S49" s="3807"/>
      <c r="T49" s="3807"/>
      <c r="U49" s="3807"/>
      <c r="V49" s="3807"/>
      <c r="W49" s="3807"/>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3398</v>
      </c>
      <c r="C2" s="2041"/>
      <c r="D2" s="2039"/>
      <c r="E2" s="2040"/>
      <c r="F2" s="2040"/>
      <c r="G2" s="1575"/>
      <c r="H2" s="2041"/>
      <c r="I2" s="2041"/>
      <c r="J2" s="2041"/>
      <c r="K2" s="2042"/>
      <c r="L2" s="2041"/>
      <c r="M2" s="2041"/>
    </row>
    <row r="3" spans="1:33" ht="18" customHeight="1" thickBot="1">
      <c r="A3" s="832" t="s">
        <v>519</v>
      </c>
      <c r="B3" s="833">
        <f ca="1">IF(ISERROR(B2*10000/F43),0,ROUND(B2*10000/F43,0))</f>
        <v>1752</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343</v>
      </c>
      <c r="D5" s="2459" t="s">
        <v>2460</v>
      </c>
      <c r="E5" s="2453"/>
      <c r="F5" s="2454"/>
      <c r="G5" s="1577"/>
      <c r="H5" s="780">
        <v>1</v>
      </c>
      <c r="I5" s="781" t="s">
        <v>2457</v>
      </c>
      <c r="J5" s="55">
        <f ca="1">J6+J10+J12</f>
        <v>0</v>
      </c>
      <c r="K5" s="2459" t="s">
        <v>2460</v>
      </c>
      <c r="L5" s="2453"/>
      <c r="M5" s="2454"/>
    </row>
    <row r="6" spans="1:33" ht="18" customHeight="1">
      <c r="A6" s="1814" t="s">
        <v>1824</v>
      </c>
      <c r="B6" s="4125" t="s">
        <v>2462</v>
      </c>
      <c r="C6" s="782">
        <f ca="1">ROUND(F6*F8*F7*(1-F9)/10000,0)</f>
        <v>343</v>
      </c>
      <c r="D6" s="2460" t="s">
        <v>2461</v>
      </c>
      <c r="E6" s="783" t="s">
        <v>637</v>
      </c>
      <c r="F6" s="784">
        <f ca="1">INDIRECT("'数据-取费表'!u"&amp;$G$1)</f>
        <v>0.5</v>
      </c>
      <c r="G6" s="1577"/>
      <c r="H6" s="2467" t="s">
        <v>1824</v>
      </c>
      <c r="I6" s="4125" t="s">
        <v>2462</v>
      </c>
      <c r="J6" s="782">
        <f ca="1">ROUND(M6*M8*M7*(1-M9)/10000,0)</f>
        <v>0</v>
      </c>
      <c r="K6" s="340" t="s">
        <v>636</v>
      </c>
      <c r="L6" s="783" t="s">
        <v>637</v>
      </c>
      <c r="M6" s="784">
        <f ca="1">INDIRECT("'数据-取费表'!z"&amp;$G$1)</f>
        <v>0</v>
      </c>
    </row>
    <row r="7" spans="1:33" ht="18" customHeight="1">
      <c r="A7" s="2463"/>
      <c r="B7" s="4126"/>
      <c r="C7" s="787"/>
      <c r="D7" s="788"/>
      <c r="E7" s="783" t="s">
        <v>638</v>
      </c>
      <c r="F7" s="784">
        <f ca="1">IF(INDIRECT("'数据-取费表'!ah"&amp;$G$1)="",INDIRECT("'数据-取费表'!k"&amp;$G$1),INDIRECT("'数据-取费表'!ah"&amp;$G$1))</f>
        <v>19390.11</v>
      </c>
      <c r="G7" s="1577"/>
      <c r="H7" s="2452"/>
      <c r="I7" s="4126"/>
      <c r="J7" s="787"/>
      <c r="K7" s="788"/>
      <c r="L7" s="783" t="s">
        <v>638</v>
      </c>
      <c r="M7" s="784">
        <f ca="1">F7</f>
        <v>19390.11</v>
      </c>
    </row>
    <row r="8" spans="1:33" ht="18" customHeight="1">
      <c r="A8" s="2456"/>
      <c r="B8" s="4127"/>
      <c r="C8" s="787"/>
      <c r="D8" s="788"/>
      <c r="E8" s="783" t="s">
        <v>639</v>
      </c>
      <c r="F8" s="784">
        <f ca="1">INDIRECT("'数据-取费表'!ai"&amp;$G$1)</f>
        <v>365</v>
      </c>
      <c r="G8" s="1577"/>
      <c r="H8" s="2452"/>
      <c r="I8" s="4127"/>
      <c r="J8" s="787"/>
      <c r="K8" s="788"/>
      <c r="L8" s="783" t="s">
        <v>639</v>
      </c>
      <c r="M8" s="784">
        <f ca="1">INDIRECT("'数据-取费表'!ai"&amp;$G$1)</f>
        <v>365</v>
      </c>
    </row>
    <row r="9" spans="1:33" ht="18" customHeight="1">
      <c r="A9" s="785"/>
      <c r="B9" s="4128"/>
      <c r="C9" s="787"/>
      <c r="D9" s="788"/>
      <c r="E9" s="783" t="s">
        <v>640</v>
      </c>
      <c r="F9" s="793">
        <f ca="1">INDIRECT("'数据-取费表'!w"&amp;$G$1)</f>
        <v>0.03</v>
      </c>
      <c r="G9" s="1577"/>
      <c r="H9" s="2468"/>
      <c r="I9" s="4127"/>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4645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3559</v>
      </c>
      <c r="D14" s="3178" t="s">
        <v>646</v>
      </c>
      <c r="E14" s="3177"/>
      <c r="F14" s="804"/>
      <c r="G14" s="1577"/>
      <c r="H14" s="1633" t="s">
        <v>1824</v>
      </c>
      <c r="I14" s="2215" t="s">
        <v>2824</v>
      </c>
      <c r="J14" s="53">
        <f ca="1">C29</f>
        <v>4645</v>
      </c>
      <c r="K14" s="26"/>
      <c r="L14" s="800"/>
      <c r="M14" s="801"/>
    </row>
    <row r="15" spans="1:33" s="2048" customFormat="1" ht="18" customHeight="1" thickBot="1">
      <c r="A15" s="1632" t="s">
        <v>1832</v>
      </c>
      <c r="B15" s="783" t="s">
        <v>647</v>
      </c>
      <c r="C15" s="53">
        <f ca="1">ROUND(C14*F15,0)</f>
        <v>107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461</v>
      </c>
      <c r="K16" s="1805" t="s">
        <v>652</v>
      </c>
      <c r="L16" s="3180"/>
      <c r="M16" s="2454"/>
    </row>
    <row r="17" spans="1:33" s="2048" customFormat="1" ht="18" customHeight="1">
      <c r="A17" s="1632" t="s">
        <v>1887</v>
      </c>
      <c r="B17" s="783" t="s">
        <v>653</v>
      </c>
      <c r="C17" s="53">
        <f ca="1">ROUND(F17*(F43+INDIRECT("'数据-取费表'!S"&amp;$G$1))/10000,0)</f>
        <v>237</v>
      </c>
      <c r="D17" s="783" t="s">
        <v>654</v>
      </c>
      <c r="E17" s="783" t="s">
        <v>655</v>
      </c>
      <c r="F17" s="56">
        <f>'数据-取费表'!B35</f>
        <v>120</v>
      </c>
      <c r="G17" s="1578"/>
      <c r="H17" s="1633" t="s">
        <v>1824</v>
      </c>
      <c r="I17" s="783" t="s">
        <v>656</v>
      </c>
      <c r="J17" s="53">
        <f ca="1">ROUND(IF(项目基本情况!B11="自然人",J5*M17,J18+J19+J20),0)</f>
        <v>391</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53</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3956</v>
      </c>
      <c r="D19" s="260" t="s">
        <v>663</v>
      </c>
      <c r="E19" s="3181"/>
      <c r="F19" s="56"/>
      <c r="G19" s="1577"/>
      <c r="H19" s="1632" t="s">
        <v>1832</v>
      </c>
      <c r="I19" s="783" t="s">
        <v>664</v>
      </c>
      <c r="J19" s="53">
        <f ca="1">IF(K19="按租金收入计税",ROUND(J5*M19,1),ROUND(C29*F33*0.7,1))</f>
        <v>390.2</v>
      </c>
      <c r="K19" s="810" t="s">
        <v>665</v>
      </c>
      <c r="L19" s="783" t="s">
        <v>649</v>
      </c>
      <c r="M19" s="808">
        <f>IF(K19="按租金收入计税",'数据-取费表'!B51,'数据-取费表'!B50)</f>
        <v>1.2E-2</v>
      </c>
    </row>
    <row r="20" spans="1:33" s="2048" customFormat="1" ht="18" customHeight="1">
      <c r="A20" s="1633" t="s">
        <v>1889</v>
      </c>
      <c r="B20" s="783" t="s">
        <v>666</v>
      </c>
      <c r="C20" s="53">
        <f ca="1">ROUND(C19*F20,0)</f>
        <v>59</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3575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70</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191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-461</v>
      </c>
      <c r="K25" s="2511" t="s">
        <v>700</v>
      </c>
      <c r="L25" s="2512"/>
      <c r="M25" s="2513"/>
    </row>
    <row r="26" spans="1:33" ht="18" customHeight="1">
      <c r="A26" s="1632" t="s">
        <v>1831</v>
      </c>
      <c r="B26" s="783" t="s">
        <v>2438</v>
      </c>
      <c r="C26" s="53">
        <f ca="1">ROUND((C19+C20)*F26,0)</f>
        <v>120</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4645</v>
      </c>
      <c r="D29" s="2508"/>
      <c r="E29" s="2509"/>
      <c r="F29" s="2510"/>
      <c r="G29" s="1578"/>
      <c r="H29" s="822" t="s">
        <v>1787</v>
      </c>
      <c r="I29" s="823" t="s">
        <v>1788</v>
      </c>
      <c r="J29" s="824">
        <f ca="1">ROUND(J26/(1+F40)^F41,0)</f>
        <v>0</v>
      </c>
      <c r="K29" s="825" t="s">
        <v>688</v>
      </c>
      <c r="L29" s="826"/>
      <c r="M29" s="827">
        <f ca="1">INDIRECT("'数据-取费表'!k"&amp;$G$1)</f>
        <v>19390.11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142</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60.3</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18</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41.2</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1.1000000000000001</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3575</v>
      </c>
      <c r="G35" s="2046"/>
      <c r="H35" s="2049"/>
      <c r="I35" s="836" t="s">
        <v>1814</v>
      </c>
      <c r="J35" s="837">
        <f ca="1">ROUND(C13*J36,0)</f>
        <v>372</v>
      </c>
      <c r="K35" s="2062"/>
      <c r="L35" s="2061"/>
      <c r="M35" s="2061"/>
    </row>
    <row r="36" spans="1:18" ht="18" customHeight="1">
      <c r="A36" s="1633" t="s">
        <v>1889</v>
      </c>
      <c r="B36" s="783" t="s">
        <v>676</v>
      </c>
      <c r="C36" s="53">
        <f ca="1">ROUND(C29*F36,1)</f>
        <v>69.7</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7</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5.0999999999999996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201</v>
      </c>
      <c r="D39" s="2511" t="s">
        <v>700</v>
      </c>
      <c r="E39" s="2512"/>
      <c r="F39" s="2513"/>
      <c r="G39" s="2046"/>
      <c r="H39" s="2061"/>
      <c r="I39" s="836" t="s">
        <v>1818</v>
      </c>
      <c r="J39" s="844">
        <f ca="1">ROUND(J35/C39,3)</f>
        <v>1.851</v>
      </c>
      <c r="K39" s="2067"/>
      <c r="L39" s="2061"/>
      <c r="M39" s="2061"/>
    </row>
    <row r="40" spans="1:18" ht="18" customHeight="1">
      <c r="A40" s="780" t="s">
        <v>1780</v>
      </c>
      <c r="B40" s="2216" t="s">
        <v>2301</v>
      </c>
      <c r="C40" s="782">
        <f ca="1">ROUND(C39*(1-((1+F42)/(1+F40))^F41)/(F40-F42),0)</f>
        <v>3398</v>
      </c>
      <c r="D40" s="813" t="s">
        <v>704</v>
      </c>
      <c r="E40" s="783" t="s">
        <v>2419</v>
      </c>
      <c r="F40" s="793">
        <f ca="1">INDIRECT("'数据-取费表'!I"&amp;$G$1)</f>
        <v>4.4999999999999998E-2</v>
      </c>
      <c r="G40" s="2046"/>
      <c r="H40" s="2046"/>
      <c r="I40" s="836" t="s">
        <v>1819</v>
      </c>
      <c r="J40" s="844">
        <f ca="1">1-J39</f>
        <v>-0.85099999999999998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1.367</v>
      </c>
      <c r="K42" s="2066"/>
      <c r="L42" s="1972"/>
      <c r="M42" s="1972"/>
    </row>
    <row r="43" spans="1:18" ht="18" customHeight="1" thickBot="1">
      <c r="A43" s="822" t="s">
        <v>1787</v>
      </c>
      <c r="B43" s="823" t="s">
        <v>1810</v>
      </c>
      <c r="C43" s="824">
        <f ca="1">ROUND(C40*10000/F43,0)</f>
        <v>1752</v>
      </c>
      <c r="D43" s="825" t="s">
        <v>1811</v>
      </c>
      <c r="E43" s="826" t="s">
        <v>1812</v>
      </c>
      <c r="F43" s="827">
        <f ca="1">INDIRECT("'数据-取费表'!k"&amp;$G$1)</f>
        <v>19390.11</v>
      </c>
      <c r="G43" s="2046"/>
      <c r="H43" s="1972"/>
      <c r="I43" s="846" t="s">
        <v>1822</v>
      </c>
      <c r="J43" s="847">
        <f ca="1">1-J42</f>
        <v>-0.36699999999999999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-4717</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3398</v>
      </c>
      <c r="R48" s="2362" t="s">
        <v>2380</v>
      </c>
    </row>
    <row r="49" spans="1:18" s="2043" customFormat="1" ht="18" customHeight="1" thickBot="1">
      <c r="A49" s="785"/>
      <c r="B49" s="786"/>
      <c r="C49" s="787"/>
      <c r="D49" s="788"/>
      <c r="E49" s="783" t="s">
        <v>638</v>
      </c>
      <c r="F49" s="784">
        <f ca="1">F7</f>
        <v>19390.11</v>
      </c>
      <c r="G49" s="2074"/>
      <c r="H49" s="2077"/>
      <c r="I49" s="3074" t="s">
        <v>2346</v>
      </c>
      <c r="J49" s="2346">
        <v>2020</v>
      </c>
      <c r="K49" s="3104" t="s">
        <v>2352</v>
      </c>
      <c r="L49" s="2347"/>
      <c r="O49" s="2361" t="s">
        <v>2381</v>
      </c>
      <c r="P49" s="2362" t="s">
        <v>2406</v>
      </c>
      <c r="Q49" s="2363">
        <f ca="1">J60</f>
        <v>145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4645</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-3163</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36" t="s">
        <v>2962</v>
      </c>
      <c r="L53" s="4137"/>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3543</v>
      </c>
      <c r="R54" s="2366" t="s">
        <v>2392</v>
      </c>
    </row>
    <row r="55" spans="1:18" s="2043" customFormat="1" ht="18" customHeight="1" thickTop="1" thickBot="1">
      <c r="A55" s="796">
        <v>2</v>
      </c>
      <c r="B55" s="797" t="s">
        <v>644</v>
      </c>
      <c r="C55" s="798">
        <f ca="1">C13</f>
        <v>4645</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2300</v>
      </c>
      <c r="C56" s="53">
        <f ca="1">C29</f>
        <v>4645</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78</v>
      </c>
      <c r="D57" s="26" t="s">
        <v>652</v>
      </c>
      <c r="E57" s="3181"/>
      <c r="F57" s="56"/>
      <c r="I57" s="3113" t="s">
        <v>2358</v>
      </c>
      <c r="J57" s="3114">
        <f ca="1">IF(OR(M47="住宅",J51&lt;L48,J56="是"),"——",J51-L48)</f>
        <v>26.5</v>
      </c>
      <c r="K57" s="3074" t="s">
        <v>2363</v>
      </c>
      <c r="L57" s="1892" t="str">
        <f ca="1">IF(L48&lt;J51,"——",IF(L55="比较法",L49,IF(L55="基准地价",L50,L51)))</f>
        <v>——</v>
      </c>
      <c r="O57" s="2361" t="s">
        <v>2379</v>
      </c>
      <c r="P57" s="2362" t="s">
        <v>2405</v>
      </c>
      <c r="Q57" s="2363">
        <f ca="1">C40+J29</f>
        <v>3398</v>
      </c>
      <c r="R57" s="2362" t="s">
        <v>2380</v>
      </c>
    </row>
    <row r="58" spans="1:18" s="2043" customFormat="1" ht="28.5" customHeight="1" thickBot="1">
      <c r="A58" s="1633" t="s">
        <v>1824</v>
      </c>
      <c r="B58" s="783" t="s">
        <v>656</v>
      </c>
      <c r="C58" s="53">
        <f ca="1">ROUND(IF(项目基本情况!B11="自然人",C47*F58,C59+C60+C61),1)</f>
        <v>1.1000000000000001</v>
      </c>
      <c r="D58" s="3178" t="s">
        <v>657</v>
      </c>
      <c r="E58" s="3179"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2053</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145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1.1000000000000001</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3575</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69.7</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3398</v>
      </c>
      <c r="R63" s="2366" t="s">
        <v>2392</v>
      </c>
    </row>
    <row r="64" spans="1:18" s="2043" customFormat="1" ht="16.5" thickBot="1">
      <c r="A64" s="1633" t="s">
        <v>1890</v>
      </c>
      <c r="B64" s="783" t="s">
        <v>679</v>
      </c>
      <c r="C64" s="53">
        <f ca="1">ROUND(C55*F64,1)</f>
        <v>7</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-78</v>
      </c>
      <c r="D66" s="3178" t="s">
        <v>700</v>
      </c>
      <c r="E66" s="3176"/>
      <c r="F66" s="819"/>
      <c r="K66" s="2070"/>
      <c r="O66" s="2361" t="s">
        <v>2379</v>
      </c>
      <c r="P66" s="2362" t="s">
        <v>2405</v>
      </c>
      <c r="Q66" s="2363">
        <f ca="1">C40+J29</f>
        <v>3398</v>
      </c>
      <c r="R66" s="2362" t="s">
        <v>2380</v>
      </c>
    </row>
    <row r="67" spans="1:18" s="2043" customFormat="1" ht="20.25" thickBot="1">
      <c r="A67" s="780" t="s">
        <v>1780</v>
      </c>
      <c r="B67" s="2216" t="s">
        <v>2301</v>
      </c>
      <c r="C67" s="782">
        <f ca="1">ROUND(C66*(1-((1+F69)/(1+F67))^F68)/(F67-F69),0)</f>
        <v>-1319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v>
      </c>
      <c r="O68" s="2364" t="s">
        <v>2383</v>
      </c>
      <c r="P68" s="2362" t="s">
        <v>2413</v>
      </c>
      <c r="Q68" s="2368">
        <f ca="1">L51</f>
        <v>-3163</v>
      </c>
      <c r="R68" s="2369" t="s">
        <v>2416</v>
      </c>
    </row>
    <row r="69" spans="1:18" ht="20.25" thickBot="1">
      <c r="A69" s="789"/>
      <c r="B69" s="790"/>
      <c r="C69" s="791"/>
      <c r="D69" s="815"/>
      <c r="E69" s="783" t="s">
        <v>710</v>
      </c>
      <c r="F69" s="2334"/>
      <c r="O69" s="2364" t="s">
        <v>2384</v>
      </c>
      <c r="P69" s="2370" t="s">
        <v>2398</v>
      </c>
      <c r="Q69" s="2363">
        <f ca="1">ROUND(Q70-Q71*Q72,0)</f>
        <v>-171</v>
      </c>
      <c r="R69" s="2366"/>
    </row>
    <row r="70" spans="1:18" ht="15.75" thickBot="1">
      <c r="A70" s="822" t="s">
        <v>1787</v>
      </c>
      <c r="B70" s="823" t="s">
        <v>1810</v>
      </c>
      <c r="C70" s="824">
        <f ca="1">ROUND(C67*10000/F70,0)</f>
        <v>-680</v>
      </c>
      <c r="D70" s="825" t="s">
        <v>1811</v>
      </c>
      <c r="E70" s="826" t="s">
        <v>1812</v>
      </c>
      <c r="F70" s="827">
        <f ca="1">F43</f>
        <v>19390.11</v>
      </c>
      <c r="O70" s="2364" t="s">
        <v>2399</v>
      </c>
      <c r="P70" s="2370" t="s">
        <v>2400</v>
      </c>
      <c r="Q70" s="2363">
        <f ca="1">C39</f>
        <v>201</v>
      </c>
      <c r="R70" s="2362" t="s">
        <v>2380</v>
      </c>
    </row>
    <row r="71" spans="1:18" ht="15.75" thickBot="1">
      <c r="O71" s="2364" t="s">
        <v>2401</v>
      </c>
      <c r="P71" s="2370" t="s">
        <v>2402</v>
      </c>
      <c r="Q71" s="2363">
        <f ca="1">C13</f>
        <v>4645</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3398</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3"/>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81" t="s">
        <v>2038</v>
      </c>
      <c r="B1" s="3781"/>
      <c r="C1" s="3781"/>
      <c r="D1" s="3781"/>
      <c r="E1" s="3781"/>
      <c r="F1" s="3781"/>
      <c r="G1" s="3781"/>
      <c r="H1" s="3781"/>
      <c r="I1" s="3781"/>
      <c r="J1" s="3781"/>
      <c r="K1" s="3781"/>
      <c r="L1" s="3781"/>
      <c r="M1" s="3781"/>
      <c r="N1" s="3781"/>
      <c r="O1" s="3781"/>
      <c r="P1" s="3781"/>
      <c r="Q1" s="3781"/>
      <c r="R1" s="3781"/>
    </row>
    <row r="2" spans="1:18">
      <c r="A2" s="1791" t="s">
        <v>2040</v>
      </c>
      <c r="B2" s="1791"/>
      <c r="C2" s="1791"/>
      <c r="D2" s="1791"/>
      <c r="E2" s="1791"/>
      <c r="F2" s="1791"/>
      <c r="G2" s="1791"/>
      <c r="H2" s="1791"/>
      <c r="I2" s="1792"/>
      <c r="J2" s="1792"/>
      <c r="K2" s="1793" t="str">
        <f>"估价期日："&amp;TEXT(项目基本情况!D3,"yyyy年m月d日;;")</f>
        <v>估价期日：2019年7月25日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782" t="s">
        <v>2029</v>
      </c>
      <c r="B3" s="3782" t="s">
        <v>2730</v>
      </c>
      <c r="C3" s="3783" t="s">
        <v>2030</v>
      </c>
      <c r="D3" s="3782" t="s">
        <v>2734</v>
      </c>
      <c r="E3" s="3777" t="s">
        <v>2031</v>
      </c>
      <c r="F3" s="3777"/>
      <c r="G3" s="3777"/>
      <c r="H3" s="3777" t="s">
        <v>2032</v>
      </c>
      <c r="I3" s="3777"/>
      <c r="J3" s="3777"/>
      <c r="K3" s="3783" t="s">
        <v>2033</v>
      </c>
      <c r="L3" s="3783" t="s">
        <v>2034</v>
      </c>
      <c r="M3" s="3782" t="s">
        <v>2731</v>
      </c>
      <c r="N3" s="3784" t="str">
        <f>"（分摊）"&amp;项目基本情况!B16&amp;"国有建设用地使用权面积/㎡"</f>
        <v>（分摊）出让国有建设用地使用权面积/㎡</v>
      </c>
      <c r="O3" s="3782" t="s">
        <v>2063</v>
      </c>
      <c r="P3" s="3783" t="s">
        <v>2043</v>
      </c>
      <c r="Q3" s="3783" t="s">
        <v>2064</v>
      </c>
      <c r="R3" s="3783" t="s">
        <v>2035</v>
      </c>
    </row>
    <row r="4" spans="1:18" ht="36.75" customHeight="1">
      <c r="A4" s="3782"/>
      <c r="B4" s="3782"/>
      <c r="C4" s="3783"/>
      <c r="D4" s="3782"/>
      <c r="E4" s="2612" t="s">
        <v>2042</v>
      </c>
      <c r="F4" s="2612" t="s">
        <v>2743</v>
      </c>
      <c r="G4" s="2612" t="s">
        <v>2036</v>
      </c>
      <c r="H4" s="2612" t="s">
        <v>2037</v>
      </c>
      <c r="I4" s="2612" t="s">
        <v>2744</v>
      </c>
      <c r="J4" s="2612" t="s">
        <v>2036</v>
      </c>
      <c r="K4" s="3783"/>
      <c r="L4" s="3783"/>
      <c r="M4" s="3782"/>
      <c r="N4" s="3784"/>
      <c r="O4" s="3782"/>
      <c r="P4" s="3783"/>
      <c r="Q4" s="3783"/>
      <c r="R4" s="3783"/>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20122.04</v>
      </c>
      <c r="O5" s="1794">
        <f>项目基本情况!C21</f>
        <v>111281.46</v>
      </c>
      <c r="P5" s="1794">
        <f ca="1">结果表!E42</f>
        <v>7142</v>
      </c>
      <c r="Q5" s="1794">
        <f ca="1">结果表!D42</f>
        <v>1291</v>
      </c>
      <c r="R5" s="1795">
        <f ca="1">结果表!C42</f>
        <v>14372</v>
      </c>
    </row>
    <row r="6" spans="1:18">
      <c r="A6" s="3778" t="str">
        <f>IF(项目基本情况!B9="市场价格","——","抵押价格")</f>
        <v>抵押价格</v>
      </c>
      <c r="B6" s="3779"/>
      <c r="C6" s="3779"/>
      <c r="D6" s="3779"/>
      <c r="E6" s="3779"/>
      <c r="F6" s="3779"/>
      <c r="G6" s="3779"/>
      <c r="H6" s="3779"/>
      <c r="I6" s="3779"/>
      <c r="J6" s="3779"/>
      <c r="K6" s="3779"/>
      <c r="L6" s="3779"/>
      <c r="M6" s="3779"/>
      <c r="N6" s="3779"/>
      <c r="O6" s="3779"/>
      <c r="P6" s="3779"/>
      <c r="Q6" s="3780"/>
      <c r="R6" s="1796">
        <f ca="1">结果表!O39</f>
        <v>14372</v>
      </c>
    </row>
    <row r="7" spans="1:18">
      <c r="A7" s="3778" t="str">
        <f>IF(项目基本情况!B9="市场价格","——",IF(项目基本情况!E8="已注销及未注销","抵押担保权已注销时的抵押价格","——"))</f>
        <v>——</v>
      </c>
      <c r="B7" s="3779"/>
      <c r="C7" s="3779"/>
      <c r="D7" s="3779"/>
      <c r="E7" s="3779"/>
      <c r="F7" s="3779"/>
      <c r="G7" s="3779"/>
      <c r="H7" s="3779"/>
      <c r="I7" s="3779"/>
      <c r="J7" s="3779"/>
      <c r="K7" s="3779"/>
      <c r="L7" s="3779"/>
      <c r="M7" s="3779"/>
      <c r="N7" s="3779"/>
      <c r="O7" s="3779"/>
      <c r="P7" s="3779"/>
      <c r="Q7" s="3780"/>
      <c r="R7" s="1796" t="str">
        <f>结果表!O40</f>
        <v>——</v>
      </c>
    </row>
    <row r="8" spans="1:18">
      <c r="A8" s="3778" t="str">
        <f>IF(项目基本情况!B9="市场价格","——",项目基本情况!E9)</f>
        <v>抵押净值</v>
      </c>
      <c r="B8" s="3779"/>
      <c r="C8" s="3779"/>
      <c r="D8" s="3779"/>
      <c r="E8" s="3779"/>
      <c r="F8" s="3779"/>
      <c r="G8" s="3779"/>
      <c r="H8" s="3779"/>
      <c r="I8" s="3779"/>
      <c r="J8" s="3779"/>
      <c r="K8" s="3779"/>
      <c r="L8" s="3779"/>
      <c r="M8" s="3779"/>
      <c r="N8" s="3779"/>
      <c r="O8" s="3779"/>
      <c r="P8" s="3779"/>
      <c r="Q8" s="3780"/>
      <c r="R8" s="1796">
        <f ca="1">结果表!O41</f>
        <v>10178</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785" t="s">
        <v>2065</v>
      </c>
      <c r="B1" s="3785"/>
      <c r="C1" s="3785"/>
      <c r="D1" s="3785"/>
    </row>
    <row r="2" spans="1:4" ht="47.25" customHeight="1">
      <c r="A2" s="3789" t="str">
        <f>"1.权利限制："&amp;项目基本情况!L24&amp;"未设定租赁等其他他项权利。"</f>
        <v>1.权利限制：根据估价对象《不动产权证书》原件、《国有土地使用权》复印件，截至估价期日，估价对象抵押权未见登记。未设定租赁等其他他项权利。</v>
      </c>
      <c r="B2" s="3789"/>
      <c r="C2" s="3789"/>
      <c r="D2" s="3789"/>
    </row>
    <row r="3" spans="1:4" ht="48" customHeight="1">
      <c r="A3" s="37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85"/>
      <c r="C3" s="3785"/>
      <c r="D3" s="3785"/>
    </row>
    <row r="4" spans="1:4" ht="36.75" customHeight="1">
      <c r="A4" s="3785" t="str">
        <f>"3.估价规划限制条件：详见"&amp;项目基本情况!E21&amp;"。"</f>
        <v>3.估价规划限制条件：详见《建设工程规划许可证》[]、《出让合同》[]。</v>
      </c>
      <c r="B4" s="3785"/>
      <c r="C4" s="3785"/>
      <c r="D4" s="3785"/>
    </row>
    <row r="5" spans="1:4">
      <c r="A5" s="3788" t="s">
        <v>2066</v>
      </c>
      <c r="B5" s="3788"/>
      <c r="C5" s="3788"/>
      <c r="D5" s="3788"/>
    </row>
    <row r="6" spans="1:4">
      <c r="A6" s="3785" t="s">
        <v>2044</v>
      </c>
      <c r="B6" s="3785"/>
      <c r="C6" s="3785"/>
      <c r="D6" s="3785"/>
    </row>
    <row r="7" spans="1:4" ht="33" customHeight="1">
      <c r="A7" s="3785" t="s">
        <v>2574</v>
      </c>
      <c r="B7" s="3785"/>
      <c r="C7" s="3785"/>
      <c r="D7" s="3785"/>
    </row>
    <row r="8" spans="1:4" ht="32.25" customHeight="1">
      <c r="A8" s="37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85"/>
      <c r="C8" s="3785"/>
      <c r="D8" s="3785"/>
    </row>
    <row r="9" spans="1:4" ht="33.75" customHeight="1">
      <c r="A9" s="37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85"/>
      <c r="C9" s="3785"/>
      <c r="D9" s="3785"/>
    </row>
    <row r="10" spans="1:4">
      <c r="A10" s="3785" t="str">
        <f>IF(项目基本情况!B8="抵押","4.估价师所知悉的法定优先受偿款情况为：","——")</f>
        <v>4.估价师所知悉的法定优先受偿款情况为：</v>
      </c>
      <c r="B10" s="3785"/>
      <c r="C10" s="3785"/>
      <c r="D10" s="3785"/>
    </row>
    <row r="11" spans="1:4" ht="37.5" customHeight="1">
      <c r="A11" s="37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87"/>
      <c r="C11" s="3787"/>
      <c r="D11" s="3787"/>
    </row>
    <row r="12" spans="1:4" ht="168" customHeight="1">
      <c r="A12" s="3788" t="s">
        <v>2068</v>
      </c>
      <c r="B12" s="3788"/>
      <c r="C12" s="3788"/>
      <c r="D12" s="3788"/>
    </row>
    <row r="13" spans="1:4">
      <c r="A13" s="3786" t="s">
        <v>2745</v>
      </c>
      <c r="B13" s="3786"/>
      <c r="C13" s="3786"/>
      <c r="D13" s="3786"/>
    </row>
    <row r="14" spans="1:4">
      <c r="A14" s="3787" t="str">
        <f>IF(项目基本情况!B8="抵押","综上，"&amp;结果表!K47,"——")</f>
        <v>综上，本次评估不存在估价师知悉的法定优先受偿款</v>
      </c>
      <c r="B14" s="3787"/>
      <c r="C14" s="3787"/>
      <c r="D14" s="3787"/>
    </row>
    <row r="15" spans="1:4" ht="58.5" customHeight="1">
      <c r="A15" s="37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85"/>
      <c r="C15" s="3785"/>
      <c r="D15" s="3785"/>
    </row>
    <row r="16" spans="1:4" ht="70.5" customHeight="1">
      <c r="A16" s="37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85"/>
      <c r="C16" s="3785"/>
      <c r="D16" s="3785"/>
    </row>
    <row r="17" spans="1:4">
      <c r="A17" s="3785" t="s">
        <v>2701</v>
      </c>
      <c r="B17" s="3785"/>
      <c r="C17" s="3785"/>
      <c r="D17" s="3785"/>
    </row>
    <row r="18" spans="1:4">
      <c r="A18" s="3785" t="s">
        <v>2693</v>
      </c>
      <c r="B18" s="3785"/>
      <c r="C18" s="3785"/>
      <c r="D18" s="3785"/>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785" t="s">
        <v>2698</v>
      </c>
      <c r="B23" s="3785"/>
      <c r="C23" s="3785"/>
      <c r="D23" s="3785"/>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797" t="s">
        <v>53</v>
      </c>
      <c r="B15" s="3798" t="s">
        <v>846</v>
      </c>
      <c r="C15" s="3794"/>
    </row>
    <row r="16" spans="1:7" ht="14.25">
      <c r="A16" s="3797"/>
      <c r="B16" s="3795" t="s">
        <v>54</v>
      </c>
      <c r="C16" s="1167" t="s">
        <v>53</v>
      </c>
    </row>
    <row r="17" spans="1:3" ht="14.25">
      <c r="A17" s="3797"/>
      <c r="B17" s="3795"/>
      <c r="C17" s="1167" t="s">
        <v>55</v>
      </c>
    </row>
    <row r="18" spans="1:3" ht="14.25">
      <c r="A18" s="3797"/>
      <c r="B18" s="3795"/>
      <c r="C18" s="1167" t="s">
        <v>56</v>
      </c>
    </row>
    <row r="19" spans="1:3" ht="14.25">
      <c r="A19" s="3797"/>
      <c r="B19" s="3793" t="s">
        <v>57</v>
      </c>
      <c r="C19" s="3794"/>
    </row>
    <row r="20" spans="1:3" ht="14.25">
      <c r="A20" s="1168" t="s">
        <v>58</v>
      </c>
      <c r="B20" s="1169"/>
      <c r="C20" s="1170"/>
    </row>
    <row r="21" spans="1:3" ht="14.25">
      <c r="A21" s="3796" t="s">
        <v>59</v>
      </c>
      <c r="B21" s="3793" t="s">
        <v>60</v>
      </c>
      <c r="C21" s="3794"/>
    </row>
    <row r="22" spans="1:3" ht="14.25">
      <c r="A22" s="3796"/>
      <c r="B22" s="3793" t="s">
        <v>61</v>
      </c>
      <c r="C22" s="3794"/>
    </row>
    <row r="23" spans="1:3" ht="14.25">
      <c r="A23" s="3796"/>
      <c r="B23" s="3793" t="s">
        <v>62</v>
      </c>
      <c r="C23" s="3794"/>
    </row>
    <row r="24" spans="1:3" ht="14.25">
      <c r="A24" s="3796"/>
      <c r="B24" s="3799" t="s">
        <v>63</v>
      </c>
      <c r="C24" s="1171" t="s">
        <v>837</v>
      </c>
    </row>
    <row r="25" spans="1:3" ht="14.25">
      <c r="A25" s="3796"/>
      <c r="B25" s="3800"/>
      <c r="C25" s="1171" t="s">
        <v>838</v>
      </c>
    </row>
    <row r="26" spans="1:3" ht="14.25">
      <c r="A26" s="3796"/>
      <c r="B26" s="3800"/>
      <c r="C26" s="1171" t="s">
        <v>839</v>
      </c>
    </row>
    <row r="27" spans="1:3" ht="14.25">
      <c r="A27" s="3796"/>
      <c r="B27" s="3800"/>
      <c r="C27" s="1171" t="s">
        <v>840</v>
      </c>
    </row>
    <row r="28" spans="1:3" ht="14.25">
      <c r="A28" s="3796"/>
      <c r="B28" s="3800"/>
      <c r="C28" s="1171" t="s">
        <v>841</v>
      </c>
    </row>
    <row r="29" spans="1:3" ht="14.25">
      <c r="A29" s="3796"/>
      <c r="B29" s="3800"/>
      <c r="C29" s="1171" t="s">
        <v>842</v>
      </c>
    </row>
    <row r="30" spans="1:3" ht="14.25">
      <c r="A30" s="3796"/>
      <c r="B30" s="3800"/>
      <c r="C30" s="1171" t="s">
        <v>843</v>
      </c>
    </row>
    <row r="31" spans="1:3" ht="14.25">
      <c r="A31" s="3796"/>
      <c r="B31" s="3800"/>
      <c r="C31" s="1171" t="s">
        <v>844</v>
      </c>
    </row>
    <row r="32" spans="1:3" ht="14.25">
      <c r="A32" s="3796"/>
      <c r="B32" s="3800"/>
      <c r="C32" s="1171" t="s">
        <v>1646</v>
      </c>
    </row>
    <row r="33" spans="1:3" ht="14.25">
      <c r="A33" s="3796"/>
      <c r="B33" s="3790" t="s">
        <v>1652</v>
      </c>
      <c r="C33" s="1171" t="s">
        <v>1647</v>
      </c>
    </row>
    <row r="34" spans="1:3" ht="14.25">
      <c r="A34" s="3796"/>
      <c r="B34" s="3791"/>
      <c r="C34" s="1176" t="s">
        <v>1648</v>
      </c>
    </row>
    <row r="35" spans="1:3" ht="14.25">
      <c r="A35" s="3796"/>
      <c r="B35" s="3791"/>
      <c r="C35" s="1177" t="s">
        <v>1649</v>
      </c>
    </row>
    <row r="36" spans="1:3" ht="14.25">
      <c r="A36" s="3796"/>
      <c r="B36" s="3791"/>
      <c r="C36" s="1177" t="s">
        <v>1650</v>
      </c>
    </row>
    <row r="37" spans="1:3" ht="14.25">
      <c r="A37" s="3796"/>
      <c r="B37" s="379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43671</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801" t="s">
        <v>1926</v>
      </c>
      <c r="B25" s="3801"/>
      <c r="C25" s="3801"/>
      <c r="D25" s="3801"/>
      <c r="E25" s="3801"/>
      <c r="F25" s="3801"/>
      <c r="G25" s="3801"/>
    </row>
    <row r="26" spans="1:7" ht="20.25" customHeight="1">
      <c r="A26" s="3802" t="s">
        <v>1927</v>
      </c>
      <c r="B26" s="3802"/>
      <c r="C26" s="3802"/>
      <c r="D26" s="3802" t="s">
        <v>1928</v>
      </c>
      <c r="E26" s="3802"/>
      <c r="F26" s="3802"/>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3332</v>
      </c>
      <c r="B4" s="3364"/>
      <c r="C4" s="3827" t="s">
        <v>3333</v>
      </c>
      <c r="D4" s="3828"/>
      <c r="E4" s="3829" t="s">
        <v>3334</v>
      </c>
      <c r="F4" s="3830"/>
      <c r="G4" s="3827" t="s">
        <v>3335</v>
      </c>
      <c r="H4" s="3828"/>
      <c r="I4" s="3827" t="s">
        <v>3336</v>
      </c>
      <c r="J4" s="3828"/>
      <c r="K4" s="3365" t="s">
        <v>3337</v>
      </c>
      <c r="L4" s="3366"/>
      <c r="M4" s="3367"/>
      <c r="N4" s="3367"/>
      <c r="O4" s="3367"/>
      <c r="P4" s="3831" t="s">
        <v>3338</v>
      </c>
      <c r="Q4" s="3832"/>
      <c r="R4" s="3817" t="s">
        <v>3339</v>
      </c>
      <c r="S4" s="3818"/>
      <c r="T4" s="3817" t="s">
        <v>3340</v>
      </c>
      <c r="U4" s="3818"/>
      <c r="V4" s="3816" t="s">
        <v>3341</v>
      </c>
      <c r="W4" s="3816"/>
      <c r="X4" s="3368"/>
      <c r="Y4" s="3817" t="s">
        <v>3338</v>
      </c>
      <c r="Z4" s="3818"/>
      <c r="AA4" s="3823" t="s">
        <v>3339</v>
      </c>
      <c r="AB4" s="3823" t="s">
        <v>3340</v>
      </c>
      <c r="AC4" s="3823" t="s">
        <v>3341</v>
      </c>
    </row>
    <row r="5" spans="1:29" ht="15">
      <c r="A5" s="3370"/>
      <c r="B5" s="3371"/>
      <c r="C5" s="3837" t="s">
        <v>3342</v>
      </c>
      <c r="D5" s="3838"/>
      <c r="E5" s="3839" t="s">
        <v>3343</v>
      </c>
      <c r="F5" s="3840"/>
      <c r="G5" s="3841" t="s">
        <v>3344</v>
      </c>
      <c r="H5" s="3838"/>
      <c r="I5" s="3841" t="s">
        <v>3346</v>
      </c>
      <c r="J5" s="3838"/>
      <c r="K5" s="3372"/>
      <c r="L5" s="3366"/>
      <c r="M5" s="3367"/>
      <c r="N5" s="3367"/>
      <c r="O5" s="3367"/>
      <c r="P5" s="3833"/>
      <c r="Q5" s="3834"/>
      <c r="R5" s="3819"/>
      <c r="S5" s="3820"/>
      <c r="T5" s="3819"/>
      <c r="U5" s="3820"/>
      <c r="V5" s="3816"/>
      <c r="W5" s="3816"/>
      <c r="X5" s="3368"/>
      <c r="Y5" s="3819"/>
      <c r="Z5" s="3820"/>
      <c r="AA5" s="3824"/>
      <c r="AB5" s="3824"/>
      <c r="AC5" s="3824"/>
    </row>
    <row r="6" spans="1:29" ht="15.75" thickBot="1">
      <c r="A6" s="3373"/>
      <c r="B6" s="3374"/>
      <c r="C6" s="3842" t="s">
        <v>3347</v>
      </c>
      <c r="D6" s="3843"/>
      <c r="E6" s="3844" t="s">
        <v>3347</v>
      </c>
      <c r="F6" s="3845"/>
      <c r="G6" s="3842" t="s">
        <v>3347</v>
      </c>
      <c r="H6" s="3843"/>
      <c r="I6" s="3842" t="s">
        <v>3347</v>
      </c>
      <c r="J6" s="3843"/>
      <c r="K6" s="3372" t="s">
        <v>3348</v>
      </c>
      <c r="L6" s="3366"/>
      <c r="M6" s="3367"/>
      <c r="N6" s="3367"/>
      <c r="O6" s="3367"/>
      <c r="P6" s="3835"/>
      <c r="Q6" s="3836"/>
      <c r="R6" s="3819"/>
      <c r="S6" s="3820"/>
      <c r="T6" s="3821"/>
      <c r="U6" s="3822"/>
      <c r="V6" s="3816"/>
      <c r="W6" s="3816"/>
      <c r="X6" s="3368"/>
      <c r="Y6" s="3821"/>
      <c r="Z6" s="3822"/>
      <c r="AA6" s="3825"/>
      <c r="AB6" s="3825"/>
      <c r="AC6" s="3825"/>
    </row>
    <row r="7" spans="1:29" s="3389" customFormat="1" ht="15.7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813" t="s">
        <v>3350</v>
      </c>
      <c r="Q7" s="3826"/>
      <c r="R7" s="3385" t="s">
        <v>3351</v>
      </c>
      <c r="S7" s="3386">
        <f t="shared" ref="S7:S15" si="0">F7</f>
        <v>100</v>
      </c>
      <c r="T7" s="3385" t="s">
        <v>3351</v>
      </c>
      <c r="U7" s="3386">
        <f t="shared" ref="U7:U15" si="1">H7</f>
        <v>100</v>
      </c>
      <c r="V7" s="3385" t="s">
        <v>3351</v>
      </c>
      <c r="W7" s="3386">
        <f t="shared" ref="W7:W15" si="2">J7</f>
        <v>100</v>
      </c>
      <c r="X7" s="3387"/>
      <c r="Y7" s="3813" t="s">
        <v>3350</v>
      </c>
      <c r="Z7" s="3814"/>
      <c r="AA7" s="3388">
        <f>D7/F7</f>
        <v>1</v>
      </c>
      <c r="AB7" s="3388">
        <f>D7/H7</f>
        <v>1</v>
      </c>
      <c r="AC7" s="3388">
        <f>D7/J7</f>
        <v>1</v>
      </c>
    </row>
    <row r="8" spans="1:29" s="3389" customFormat="1" ht="15.7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13" t="s">
        <v>3354</v>
      </c>
      <c r="Q8" s="3814"/>
      <c r="R8" s="3385" t="s">
        <v>3355</v>
      </c>
      <c r="S8" s="3386">
        <f t="shared" si="0"/>
        <v>100</v>
      </c>
      <c r="T8" s="3385" t="s">
        <v>3355</v>
      </c>
      <c r="U8" s="3386">
        <f t="shared" si="1"/>
        <v>100</v>
      </c>
      <c r="V8" s="3385" t="s">
        <v>3355</v>
      </c>
      <c r="W8" s="3386">
        <f t="shared" si="2"/>
        <v>100</v>
      </c>
      <c r="X8" s="3387"/>
      <c r="Y8" s="3813" t="s">
        <v>3354</v>
      </c>
      <c r="Z8" s="3814"/>
      <c r="AA8" s="3388">
        <f t="shared" ref="AA8:AA46" si="3">D8/F8</f>
        <v>1</v>
      </c>
      <c r="AB8" s="3388">
        <f t="shared" ref="AB8:AB46" si="4">D8/H8</f>
        <v>1</v>
      </c>
      <c r="AC8" s="3388">
        <f t="shared" ref="AC8:AC46" si="5">D8/J8</f>
        <v>1</v>
      </c>
    </row>
    <row r="9" spans="1:29" s="3389" customFormat="1" ht="15">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03" t="s">
        <v>535</v>
      </c>
      <c r="Q9" s="3402" t="str">
        <f t="shared" ref="Q9:Q15" si="6">B9</f>
        <v>用途</v>
      </c>
      <c r="R9" s="3385" t="s">
        <v>3355</v>
      </c>
      <c r="S9" s="3386">
        <f t="shared" si="0"/>
        <v>100</v>
      </c>
      <c r="T9" s="3385" t="s">
        <v>3355</v>
      </c>
      <c r="U9" s="3386">
        <f t="shared" si="1"/>
        <v>100</v>
      </c>
      <c r="V9" s="3385" t="s">
        <v>3355</v>
      </c>
      <c r="W9" s="3386">
        <f t="shared" si="2"/>
        <v>100</v>
      </c>
      <c r="X9" s="3387"/>
      <c r="Y9" s="3815" t="s">
        <v>3358</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03"/>
      <c r="Q10" s="3402" t="str">
        <f t="shared" si="6"/>
        <v>土地使用年限（年）</v>
      </c>
      <c r="R10" s="3385" t="s">
        <v>8</v>
      </c>
      <c r="S10" s="3386">
        <f t="shared" si="0"/>
        <v>100</v>
      </c>
      <c r="T10" s="3385" t="s">
        <v>8</v>
      </c>
      <c r="U10" s="3386">
        <f t="shared" si="1"/>
        <v>100</v>
      </c>
      <c r="V10" s="3385" t="s">
        <v>8</v>
      </c>
      <c r="W10" s="3386">
        <f t="shared" si="2"/>
        <v>100</v>
      </c>
      <c r="X10" s="3387"/>
      <c r="Y10" s="3815"/>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03"/>
      <c r="Q11" s="3402" t="str">
        <f t="shared" si="6"/>
        <v>容积率</v>
      </c>
      <c r="R11" s="3385" t="s">
        <v>3351</v>
      </c>
      <c r="S11" s="3386" t="e">
        <f t="shared" si="0"/>
        <v>#REF!</v>
      </c>
      <c r="T11" s="3385" t="s">
        <v>3351</v>
      </c>
      <c r="U11" s="3386" t="e">
        <f t="shared" si="1"/>
        <v>#REF!</v>
      </c>
      <c r="V11" s="3385" t="s">
        <v>3351</v>
      </c>
      <c r="W11" s="3386" t="e">
        <f t="shared" si="2"/>
        <v>#REF!</v>
      </c>
      <c r="X11" s="3387"/>
      <c r="Y11" s="3815"/>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03"/>
      <c r="Q12" s="3402">
        <f t="shared" si="6"/>
        <v>111</v>
      </c>
      <c r="R12" s="3385" t="s">
        <v>3351</v>
      </c>
      <c r="S12" s="3386">
        <f t="shared" si="0"/>
        <v>100</v>
      </c>
      <c r="T12" s="3385" t="s">
        <v>3351</v>
      </c>
      <c r="U12" s="3386">
        <f t="shared" si="1"/>
        <v>100</v>
      </c>
      <c r="V12" s="3385" t="s">
        <v>3351</v>
      </c>
      <c r="W12" s="3386">
        <f t="shared" si="2"/>
        <v>100</v>
      </c>
      <c r="X12" s="3387"/>
      <c r="Y12" s="3815"/>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03"/>
      <c r="Q13" s="3402">
        <f t="shared" si="6"/>
        <v>111</v>
      </c>
      <c r="R13" s="3385" t="s">
        <v>3351</v>
      </c>
      <c r="S13" s="3386">
        <f t="shared" si="0"/>
        <v>100</v>
      </c>
      <c r="T13" s="3385" t="s">
        <v>3351</v>
      </c>
      <c r="U13" s="3386">
        <f t="shared" si="1"/>
        <v>100</v>
      </c>
      <c r="V13" s="3385" t="s">
        <v>3351</v>
      </c>
      <c r="W13" s="3386">
        <f t="shared" si="2"/>
        <v>100</v>
      </c>
      <c r="X13" s="3387"/>
      <c r="Y13" s="3815"/>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03"/>
      <c r="Q14" s="3402">
        <f t="shared" si="6"/>
        <v>111</v>
      </c>
      <c r="R14" s="3385" t="s">
        <v>3351</v>
      </c>
      <c r="S14" s="3386">
        <f t="shared" si="0"/>
        <v>100</v>
      </c>
      <c r="T14" s="3385" t="s">
        <v>3351</v>
      </c>
      <c r="U14" s="3386">
        <f t="shared" si="1"/>
        <v>100</v>
      </c>
      <c r="V14" s="3385" t="s">
        <v>3351</v>
      </c>
      <c r="W14" s="3386">
        <f t="shared" si="2"/>
        <v>100</v>
      </c>
      <c r="X14" s="3387"/>
      <c r="Y14" s="3815"/>
      <c r="Z14" s="3403">
        <f t="shared" si="7"/>
        <v>111</v>
      </c>
      <c r="AA14" s="3388">
        <f t="shared" si="3"/>
        <v>1</v>
      </c>
      <c r="AB14" s="3388">
        <f t="shared" si="4"/>
        <v>1</v>
      </c>
      <c r="AC14" s="3388">
        <f t="shared" si="5"/>
        <v>1</v>
      </c>
    </row>
    <row r="15" spans="1:29" ht="81">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08" t="s">
        <v>3363</v>
      </c>
      <c r="Q15" s="3441" t="str">
        <f t="shared" si="6"/>
        <v>居住社区成熟度</v>
      </c>
      <c r="R15" s="3442" t="s">
        <v>3351</v>
      </c>
      <c r="S15" s="3443">
        <f t="shared" si="0"/>
        <v>100</v>
      </c>
      <c r="T15" s="3442" t="s">
        <v>3351</v>
      </c>
      <c r="U15" s="3443">
        <f t="shared" si="1"/>
        <v>100</v>
      </c>
      <c r="V15" s="3442" t="s">
        <v>3351</v>
      </c>
      <c r="W15" s="3443">
        <f t="shared" si="2"/>
        <v>100</v>
      </c>
      <c r="X15" s="3368"/>
      <c r="Y15" s="3808"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09"/>
      <c r="Q16" s="3441"/>
      <c r="R16" s="3442"/>
      <c r="S16" s="3443"/>
      <c r="T16" s="3442"/>
      <c r="U16" s="3443"/>
      <c r="V16" s="3442"/>
      <c r="W16" s="3443"/>
      <c r="X16" s="3368"/>
      <c r="Y16" s="3809"/>
      <c r="Z16" s="3444"/>
      <c r="AA16" s="3445">
        <v>1</v>
      </c>
      <c r="AB16" s="3445">
        <v>1</v>
      </c>
      <c r="AC16" s="3445">
        <v>1</v>
      </c>
    </row>
    <row r="17" spans="1:29" ht="123">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09"/>
      <c r="Q17" s="3441" t="str">
        <f>B17</f>
        <v>交通便捷度</v>
      </c>
      <c r="R17" s="3442" t="s">
        <v>3367</v>
      </c>
      <c r="S17" s="3443">
        <f>F17</f>
        <v>100</v>
      </c>
      <c r="T17" s="3442" t="s">
        <v>3351</v>
      </c>
      <c r="U17" s="3443">
        <f>H17</f>
        <v>100</v>
      </c>
      <c r="V17" s="3442" t="s">
        <v>3351</v>
      </c>
      <c r="W17" s="3443">
        <f>J17</f>
        <v>100</v>
      </c>
      <c r="X17" s="3368"/>
      <c r="Y17" s="3809"/>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09"/>
      <c r="Q18" s="3441"/>
      <c r="R18" s="3442"/>
      <c r="S18" s="3443"/>
      <c r="T18" s="3442"/>
      <c r="U18" s="3443"/>
      <c r="V18" s="3442"/>
      <c r="W18" s="3443"/>
      <c r="X18" s="3368"/>
      <c r="Y18" s="3809"/>
      <c r="Z18" s="3444"/>
      <c r="AA18" s="3445">
        <v>1</v>
      </c>
      <c r="AB18" s="3445">
        <v>1</v>
      </c>
      <c r="AC18" s="3445">
        <v>1</v>
      </c>
    </row>
    <row r="19" spans="1:29" ht="149.25">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09"/>
      <c r="Q19" s="3441" t="str">
        <f>B19</f>
        <v>公共配套设施</v>
      </c>
      <c r="R19" s="3442" t="s">
        <v>3351</v>
      </c>
      <c r="S19" s="3443">
        <f>F19</f>
        <v>100</v>
      </c>
      <c r="T19" s="3442" t="s">
        <v>3351</v>
      </c>
      <c r="U19" s="3443">
        <f>H19</f>
        <v>102</v>
      </c>
      <c r="V19" s="3442" t="s">
        <v>3351</v>
      </c>
      <c r="W19" s="3443">
        <f>J19</f>
        <v>102</v>
      </c>
      <c r="X19" s="3368"/>
      <c r="Y19" s="3809"/>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09"/>
      <c r="Q20" s="3441"/>
      <c r="R20" s="3442"/>
      <c r="S20" s="3443"/>
      <c r="T20" s="3442"/>
      <c r="U20" s="3443"/>
      <c r="V20" s="3442"/>
      <c r="W20" s="3443"/>
      <c r="X20" s="3368"/>
      <c r="Y20" s="3809"/>
      <c r="Z20" s="3444"/>
      <c r="AA20" s="3445">
        <v>1</v>
      </c>
      <c r="AB20" s="3445">
        <v>1</v>
      </c>
      <c r="AC20" s="3445">
        <v>1</v>
      </c>
    </row>
    <row r="21" spans="1:29" ht="28.5">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09"/>
      <c r="Q21" s="3441" t="str">
        <f>B21</f>
        <v>基础设施水平</v>
      </c>
      <c r="R21" s="3442" t="s">
        <v>3351</v>
      </c>
      <c r="S21" s="3443">
        <f>F21</f>
        <v>100</v>
      </c>
      <c r="T21" s="3442" t="s">
        <v>3351</v>
      </c>
      <c r="U21" s="3443">
        <f>H21</f>
        <v>100</v>
      </c>
      <c r="V21" s="3442" t="s">
        <v>3351</v>
      </c>
      <c r="W21" s="3443">
        <f>J21</f>
        <v>100</v>
      </c>
      <c r="X21" s="3368"/>
      <c r="Y21" s="3809"/>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09"/>
      <c r="Q22" s="3441"/>
      <c r="R22" s="3442"/>
      <c r="S22" s="3443"/>
      <c r="T22" s="3442"/>
      <c r="U22" s="3443"/>
      <c r="V22" s="3442"/>
      <c r="W22" s="3443"/>
      <c r="X22" s="3368"/>
      <c r="Y22" s="3809"/>
      <c r="Z22" s="3444"/>
      <c r="AA22" s="3445">
        <v>1</v>
      </c>
      <c r="AB22" s="3445">
        <v>1</v>
      </c>
      <c r="AC22" s="3445">
        <v>1</v>
      </c>
    </row>
    <row r="23" spans="1:29" ht="81">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09"/>
      <c r="Q23" s="3441" t="str">
        <f>B23</f>
        <v>自然及人文环境</v>
      </c>
      <c r="R23" s="3442" t="s">
        <v>3351</v>
      </c>
      <c r="S23" s="3443">
        <f>F23</f>
        <v>98</v>
      </c>
      <c r="T23" s="3442" t="s">
        <v>3351</v>
      </c>
      <c r="U23" s="3443">
        <f>H23</f>
        <v>100</v>
      </c>
      <c r="V23" s="3442" t="s">
        <v>3351</v>
      </c>
      <c r="W23" s="3443">
        <f>J23</f>
        <v>100</v>
      </c>
      <c r="X23" s="3368"/>
      <c r="Y23" s="3809"/>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09"/>
      <c r="Q24" s="3441"/>
      <c r="R24" s="3442"/>
      <c r="S24" s="3443"/>
      <c r="T24" s="3442"/>
      <c r="U24" s="3443"/>
      <c r="V24" s="3442"/>
      <c r="W24" s="3443"/>
      <c r="X24" s="3368"/>
      <c r="Y24" s="3809"/>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09"/>
      <c r="Q25" s="3441" t="str">
        <f t="shared" ref="Q25:Q46" si="11">B25</f>
        <v>楼层-1</v>
      </c>
      <c r="R25" s="3442" t="s">
        <v>3351</v>
      </c>
      <c r="S25" s="3443">
        <f>F25</f>
        <v>100</v>
      </c>
      <c r="T25" s="3442" t="s">
        <v>3351</v>
      </c>
      <c r="U25" s="3443">
        <f>H25</f>
        <v>100</v>
      </c>
      <c r="V25" s="3442" t="s">
        <v>3351</v>
      </c>
      <c r="W25" s="3443">
        <f>J25</f>
        <v>100</v>
      </c>
      <c r="X25" s="3368"/>
      <c r="Y25" s="3809"/>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09"/>
      <c r="Q26" s="3441" t="str">
        <f t="shared" si="11"/>
        <v>朝向</v>
      </c>
      <c r="R26" s="3442" t="s">
        <v>3351</v>
      </c>
      <c r="S26" s="3443">
        <f>F26</f>
        <v>100</v>
      </c>
      <c r="T26" s="3442" t="s">
        <v>3351</v>
      </c>
      <c r="U26" s="3443">
        <f>H26</f>
        <v>100</v>
      </c>
      <c r="V26" s="3442" t="s">
        <v>3351</v>
      </c>
      <c r="W26" s="3443">
        <f>J26</f>
        <v>100</v>
      </c>
      <c r="X26" s="3368"/>
      <c r="Y26" s="3809"/>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09"/>
      <c r="Q27" s="3402" t="str">
        <f t="shared" si="11"/>
        <v>道路级别</v>
      </c>
      <c r="R27" s="3385" t="s">
        <v>3351</v>
      </c>
      <c r="S27" s="3386">
        <f>F27</f>
        <v>101</v>
      </c>
      <c r="T27" s="3385" t="s">
        <v>3351</v>
      </c>
      <c r="U27" s="3386">
        <f>H27</f>
        <v>101</v>
      </c>
      <c r="V27" s="3385" t="s">
        <v>3351</v>
      </c>
      <c r="W27" s="3386">
        <f>J27</f>
        <v>99</v>
      </c>
      <c r="X27" s="3387"/>
      <c r="Y27" s="3809"/>
      <c r="Z27" s="3403" t="str">
        <f>Q27</f>
        <v>道路级别</v>
      </c>
      <c r="AA27" s="3445">
        <f>D27/F27</f>
        <v>0.99009900990099009</v>
      </c>
      <c r="AB27" s="3445">
        <f>D27/H27</f>
        <v>0.99009900990099009</v>
      </c>
      <c r="AC27" s="3445">
        <f>D27/J27</f>
        <v>1.0101010101010102</v>
      </c>
    </row>
    <row r="28" spans="1:29" ht="15">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09"/>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09"/>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09"/>
      <c r="Q29" s="3441">
        <f t="shared" si="11"/>
        <v>111</v>
      </c>
      <c r="R29" s="3442" t="s">
        <v>3351</v>
      </c>
      <c r="S29" s="3443">
        <f t="shared" si="12"/>
        <v>100</v>
      </c>
      <c r="T29" s="3442" t="s">
        <v>3351</v>
      </c>
      <c r="U29" s="3443">
        <f t="shared" si="13"/>
        <v>100</v>
      </c>
      <c r="V29" s="3442" t="s">
        <v>3351</v>
      </c>
      <c r="W29" s="3443">
        <f t="shared" si="14"/>
        <v>100</v>
      </c>
      <c r="X29" s="3368"/>
      <c r="Y29" s="3809"/>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09"/>
      <c r="Q30" s="3441">
        <f t="shared" si="11"/>
        <v>111</v>
      </c>
      <c r="R30" s="3442" t="s">
        <v>3351</v>
      </c>
      <c r="S30" s="3443">
        <f t="shared" si="12"/>
        <v>100</v>
      </c>
      <c r="T30" s="3442" t="s">
        <v>3351</v>
      </c>
      <c r="U30" s="3443">
        <f t="shared" si="13"/>
        <v>100</v>
      </c>
      <c r="V30" s="3442" t="s">
        <v>3351</v>
      </c>
      <c r="W30" s="3443">
        <f t="shared" si="14"/>
        <v>100</v>
      </c>
      <c r="X30" s="3368"/>
      <c r="Y30" s="3809"/>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09"/>
      <c r="Q31" s="3441">
        <f t="shared" si="11"/>
        <v>111</v>
      </c>
      <c r="R31" s="3442" t="s">
        <v>3351</v>
      </c>
      <c r="S31" s="3443">
        <f t="shared" si="12"/>
        <v>100</v>
      </c>
      <c r="T31" s="3442" t="s">
        <v>3351</v>
      </c>
      <c r="U31" s="3443">
        <f t="shared" si="13"/>
        <v>100</v>
      </c>
      <c r="V31" s="3442" t="s">
        <v>3351</v>
      </c>
      <c r="W31" s="3443">
        <f t="shared" si="14"/>
        <v>100</v>
      </c>
      <c r="X31" s="3368"/>
      <c r="Y31" s="3809"/>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10" t="s">
        <v>3386</v>
      </c>
      <c r="Q32" s="3441" t="str">
        <f t="shared" si="11"/>
        <v>建筑类型</v>
      </c>
      <c r="R32" s="3442" t="s">
        <v>3351</v>
      </c>
      <c r="S32" s="3443">
        <f t="shared" si="12"/>
        <v>100</v>
      </c>
      <c r="T32" s="3442" t="s">
        <v>3351</v>
      </c>
      <c r="U32" s="3443">
        <f t="shared" si="13"/>
        <v>100</v>
      </c>
      <c r="V32" s="3442" t="s">
        <v>3351</v>
      </c>
      <c r="W32" s="3443">
        <f t="shared" si="14"/>
        <v>100</v>
      </c>
      <c r="X32" s="3368"/>
      <c r="Y32" s="3811"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11"/>
      <c r="Q33" s="3501" t="str">
        <f t="shared" si="11"/>
        <v>项目建筑规模</v>
      </c>
      <c r="R33" s="3502" t="s">
        <v>3351</v>
      </c>
      <c r="S33" s="3503">
        <f t="shared" si="12"/>
        <v>100</v>
      </c>
      <c r="T33" s="3502" t="s">
        <v>3351</v>
      </c>
      <c r="U33" s="3503">
        <f t="shared" si="13"/>
        <v>100</v>
      </c>
      <c r="V33" s="3502" t="s">
        <v>3351</v>
      </c>
      <c r="W33" s="3503">
        <f t="shared" si="14"/>
        <v>100</v>
      </c>
      <c r="X33" s="3504"/>
      <c r="Y33" s="3811"/>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11"/>
      <c r="Q34" s="3441" t="str">
        <f t="shared" si="11"/>
        <v>建筑结构</v>
      </c>
      <c r="R34" s="3442" t="s">
        <v>3351</v>
      </c>
      <c r="S34" s="3443">
        <f t="shared" si="12"/>
        <v>100</v>
      </c>
      <c r="T34" s="3442" t="s">
        <v>3351</v>
      </c>
      <c r="U34" s="3443">
        <f t="shared" si="13"/>
        <v>100</v>
      </c>
      <c r="V34" s="3442" t="s">
        <v>3351</v>
      </c>
      <c r="W34" s="3443">
        <f t="shared" si="14"/>
        <v>100</v>
      </c>
      <c r="X34" s="3368"/>
      <c r="Y34" s="3811"/>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11"/>
      <c r="Q35" s="3441" t="str">
        <f t="shared" si="11"/>
        <v>建筑品质</v>
      </c>
      <c r="R35" s="3442" t="s">
        <v>3351</v>
      </c>
      <c r="S35" s="3443">
        <f t="shared" si="12"/>
        <v>100</v>
      </c>
      <c r="T35" s="3442" t="s">
        <v>3351</v>
      </c>
      <c r="U35" s="3443">
        <f t="shared" si="13"/>
        <v>100</v>
      </c>
      <c r="V35" s="3442" t="s">
        <v>3351</v>
      </c>
      <c r="W35" s="3443">
        <f t="shared" si="14"/>
        <v>100</v>
      </c>
      <c r="X35" s="3368"/>
      <c r="Y35" s="3811"/>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11"/>
      <c r="Q36" s="3441" t="str">
        <f t="shared" si="11"/>
        <v>公共部分装修</v>
      </c>
      <c r="R36" s="3442" t="s">
        <v>3351</v>
      </c>
      <c r="S36" s="3443">
        <f t="shared" si="12"/>
        <v>100</v>
      </c>
      <c r="T36" s="3442" t="s">
        <v>3351</v>
      </c>
      <c r="U36" s="3443">
        <f t="shared" si="13"/>
        <v>100</v>
      </c>
      <c r="V36" s="3442" t="s">
        <v>3351</v>
      </c>
      <c r="W36" s="3443">
        <f t="shared" si="14"/>
        <v>100</v>
      </c>
      <c r="X36" s="3368"/>
      <c r="Y36" s="3811"/>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11"/>
      <c r="Q37" s="3402" t="str">
        <f t="shared" si="11"/>
        <v>成新度</v>
      </c>
      <c r="R37" s="3385" t="s">
        <v>3351</v>
      </c>
      <c r="S37" s="3386">
        <f t="shared" si="12"/>
        <v>100</v>
      </c>
      <c r="T37" s="3385" t="s">
        <v>3351</v>
      </c>
      <c r="U37" s="3386">
        <f t="shared" si="13"/>
        <v>100</v>
      </c>
      <c r="V37" s="3385" t="s">
        <v>3351</v>
      </c>
      <c r="W37" s="3386">
        <f t="shared" si="14"/>
        <v>100</v>
      </c>
      <c r="X37" s="3387"/>
      <c r="Y37" s="3811"/>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11" t="s">
        <v>3386</v>
      </c>
      <c r="Q38" s="3441" t="str">
        <f t="shared" si="11"/>
        <v>物业管理</v>
      </c>
      <c r="R38" s="3442" t="s">
        <v>3351</v>
      </c>
      <c r="S38" s="3443">
        <f t="shared" si="12"/>
        <v>100</v>
      </c>
      <c r="T38" s="3442" t="s">
        <v>3351</v>
      </c>
      <c r="U38" s="3443">
        <f t="shared" si="13"/>
        <v>100</v>
      </c>
      <c r="V38" s="3442" t="s">
        <v>3351</v>
      </c>
      <c r="W38" s="3443">
        <f t="shared" si="14"/>
        <v>100</v>
      </c>
      <c r="X38" s="3368"/>
      <c r="Y38" s="3811"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11"/>
      <c r="Q39" s="3441" t="str">
        <f t="shared" si="11"/>
        <v>市政基础设施</v>
      </c>
      <c r="R39" s="3442" t="s">
        <v>3351</v>
      </c>
      <c r="S39" s="3443">
        <f t="shared" si="12"/>
        <v>100</v>
      </c>
      <c r="T39" s="3442" t="s">
        <v>3351</v>
      </c>
      <c r="U39" s="3443">
        <f t="shared" si="13"/>
        <v>100</v>
      </c>
      <c r="V39" s="3442" t="s">
        <v>3351</v>
      </c>
      <c r="W39" s="3443">
        <f t="shared" si="14"/>
        <v>100</v>
      </c>
      <c r="X39" s="3368"/>
      <c r="Y39" s="3811"/>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11"/>
      <c r="Q40" s="3441" t="str">
        <f t="shared" si="11"/>
        <v>房型</v>
      </c>
      <c r="R40" s="3442" t="s">
        <v>3351</v>
      </c>
      <c r="S40" s="3443">
        <f t="shared" si="12"/>
        <v>100</v>
      </c>
      <c r="T40" s="3442" t="s">
        <v>3351</v>
      </c>
      <c r="U40" s="3443">
        <f t="shared" si="13"/>
        <v>100</v>
      </c>
      <c r="V40" s="3442" t="s">
        <v>3351</v>
      </c>
      <c r="W40" s="3443">
        <f t="shared" si="14"/>
        <v>100</v>
      </c>
      <c r="X40" s="3368"/>
      <c r="Y40" s="3811"/>
      <c r="Z40" s="3444" t="str">
        <f t="shared" si="15"/>
        <v>房型</v>
      </c>
      <c r="AA40" s="3445">
        <f t="shared" si="3"/>
        <v>1</v>
      </c>
      <c r="AB40" s="3445">
        <f t="shared" si="4"/>
        <v>1</v>
      </c>
      <c r="AC40" s="3445">
        <f t="shared" si="5"/>
        <v>1</v>
      </c>
    </row>
    <row r="41" spans="1:29" s="3506" customFormat="1" ht="28.5">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11"/>
      <c r="Q41" s="3501" t="str">
        <f t="shared" si="11"/>
        <v>单套/主力户型建筑面积</v>
      </c>
      <c r="R41" s="3502" t="s">
        <v>8</v>
      </c>
      <c r="S41" s="3503">
        <f t="shared" si="12"/>
        <v>98</v>
      </c>
      <c r="T41" s="3502" t="s">
        <v>8</v>
      </c>
      <c r="U41" s="3503">
        <f t="shared" si="13"/>
        <v>100</v>
      </c>
      <c r="V41" s="3502" t="s">
        <v>8</v>
      </c>
      <c r="W41" s="3503">
        <f t="shared" si="14"/>
        <v>96</v>
      </c>
      <c r="X41" s="3504"/>
      <c r="Y41" s="3811"/>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11"/>
      <c r="Q42" s="3441" t="str">
        <f t="shared" si="11"/>
        <v>内部装修</v>
      </c>
      <c r="R42" s="3442" t="s">
        <v>3351</v>
      </c>
      <c r="S42" s="3443">
        <f t="shared" si="12"/>
        <v>100</v>
      </c>
      <c r="T42" s="3442" t="s">
        <v>3351</v>
      </c>
      <c r="U42" s="3443">
        <f t="shared" si="13"/>
        <v>100</v>
      </c>
      <c r="V42" s="3442" t="s">
        <v>3351</v>
      </c>
      <c r="W42" s="3443">
        <f t="shared" si="14"/>
        <v>100</v>
      </c>
      <c r="X42" s="3368"/>
      <c r="Y42" s="3811"/>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11"/>
      <c r="Q43" s="3441" t="str">
        <f t="shared" si="11"/>
        <v>内部装修维护情况</v>
      </c>
      <c r="R43" s="3442" t="s">
        <v>3351</v>
      </c>
      <c r="S43" s="3443">
        <f t="shared" si="12"/>
        <v>100</v>
      </c>
      <c r="T43" s="3442" t="s">
        <v>3351</v>
      </c>
      <c r="U43" s="3443">
        <f t="shared" si="13"/>
        <v>100</v>
      </c>
      <c r="V43" s="3442" t="s">
        <v>3351</v>
      </c>
      <c r="W43" s="3443">
        <f t="shared" si="14"/>
        <v>100</v>
      </c>
      <c r="X43" s="3368"/>
      <c r="Y43" s="3811"/>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11"/>
      <c r="Q44" s="3402">
        <f t="shared" si="11"/>
        <v>111</v>
      </c>
      <c r="R44" s="3385" t="s">
        <v>3351</v>
      </c>
      <c r="S44" s="3386">
        <f t="shared" si="12"/>
        <v>100</v>
      </c>
      <c r="T44" s="3385" t="s">
        <v>3351</v>
      </c>
      <c r="U44" s="3386">
        <f t="shared" si="13"/>
        <v>100</v>
      </c>
      <c r="V44" s="3385" t="s">
        <v>3351</v>
      </c>
      <c r="W44" s="3386">
        <f t="shared" si="14"/>
        <v>100</v>
      </c>
      <c r="X44" s="3387"/>
      <c r="Y44" s="3811"/>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11"/>
      <c r="Q45" s="3441">
        <f t="shared" si="11"/>
        <v>111</v>
      </c>
      <c r="R45" s="3442" t="s">
        <v>3351</v>
      </c>
      <c r="S45" s="3443">
        <f t="shared" si="12"/>
        <v>100</v>
      </c>
      <c r="T45" s="3442" t="s">
        <v>3351</v>
      </c>
      <c r="U45" s="3443">
        <f t="shared" si="13"/>
        <v>100</v>
      </c>
      <c r="V45" s="3442" t="s">
        <v>3351</v>
      </c>
      <c r="W45" s="3443">
        <f t="shared" si="14"/>
        <v>100</v>
      </c>
      <c r="X45" s="3368"/>
      <c r="Y45" s="3811"/>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12"/>
      <c r="Q46" s="3441">
        <f t="shared" si="11"/>
        <v>111</v>
      </c>
      <c r="R46" s="3442" t="s">
        <v>3351</v>
      </c>
      <c r="S46" s="3443">
        <f t="shared" si="12"/>
        <v>100</v>
      </c>
      <c r="T46" s="3442" t="s">
        <v>3351</v>
      </c>
      <c r="U46" s="3443">
        <f t="shared" si="13"/>
        <v>100</v>
      </c>
      <c r="V46" s="3442" t="s">
        <v>3351</v>
      </c>
      <c r="W46" s="3443">
        <f t="shared" si="14"/>
        <v>100</v>
      </c>
      <c r="X46" s="3368"/>
      <c r="Y46" s="3812"/>
      <c r="Z46" s="3444">
        <f t="shared" si="15"/>
        <v>111</v>
      </c>
      <c r="AA46" s="3445">
        <f t="shared" si="3"/>
        <v>1</v>
      </c>
      <c r="AB46" s="3445">
        <f t="shared" si="4"/>
        <v>1</v>
      </c>
      <c r="AC46" s="3445">
        <f t="shared" si="5"/>
        <v>1</v>
      </c>
    </row>
    <row r="47" spans="1:29" ht="15">
      <c r="A47" s="3518" t="s">
        <v>3390</v>
      </c>
      <c r="B47" s="3519"/>
      <c r="C47" s="3520" t="s">
        <v>3391</v>
      </c>
      <c r="D47" s="3521"/>
      <c r="E47" s="3522">
        <v>13000</v>
      </c>
      <c r="F47" s="3523"/>
      <c r="G47" s="3524">
        <v>13500</v>
      </c>
      <c r="H47" s="3525"/>
      <c r="I47" s="3522">
        <v>15000</v>
      </c>
      <c r="J47" s="3525"/>
      <c r="K47" s="3526"/>
      <c r="L47" s="3527"/>
      <c r="M47" s="3528"/>
      <c r="N47" s="3367"/>
      <c r="O47" s="3528"/>
      <c r="P47" s="3803" t="str">
        <f>A47</f>
        <v>成交单价（元/平方米）</v>
      </c>
      <c r="Q47" s="3803"/>
      <c r="R47" s="3804">
        <f>E47</f>
        <v>13000</v>
      </c>
      <c r="S47" s="3804"/>
      <c r="T47" s="3804">
        <f>G47</f>
        <v>13500</v>
      </c>
      <c r="U47" s="3804"/>
      <c r="V47" s="3804">
        <f>I47</f>
        <v>15000</v>
      </c>
      <c r="W47" s="3804"/>
      <c r="X47" s="3529"/>
      <c r="Y47" s="3530"/>
      <c r="Z47" s="3529"/>
      <c r="AA47" s="3529"/>
      <c r="AB47" s="3529"/>
      <c r="AC47" s="3529"/>
    </row>
    <row r="48" spans="1:29" ht="15.7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03" t="str">
        <f>A48</f>
        <v>比较价格（元/平方米）</v>
      </c>
      <c r="Q48" s="3803"/>
      <c r="R48" s="3804" t="e">
        <f>IF(F1="售价",ROUND(PRODUCT(R47,AA7:AA46),0),ROUND(PRODUCT(R47,AA7:AA46),1))</f>
        <v>#REF!</v>
      </c>
      <c r="S48" s="3804"/>
      <c r="T48" s="3804" t="e">
        <f>IF(F1="售价",ROUND(PRODUCT(T47,AB7:AB46),0),ROUND(PRODUCT(T47,AB7:AB46),1))</f>
        <v>#REF!</v>
      </c>
      <c r="U48" s="3804"/>
      <c r="V48" s="3804" t="e">
        <f>IF(F1="售价",ROUND(PRODUCT(V47,AC7:AC46),0),ROUND(PRODUCT(V47,AC7:AC46),1))</f>
        <v>#REF!</v>
      </c>
      <c r="W48" s="3804"/>
      <c r="X48" s="3529"/>
      <c r="Y48" s="3529"/>
      <c r="Z48" s="3529"/>
      <c r="AA48" s="3529"/>
      <c r="AB48" s="3529"/>
      <c r="AC48" s="3529"/>
    </row>
    <row r="49" spans="1:29" ht="15.75" thickBot="1">
      <c r="A49" s="3537" t="s">
        <v>3393</v>
      </c>
      <c r="B49" s="3538"/>
      <c r="C49" s="3539" t="e">
        <f>R49</f>
        <v>#REF!</v>
      </c>
      <c r="D49" s="3539"/>
      <c r="E49" s="3539"/>
      <c r="F49" s="3539"/>
      <c r="G49" s="3539"/>
      <c r="H49" s="3539"/>
      <c r="I49" s="3539"/>
      <c r="J49" s="3539"/>
      <c r="K49" s="3540"/>
      <c r="L49" s="3527"/>
      <c r="M49" s="3528"/>
      <c r="N49" s="3528"/>
      <c r="O49" s="3528"/>
      <c r="P49" s="3805" t="str">
        <f>A49</f>
        <v>估价对象XX用房的比较价格（楼面单价，元/平方米）</v>
      </c>
      <c r="Q49" s="3806"/>
      <c r="R49" s="3807" t="e">
        <f>IF(F1="售价",ROUND(AVERAGE(R48:V48),0),ROUND(AVERAGE(R48:V48),1))</f>
        <v>#REF!</v>
      </c>
      <c r="S49" s="3807"/>
      <c r="T49" s="3807"/>
      <c r="U49" s="3807"/>
      <c r="V49" s="3807"/>
      <c r="W49" s="3807"/>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三块地面积表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2019-07-25T08:38:48Z</dcterms:modified>
</cp:coreProperties>
</file>