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基础数据" sheetId="1" r:id="rId1"/>
    <sheet name="历史运营" sheetId="2" r:id="rId2"/>
    <sheet name="取费表" sheetId="9" r:id="rId3"/>
    <sheet name="Sheet1" sheetId="11" r:id="rId4"/>
    <sheet name="结果表" sheetId="6" r:id="rId5"/>
    <sheet name="商业现金流" sheetId="3" r:id="rId6"/>
    <sheet name="办公现金流" sheetId="10" r:id="rId7"/>
    <sheet name="车库现金流" sheetId="5" r:id="rId8"/>
    <sheet name="物业等其他收入" sheetId="7" r:id="rId9"/>
  </sheets>
  <externalReferences>
    <externalReference r:id="rId10"/>
  </externalReferences>
  <definedNames>
    <definedName name="_xlnm._FilterDatabase" localSheetId="6" hidden="1">办公现金流!$H$1:$H$124</definedName>
    <definedName name="_xlnm._FilterDatabase" localSheetId="5" hidden="1">商业现金流!$A$1:$CP$34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1" l="1"/>
  <c r="H14" i="11"/>
  <c r="D14" i="11"/>
  <c r="B2" i="11"/>
  <c r="B1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I14" i="11"/>
  <c r="C14" i="11"/>
  <c r="B14" i="11"/>
  <c r="B8" i="11"/>
  <c r="D8" i="11" s="1"/>
  <c r="B6" i="11"/>
  <c r="D6" i="11" s="1"/>
  <c r="B3" i="11"/>
  <c r="C8" i="11" l="1"/>
  <c r="C6" i="11"/>
  <c r="E14" i="11" l="1"/>
  <c r="F14" i="11"/>
  <c r="B5" i="11"/>
  <c r="C5" i="11" l="1"/>
  <c r="D5" i="11"/>
  <c r="B7" i="11"/>
  <c r="C7" i="11" l="1"/>
  <c r="D7" i="11"/>
  <c r="G10" i="6" l="1"/>
  <c r="F11" i="6" l="1"/>
  <c r="L85" i="3"/>
  <c r="L84" i="3"/>
  <c r="M4" i="7"/>
  <c r="L4" i="7"/>
  <c r="L10" i="7"/>
  <c r="L9" i="7" s="1"/>
  <c r="CQ4" i="7"/>
  <c r="J31" i="2"/>
  <c r="J29" i="2"/>
  <c r="I29" i="2"/>
  <c r="K28" i="2"/>
  <c r="I28" i="2"/>
  <c r="J28" i="2"/>
  <c r="K25" i="2"/>
  <c r="J25" i="2"/>
  <c r="I25" i="2"/>
  <c r="C25" i="2"/>
  <c r="F46" i="2"/>
  <c r="D3" i="2"/>
  <c r="L22" i="7" l="1"/>
  <c r="M22" i="1"/>
  <c r="L21" i="1"/>
  <c r="M21" i="1" s="1"/>
  <c r="L25" i="1"/>
  <c r="M25" i="1" s="1"/>
  <c r="L24" i="1"/>
  <c r="M24" i="1" s="1"/>
  <c r="L23" i="1"/>
  <c r="M23" i="1" s="1"/>
  <c r="A142" i="10"/>
  <c r="M29" i="1" l="1"/>
  <c r="I2" i="6" l="1"/>
  <c r="I25" i="1" l="1"/>
  <c r="F39" i="3"/>
  <c r="J39" i="3"/>
  <c r="C11" i="6"/>
  <c r="G11" i="6"/>
  <c r="J28" i="1"/>
  <c r="J27" i="1"/>
  <c r="J26" i="1"/>
  <c r="E39" i="3"/>
  <c r="I3" i="3"/>
  <c r="I33" i="3" s="1"/>
  <c r="L39" i="3" l="1"/>
  <c r="L46" i="3" s="1"/>
  <c r="M39" i="3"/>
  <c r="N39" i="3" s="1"/>
  <c r="O39" i="3" s="1"/>
  <c r="P39" i="3" s="1"/>
  <c r="Q39" i="3" s="1"/>
  <c r="R39" i="3" s="1"/>
  <c r="S39" i="3" s="1"/>
  <c r="T39" i="3" s="1"/>
  <c r="U39" i="3" s="1"/>
  <c r="V39" i="3" s="1"/>
  <c r="W39" i="3" s="1"/>
  <c r="X39" i="3" s="1"/>
  <c r="Y39" i="3" s="1"/>
  <c r="Z39" i="3" s="1"/>
  <c r="AA39" i="3" s="1"/>
  <c r="AB39" i="3" s="1"/>
  <c r="AC39" i="3" s="1"/>
  <c r="AD39" i="3" s="1"/>
  <c r="AE39" i="3" s="1"/>
  <c r="AF39" i="3" s="1"/>
  <c r="AG39" i="3" s="1"/>
  <c r="AH39" i="3" s="1"/>
  <c r="AI39" i="3" s="1"/>
  <c r="AJ39" i="3" s="1"/>
  <c r="AK39" i="3" s="1"/>
  <c r="AL39" i="3" s="1"/>
  <c r="AM39" i="3" s="1"/>
  <c r="AN39" i="3" s="1"/>
  <c r="AO39" i="3" s="1"/>
  <c r="AP39" i="3" s="1"/>
  <c r="AQ39" i="3" s="1"/>
  <c r="AR39" i="3" s="1"/>
  <c r="AS39" i="3" s="1"/>
  <c r="AT39" i="3" s="1"/>
  <c r="I5" i="3"/>
  <c r="I20" i="3"/>
  <c r="I4" i="3"/>
  <c r="I12" i="3"/>
  <c r="I27" i="3"/>
  <c r="I21" i="1"/>
  <c r="E24" i="1"/>
  <c r="C30" i="6" l="1"/>
  <c r="D30" i="6" s="1"/>
  <c r="E30" i="6" s="1"/>
  <c r="F30" i="6" s="1"/>
  <c r="G30" i="6" s="1"/>
  <c r="H30" i="6" s="1"/>
  <c r="I30" i="6" s="1"/>
  <c r="J30" i="6" s="1"/>
  <c r="K30" i="6" s="1"/>
  <c r="L30" i="6" s="1"/>
  <c r="M30" i="6" s="1"/>
  <c r="N30" i="6" s="1"/>
  <c r="B31" i="6"/>
  <c r="F45" i="2"/>
  <c r="C26" i="2"/>
  <c r="C27" i="2"/>
  <c r="O30" i="6" l="1"/>
  <c r="P30" i="6" s="1"/>
  <c r="Q30" i="6" s="1"/>
  <c r="R30" i="6" s="1"/>
  <c r="S30" i="6" s="1"/>
  <c r="T30" i="6" s="1"/>
  <c r="U30" i="6" s="1"/>
  <c r="V30" i="6" s="1"/>
  <c r="N31" i="6"/>
  <c r="C31" i="6"/>
  <c r="CP29" i="7"/>
  <c r="CO29" i="7"/>
  <c r="CN29" i="7"/>
  <c r="CM29" i="7"/>
  <c r="CL29" i="7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BX29" i="7"/>
  <c r="BW29" i="7"/>
  <c r="BV29" i="7"/>
  <c r="BU29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BK27" i="5"/>
  <c r="BL27" i="5"/>
  <c r="BM27" i="5"/>
  <c r="BN27" i="5"/>
  <c r="BO27" i="5"/>
  <c r="BP27" i="5"/>
  <c r="BQ27" i="5"/>
  <c r="BR27" i="5"/>
  <c r="BS27" i="5"/>
  <c r="BT27" i="5"/>
  <c r="BU27" i="5"/>
  <c r="BV27" i="5"/>
  <c r="BW27" i="5"/>
  <c r="BX27" i="5"/>
  <c r="BY27" i="5"/>
  <c r="BZ27" i="5"/>
  <c r="CA27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P151" i="10"/>
  <c r="CO151" i="10"/>
  <c r="CN151" i="10"/>
  <c r="CM151" i="10"/>
  <c r="CL151" i="10"/>
  <c r="CK151" i="10"/>
  <c r="CJ151" i="10"/>
  <c r="CI151" i="10"/>
  <c r="CH151" i="10"/>
  <c r="CG151" i="10"/>
  <c r="CF151" i="10"/>
  <c r="CE151" i="10"/>
  <c r="CD151" i="10"/>
  <c r="CC151" i="10"/>
  <c r="CB151" i="10"/>
  <c r="CA151" i="10"/>
  <c r="BZ151" i="10"/>
  <c r="BY151" i="10"/>
  <c r="BX151" i="10"/>
  <c r="BW151" i="10"/>
  <c r="BV151" i="10"/>
  <c r="BU151" i="10"/>
  <c r="BT151" i="10"/>
  <c r="BS151" i="10"/>
  <c r="BR151" i="10"/>
  <c r="BQ151" i="10"/>
  <c r="BP151" i="10"/>
  <c r="BO151" i="10"/>
  <c r="BN151" i="10"/>
  <c r="BM151" i="10"/>
  <c r="BL151" i="10"/>
  <c r="BK151" i="10"/>
  <c r="BJ151" i="10"/>
  <c r="BI151" i="10"/>
  <c r="BH151" i="10"/>
  <c r="BG151" i="10"/>
  <c r="BF151" i="10"/>
  <c r="BE151" i="10"/>
  <c r="BD151" i="10"/>
  <c r="BC151" i="10"/>
  <c r="BB151" i="10"/>
  <c r="BA151" i="10"/>
  <c r="AZ151" i="10"/>
  <c r="AY151" i="10"/>
  <c r="AX151" i="10"/>
  <c r="AW151" i="10"/>
  <c r="AV151" i="10"/>
  <c r="AU151" i="10"/>
  <c r="AT151" i="10"/>
  <c r="AS151" i="10"/>
  <c r="AR151" i="10"/>
  <c r="AQ151" i="10"/>
  <c r="AP151" i="10"/>
  <c r="AO151" i="10"/>
  <c r="AN151" i="10"/>
  <c r="AM151" i="10"/>
  <c r="AL151" i="10"/>
  <c r="AK151" i="10"/>
  <c r="AJ151" i="10"/>
  <c r="AI151" i="10"/>
  <c r="AH151" i="10"/>
  <c r="AG151" i="10"/>
  <c r="AF151" i="10"/>
  <c r="AE151" i="10"/>
  <c r="AD151" i="10"/>
  <c r="AC151" i="10"/>
  <c r="AB151" i="10"/>
  <c r="AA151" i="10"/>
  <c r="Z151" i="10"/>
  <c r="Y151" i="10"/>
  <c r="X151" i="10"/>
  <c r="W151" i="10"/>
  <c r="V151" i="10"/>
  <c r="U151" i="10"/>
  <c r="T151" i="10"/>
  <c r="S151" i="10"/>
  <c r="R151" i="10"/>
  <c r="Q151" i="10"/>
  <c r="P151" i="10"/>
  <c r="O151" i="10"/>
  <c r="N151" i="10"/>
  <c r="M151" i="10"/>
  <c r="L151" i="10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CD71" i="3"/>
  <c r="CE71" i="3"/>
  <c r="CF71" i="3"/>
  <c r="CG71" i="3"/>
  <c r="CH71" i="3"/>
  <c r="CI71" i="3"/>
  <c r="CJ71" i="3"/>
  <c r="CK71" i="3"/>
  <c r="CL71" i="3"/>
  <c r="CM71" i="3"/>
  <c r="CN71" i="3"/>
  <c r="CO71" i="3"/>
  <c r="CP71" i="3"/>
  <c r="L71" i="3"/>
  <c r="E117" i="10"/>
  <c r="E118" i="10"/>
  <c r="J32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4" i="3"/>
  <c r="D31" i="6" l="1"/>
  <c r="E31" i="6" l="1"/>
  <c r="I11" i="3"/>
  <c r="M11" i="3" s="1"/>
  <c r="L4" i="3"/>
  <c r="M4" i="3"/>
  <c r="I8" i="3"/>
  <c r="M8" i="3" s="1"/>
  <c r="I6" i="3"/>
  <c r="M6" i="3" s="1"/>
  <c r="I10" i="3"/>
  <c r="M10" i="3" s="1"/>
  <c r="M5" i="3"/>
  <c r="I7" i="3"/>
  <c r="M7" i="3" s="1"/>
  <c r="I9" i="3"/>
  <c r="M9" i="3" s="1"/>
  <c r="D14" i="2"/>
  <c r="C14" i="2"/>
  <c r="F14" i="2"/>
  <c r="E14" i="2"/>
  <c r="F44" i="2"/>
  <c r="F43" i="2"/>
  <c r="G13" i="2"/>
  <c r="G10" i="2"/>
  <c r="F3" i="2"/>
  <c r="E3" i="2"/>
  <c r="F31" i="6" l="1"/>
  <c r="P9" i="3"/>
  <c r="O9" i="3"/>
  <c r="Q9" i="3"/>
  <c r="N9" i="3"/>
  <c r="G31" i="6" l="1"/>
  <c r="G6" i="1"/>
  <c r="F35" i="3"/>
  <c r="H19" i="9"/>
  <c r="G19" i="9"/>
  <c r="F19" i="9"/>
  <c r="E19" i="9"/>
  <c r="D19" i="9"/>
  <c r="C19" i="9"/>
  <c r="A20" i="7"/>
  <c r="EE19" i="7"/>
  <c r="EE18" i="7"/>
  <c r="EE17" i="7"/>
  <c r="EE16" i="7"/>
  <c r="EE12" i="7"/>
  <c r="EE11" i="7"/>
  <c r="ED8" i="7"/>
  <c r="EC8" i="7"/>
  <c r="EB8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M4" i="5"/>
  <c r="N4" i="5" s="1"/>
  <c r="N8" i="5" s="1"/>
  <c r="N7" i="5" s="1"/>
  <c r="L4" i="5"/>
  <c r="L8" i="5" s="1"/>
  <c r="L7" i="5" s="1"/>
  <c r="M8" i="5"/>
  <c r="M7" i="5" s="1"/>
  <c r="E21" i="5"/>
  <c r="L21" i="5" s="1"/>
  <c r="A18" i="5"/>
  <c r="EE17" i="5"/>
  <c r="EE16" i="5"/>
  <c r="EE15" i="5"/>
  <c r="EE14" i="5"/>
  <c r="EE10" i="5"/>
  <c r="EE9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E4" i="5"/>
  <c r="H31" i="6" l="1"/>
  <c r="L20" i="5"/>
  <c r="L19" i="5"/>
  <c r="N19" i="5"/>
  <c r="N20" i="5"/>
  <c r="O4" i="5"/>
  <c r="M19" i="5"/>
  <c r="M20" i="5"/>
  <c r="M21" i="5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21" i="5" s="1"/>
  <c r="AI21" i="5" s="1"/>
  <c r="AJ21" i="5" s="1"/>
  <c r="AK21" i="5" s="1"/>
  <c r="AL21" i="5" s="1"/>
  <c r="AM21" i="5" s="1"/>
  <c r="AN21" i="5" s="1"/>
  <c r="AO21" i="5" s="1"/>
  <c r="AP21" i="5" s="1"/>
  <c r="AQ21" i="5" s="1"/>
  <c r="AR21" i="5" s="1"/>
  <c r="AS21" i="5" s="1"/>
  <c r="AT21" i="5" s="1"/>
  <c r="AU21" i="5" s="1"/>
  <c r="AV21" i="5" s="1"/>
  <c r="AW21" i="5" s="1"/>
  <c r="AX21" i="5" s="1"/>
  <c r="AY21" i="5" s="1"/>
  <c r="AZ21" i="5" s="1"/>
  <c r="BA21" i="5" s="1"/>
  <c r="BB21" i="5" s="1"/>
  <c r="BC21" i="5" s="1"/>
  <c r="BD21" i="5" s="1"/>
  <c r="BE21" i="5" s="1"/>
  <c r="BF21" i="5" s="1"/>
  <c r="BG21" i="5" s="1"/>
  <c r="BH21" i="5" s="1"/>
  <c r="BI21" i="5" s="1"/>
  <c r="BJ21" i="5" s="1"/>
  <c r="BK21" i="5" s="1"/>
  <c r="BL21" i="5" s="1"/>
  <c r="BM21" i="5" s="1"/>
  <c r="BN21" i="5" s="1"/>
  <c r="BO21" i="5" s="1"/>
  <c r="BP21" i="5" s="1"/>
  <c r="BQ21" i="5" s="1"/>
  <c r="BR21" i="5" s="1"/>
  <c r="BS21" i="5" s="1"/>
  <c r="BT21" i="5" s="1"/>
  <c r="BU21" i="5" s="1"/>
  <c r="BV21" i="5" s="1"/>
  <c r="BW21" i="5" s="1"/>
  <c r="BX21" i="5" s="1"/>
  <c r="BY21" i="5" s="1"/>
  <c r="BZ21" i="5" s="1"/>
  <c r="CA21" i="5" s="1"/>
  <c r="CB21" i="5" s="1"/>
  <c r="CC21" i="5" s="1"/>
  <c r="CD21" i="5" s="1"/>
  <c r="CE21" i="5" s="1"/>
  <c r="CF21" i="5" s="1"/>
  <c r="CG21" i="5" s="1"/>
  <c r="CH21" i="5" s="1"/>
  <c r="CI21" i="5" s="1"/>
  <c r="CJ21" i="5" s="1"/>
  <c r="CK21" i="5" s="1"/>
  <c r="CL21" i="5" s="1"/>
  <c r="CM21" i="5" s="1"/>
  <c r="CN21" i="5" s="1"/>
  <c r="CO21" i="5" s="1"/>
  <c r="CP21" i="5" s="1"/>
  <c r="CQ21" i="5" s="1"/>
  <c r="CR21" i="5" s="1"/>
  <c r="CS21" i="5" s="1"/>
  <c r="CT21" i="5" s="1"/>
  <c r="CU21" i="5" s="1"/>
  <c r="CV21" i="5" s="1"/>
  <c r="CW21" i="5" s="1"/>
  <c r="CX21" i="5" s="1"/>
  <c r="CY21" i="5" s="1"/>
  <c r="CZ21" i="5" s="1"/>
  <c r="DA21" i="5" s="1"/>
  <c r="DB21" i="5" s="1"/>
  <c r="DC21" i="5" s="1"/>
  <c r="DD21" i="5" s="1"/>
  <c r="DE21" i="5" s="1"/>
  <c r="DF21" i="5" s="1"/>
  <c r="DG21" i="5" s="1"/>
  <c r="DH21" i="5" s="1"/>
  <c r="DI21" i="5" s="1"/>
  <c r="DJ21" i="5" s="1"/>
  <c r="DK21" i="5" s="1"/>
  <c r="DL21" i="5" s="1"/>
  <c r="DM21" i="5" s="1"/>
  <c r="DN21" i="5" s="1"/>
  <c r="DO21" i="5" s="1"/>
  <c r="DP21" i="5" s="1"/>
  <c r="DQ21" i="5" s="1"/>
  <c r="DR21" i="5" s="1"/>
  <c r="DS21" i="5" s="1"/>
  <c r="DT21" i="5" s="1"/>
  <c r="DU21" i="5" s="1"/>
  <c r="DV21" i="5" s="1"/>
  <c r="DW21" i="5" s="1"/>
  <c r="DX21" i="5" s="1"/>
  <c r="DY21" i="5" s="1"/>
  <c r="DZ21" i="5" s="1"/>
  <c r="EA21" i="5" s="1"/>
  <c r="EB21" i="5" s="1"/>
  <c r="EC21" i="5" s="1"/>
  <c r="ED21" i="5" s="1"/>
  <c r="EE133" i="10"/>
  <c r="EE134" i="10"/>
  <c r="EE138" i="10"/>
  <c r="EE139" i="10"/>
  <c r="EE140" i="10"/>
  <c r="EE141" i="10"/>
  <c r="CR116" i="10"/>
  <c r="CS116" i="10"/>
  <c r="CT116" i="10"/>
  <c r="CU116" i="10"/>
  <c r="CV116" i="10"/>
  <c r="CW116" i="10"/>
  <c r="CX116" i="10"/>
  <c r="CY116" i="10"/>
  <c r="CZ116" i="10"/>
  <c r="DA116" i="10"/>
  <c r="DB116" i="10"/>
  <c r="DC116" i="10"/>
  <c r="DD116" i="10"/>
  <c r="DE116" i="10"/>
  <c r="DF116" i="10"/>
  <c r="DG116" i="10"/>
  <c r="DH116" i="10"/>
  <c r="DI116" i="10"/>
  <c r="DJ116" i="10"/>
  <c r="DK116" i="10"/>
  <c r="DL116" i="10"/>
  <c r="DM116" i="10"/>
  <c r="DN116" i="10"/>
  <c r="DO116" i="10"/>
  <c r="DP116" i="10"/>
  <c r="DQ116" i="10"/>
  <c r="DR116" i="10"/>
  <c r="DS116" i="10"/>
  <c r="DT116" i="10"/>
  <c r="DU116" i="10"/>
  <c r="DV116" i="10"/>
  <c r="DW116" i="10"/>
  <c r="DX116" i="10"/>
  <c r="DY116" i="10"/>
  <c r="DZ116" i="10"/>
  <c r="EA116" i="10"/>
  <c r="EB116" i="10"/>
  <c r="EC116" i="10"/>
  <c r="ED116" i="10"/>
  <c r="CQ116" i="10"/>
  <c r="E145" i="10"/>
  <c r="L145" i="10" s="1"/>
  <c r="D143" i="10"/>
  <c r="D144" i="10"/>
  <c r="E123" i="10"/>
  <c r="E122" i="10"/>
  <c r="E121" i="10"/>
  <c r="E119" i="10"/>
  <c r="E112" i="10"/>
  <c r="M112" i="10" s="1"/>
  <c r="M109" i="10"/>
  <c r="N109" i="10" s="1"/>
  <c r="O109" i="10" s="1"/>
  <c r="P109" i="10" s="1"/>
  <c r="Q109" i="10" s="1"/>
  <c r="M103" i="10"/>
  <c r="N103" i="10" s="1"/>
  <c r="O103" i="10" s="1"/>
  <c r="P103" i="10" s="1"/>
  <c r="Q103" i="10" s="1"/>
  <c r="R103" i="10" s="1"/>
  <c r="S103" i="10" s="1"/>
  <c r="T103" i="10" s="1"/>
  <c r="U103" i="10" s="1"/>
  <c r="V103" i="10" s="1"/>
  <c r="W103" i="10" s="1"/>
  <c r="X103" i="10" s="1"/>
  <c r="Y103" i="10" s="1"/>
  <c r="M104" i="10"/>
  <c r="N104" i="10" s="1"/>
  <c r="O104" i="10" s="1"/>
  <c r="P104" i="10" s="1"/>
  <c r="Q104" i="10" s="1"/>
  <c r="R104" i="10" s="1"/>
  <c r="S104" i="10" s="1"/>
  <c r="T104" i="10" s="1"/>
  <c r="U104" i="10" s="1"/>
  <c r="V104" i="10" s="1"/>
  <c r="W104" i="10" s="1"/>
  <c r="X104" i="10" s="1"/>
  <c r="Y104" i="10" s="1"/>
  <c r="M105" i="10"/>
  <c r="N105" i="10" s="1"/>
  <c r="O105" i="10" s="1"/>
  <c r="P105" i="10" s="1"/>
  <c r="Q105" i="10" s="1"/>
  <c r="M106" i="10"/>
  <c r="N106" i="10" s="1"/>
  <c r="O106" i="10" s="1"/>
  <c r="P106" i="10" s="1"/>
  <c r="Q106" i="10" s="1"/>
  <c r="R106" i="10" s="1"/>
  <c r="S106" i="10" s="1"/>
  <c r="T106" i="10" s="1"/>
  <c r="U106" i="10" s="1"/>
  <c r="M107" i="10"/>
  <c r="M108" i="10"/>
  <c r="N108" i="10" s="1"/>
  <c r="O108" i="10" s="1"/>
  <c r="P108" i="10" s="1"/>
  <c r="Q108" i="10" s="1"/>
  <c r="R108" i="10" s="1"/>
  <c r="S108" i="10" s="1"/>
  <c r="T108" i="10" s="1"/>
  <c r="U108" i="10" s="1"/>
  <c r="V108" i="10" s="1"/>
  <c r="W108" i="10" s="1"/>
  <c r="X108" i="10" s="1"/>
  <c r="Y108" i="10" s="1"/>
  <c r="M110" i="10"/>
  <c r="N110" i="10" s="1"/>
  <c r="O110" i="10" s="1"/>
  <c r="P110" i="10" s="1"/>
  <c r="Q110" i="10" s="1"/>
  <c r="M111" i="10"/>
  <c r="N111" i="10" s="1"/>
  <c r="O111" i="10" s="1"/>
  <c r="P111" i="10" s="1"/>
  <c r="Q111" i="10" s="1"/>
  <c r="R111" i="10" s="1"/>
  <c r="S111" i="10" s="1"/>
  <c r="T111" i="10" s="1"/>
  <c r="U111" i="10" s="1"/>
  <c r="M102" i="10"/>
  <c r="N102" i="10" s="1"/>
  <c r="O102" i="10" s="1"/>
  <c r="P102" i="10" s="1"/>
  <c r="Q102" i="10" s="1"/>
  <c r="R102" i="10" s="1"/>
  <c r="S102" i="10" s="1"/>
  <c r="T102" i="10" s="1"/>
  <c r="U102" i="10" s="1"/>
  <c r="V102" i="10" s="1"/>
  <c r="W102" i="10" s="1"/>
  <c r="X102" i="10" s="1"/>
  <c r="Y102" i="10" s="1"/>
  <c r="L103" i="10"/>
  <c r="L104" i="10"/>
  <c r="L105" i="10"/>
  <c r="L106" i="10"/>
  <c r="L107" i="10"/>
  <c r="L108" i="10"/>
  <c r="L109" i="10"/>
  <c r="L110" i="10"/>
  <c r="L111" i="10"/>
  <c r="L102" i="10"/>
  <c r="O101" i="10"/>
  <c r="N101" i="10" s="1"/>
  <c r="V101" i="10"/>
  <c r="W101" i="10" s="1"/>
  <c r="X101" i="10" s="1"/>
  <c r="Y101" i="10" s="1"/>
  <c r="P101" i="10"/>
  <c r="Q101" i="10" s="1"/>
  <c r="R101" i="10" s="1"/>
  <c r="S101" i="10" s="1"/>
  <c r="T101" i="10" s="1"/>
  <c r="U101" i="10" s="1"/>
  <c r="M101" i="10"/>
  <c r="L101" i="10"/>
  <c r="M100" i="10"/>
  <c r="M96" i="10"/>
  <c r="N96" i="10" s="1"/>
  <c r="O96" i="10" s="1"/>
  <c r="P96" i="10" s="1"/>
  <c r="Q96" i="10" s="1"/>
  <c r="M97" i="10"/>
  <c r="N97" i="10" s="1"/>
  <c r="O97" i="10" s="1"/>
  <c r="P97" i="10" s="1"/>
  <c r="Q97" i="10" s="1"/>
  <c r="M98" i="10"/>
  <c r="N98" i="10" s="1"/>
  <c r="O98" i="10" s="1"/>
  <c r="P98" i="10" s="1"/>
  <c r="Q98" i="10" s="1"/>
  <c r="M99" i="10"/>
  <c r="M95" i="10"/>
  <c r="N95" i="10" s="1"/>
  <c r="O95" i="10" s="1"/>
  <c r="P95" i="10" s="1"/>
  <c r="Q95" i="10" s="1"/>
  <c r="M94" i="10"/>
  <c r="N94" i="10" s="1"/>
  <c r="O94" i="10" s="1"/>
  <c r="P94" i="10" s="1"/>
  <c r="Q94" i="10" s="1"/>
  <c r="L95" i="10"/>
  <c r="L96" i="10"/>
  <c r="L97" i="10"/>
  <c r="L98" i="10"/>
  <c r="L99" i="10"/>
  <c r="L100" i="10"/>
  <c r="M92" i="10"/>
  <c r="M93" i="10"/>
  <c r="M91" i="10"/>
  <c r="N91" i="10" s="1"/>
  <c r="O91" i="10" s="1"/>
  <c r="P91" i="10" s="1"/>
  <c r="Q91" i="10" s="1"/>
  <c r="L92" i="10"/>
  <c r="L93" i="10"/>
  <c r="L94" i="10"/>
  <c r="L91" i="10"/>
  <c r="R90" i="10"/>
  <c r="S90" i="10" s="1"/>
  <c r="T90" i="10" s="1"/>
  <c r="U90" i="10" s="1"/>
  <c r="V90" i="10" s="1"/>
  <c r="W90" i="10" s="1"/>
  <c r="X90" i="10" s="1"/>
  <c r="Y90" i="10" s="1"/>
  <c r="M90" i="10"/>
  <c r="N90" i="10" s="1"/>
  <c r="O90" i="10" s="1"/>
  <c r="P90" i="10" s="1"/>
  <c r="Q90" i="10" s="1"/>
  <c r="L90" i="10"/>
  <c r="M89" i="10"/>
  <c r="N89" i="10" s="1"/>
  <c r="O89" i="10" s="1"/>
  <c r="P89" i="10" s="1"/>
  <c r="Q89" i="10" s="1"/>
  <c r="R89" i="10" s="1"/>
  <c r="S89" i="10" s="1"/>
  <c r="T89" i="10" s="1"/>
  <c r="U89" i="10" s="1"/>
  <c r="V89" i="10" s="1"/>
  <c r="W89" i="10" s="1"/>
  <c r="X89" i="10" s="1"/>
  <c r="Y89" i="10" s="1"/>
  <c r="L89" i="10"/>
  <c r="M88" i="10"/>
  <c r="N88" i="10" s="1"/>
  <c r="O88" i="10" s="1"/>
  <c r="P88" i="10" s="1"/>
  <c r="Q88" i="10" s="1"/>
  <c r="R88" i="10" s="1"/>
  <c r="S88" i="10" s="1"/>
  <c r="T88" i="10" s="1"/>
  <c r="U88" i="10" s="1"/>
  <c r="V88" i="10" s="1"/>
  <c r="W88" i="10" s="1"/>
  <c r="X88" i="10" s="1"/>
  <c r="Y88" i="10" s="1"/>
  <c r="Z88" i="10" s="1"/>
  <c r="AA88" i="10" s="1"/>
  <c r="AB88" i="10" s="1"/>
  <c r="AC88" i="10" s="1"/>
  <c r="L88" i="10"/>
  <c r="M87" i="10"/>
  <c r="N87" i="10" s="1"/>
  <c r="O87" i="10" s="1"/>
  <c r="P87" i="10" s="1"/>
  <c r="Q87" i="10" s="1"/>
  <c r="L87" i="10"/>
  <c r="R86" i="10"/>
  <c r="S86" i="10" s="1"/>
  <c r="T86" i="10" s="1"/>
  <c r="U86" i="10" s="1"/>
  <c r="V86" i="10" s="1"/>
  <c r="W86" i="10" s="1"/>
  <c r="X86" i="10" s="1"/>
  <c r="Y86" i="10" s="1"/>
  <c r="M86" i="10"/>
  <c r="N86" i="10" s="1"/>
  <c r="O86" i="10" s="1"/>
  <c r="P86" i="10" s="1"/>
  <c r="Q86" i="10" s="1"/>
  <c r="L86" i="10"/>
  <c r="S85" i="10"/>
  <c r="T85" i="10" s="1"/>
  <c r="U85" i="10" s="1"/>
  <c r="V85" i="10" s="1"/>
  <c r="W85" i="10" s="1"/>
  <c r="X85" i="10" s="1"/>
  <c r="Y85" i="10" s="1"/>
  <c r="M85" i="10"/>
  <c r="N85" i="10" s="1"/>
  <c r="O85" i="10" s="1"/>
  <c r="P85" i="10" s="1"/>
  <c r="Q85" i="10" s="1"/>
  <c r="R85" i="10" s="1"/>
  <c r="L85" i="10"/>
  <c r="M84" i="10"/>
  <c r="N84" i="10" s="1"/>
  <c r="O84" i="10" s="1"/>
  <c r="P84" i="10" s="1"/>
  <c r="Q84" i="10" s="1"/>
  <c r="R84" i="10" s="1"/>
  <c r="S84" i="10" s="1"/>
  <c r="T84" i="10" s="1"/>
  <c r="U84" i="10" s="1"/>
  <c r="M83" i="10"/>
  <c r="N83" i="10" s="1"/>
  <c r="O83" i="10" s="1"/>
  <c r="P83" i="10" s="1"/>
  <c r="Q83" i="10" s="1"/>
  <c r="R83" i="10" s="1"/>
  <c r="S83" i="10" s="1"/>
  <c r="T83" i="10" s="1"/>
  <c r="U83" i="10" s="1"/>
  <c r="V83" i="10" s="1"/>
  <c r="W83" i="10" s="1"/>
  <c r="X83" i="10" s="1"/>
  <c r="Y83" i="10" s="1"/>
  <c r="Z83" i="10" s="1"/>
  <c r="AA83" i="10" s="1"/>
  <c r="AB83" i="10" s="1"/>
  <c r="AC83" i="10" s="1"/>
  <c r="L84" i="10"/>
  <c r="L83" i="10"/>
  <c r="W82" i="10"/>
  <c r="X82" i="10" s="1"/>
  <c r="Y82" i="10" s="1"/>
  <c r="Z82" i="10" s="1"/>
  <c r="AA82" i="10" s="1"/>
  <c r="AB82" i="10" s="1"/>
  <c r="AC82" i="10" s="1"/>
  <c r="O82" i="10"/>
  <c r="P82" i="10" s="1"/>
  <c r="Q82" i="10" s="1"/>
  <c r="R82" i="10" s="1"/>
  <c r="S82" i="10" s="1"/>
  <c r="T82" i="10" s="1"/>
  <c r="U82" i="10" s="1"/>
  <c r="V82" i="10" s="1"/>
  <c r="M82" i="10"/>
  <c r="N82" i="10" s="1"/>
  <c r="L82" i="10"/>
  <c r="L121" i="10" s="1"/>
  <c r="M81" i="10"/>
  <c r="N81" i="10" s="1"/>
  <c r="O81" i="10" s="1"/>
  <c r="P81" i="10" s="1"/>
  <c r="Q81" i="10" s="1"/>
  <c r="R81" i="10" s="1"/>
  <c r="S81" i="10" s="1"/>
  <c r="T81" i="10" s="1"/>
  <c r="U81" i="10" s="1"/>
  <c r="V81" i="10" s="1"/>
  <c r="W81" i="10" s="1"/>
  <c r="X81" i="10" s="1"/>
  <c r="Y81" i="10" s="1"/>
  <c r="M79" i="10"/>
  <c r="N79" i="10" s="1"/>
  <c r="O79" i="10" s="1"/>
  <c r="P79" i="10" s="1"/>
  <c r="Q79" i="10" s="1"/>
  <c r="R79" i="10" s="1"/>
  <c r="S79" i="10" s="1"/>
  <c r="T79" i="10" s="1"/>
  <c r="U79" i="10" s="1"/>
  <c r="M80" i="10"/>
  <c r="M78" i="10"/>
  <c r="N78" i="10" s="1"/>
  <c r="O78" i="10" s="1"/>
  <c r="P78" i="10" s="1"/>
  <c r="Q78" i="10" s="1"/>
  <c r="M77" i="10"/>
  <c r="N77" i="10" s="1"/>
  <c r="O77" i="10" s="1"/>
  <c r="P77" i="10" s="1"/>
  <c r="Q77" i="10" s="1"/>
  <c r="M72" i="10"/>
  <c r="M73" i="10"/>
  <c r="M74" i="10"/>
  <c r="M75" i="10"/>
  <c r="M76" i="10"/>
  <c r="M69" i="10"/>
  <c r="M70" i="10"/>
  <c r="M71" i="10"/>
  <c r="M68" i="10"/>
  <c r="M67" i="10"/>
  <c r="M9" i="10"/>
  <c r="N9" i="10" s="1"/>
  <c r="O9" i="10" s="1"/>
  <c r="P9" i="10" s="1"/>
  <c r="Q9" i="10" s="1"/>
  <c r="M10" i="10"/>
  <c r="N10" i="10" s="1"/>
  <c r="O10" i="10" s="1"/>
  <c r="P10" i="10" s="1"/>
  <c r="Q10" i="10" s="1"/>
  <c r="R10" i="10" s="1"/>
  <c r="S10" i="10" s="1"/>
  <c r="T10" i="10" s="1"/>
  <c r="U10" i="10" s="1"/>
  <c r="M11" i="10"/>
  <c r="N11" i="10" s="1"/>
  <c r="O11" i="10" s="1"/>
  <c r="P11" i="10" s="1"/>
  <c r="Q11" i="10" s="1"/>
  <c r="R11" i="10" s="1"/>
  <c r="S11" i="10" s="1"/>
  <c r="T11" i="10" s="1"/>
  <c r="U11" i="10" s="1"/>
  <c r="M12" i="10"/>
  <c r="N12" i="10" s="1"/>
  <c r="O12" i="10" s="1"/>
  <c r="P12" i="10" s="1"/>
  <c r="Q12" i="10" s="1"/>
  <c r="R12" i="10" s="1"/>
  <c r="S12" i="10" s="1"/>
  <c r="T12" i="10" s="1"/>
  <c r="U12" i="10" s="1"/>
  <c r="M13" i="10"/>
  <c r="N13" i="10" s="1"/>
  <c r="O13" i="10" s="1"/>
  <c r="P13" i="10" s="1"/>
  <c r="Q13" i="10" s="1"/>
  <c r="M14" i="10"/>
  <c r="N14" i="10" s="1"/>
  <c r="O14" i="10" s="1"/>
  <c r="P14" i="10" s="1"/>
  <c r="Q14" i="10" s="1"/>
  <c r="R14" i="10" s="1"/>
  <c r="S14" i="10" s="1"/>
  <c r="T14" i="10" s="1"/>
  <c r="U14" i="10" s="1"/>
  <c r="M15" i="10"/>
  <c r="N15" i="10" s="1"/>
  <c r="O15" i="10" s="1"/>
  <c r="P15" i="10" s="1"/>
  <c r="Q15" i="10" s="1"/>
  <c r="M16" i="10"/>
  <c r="N16" i="10" s="1"/>
  <c r="O16" i="10" s="1"/>
  <c r="P16" i="10" s="1"/>
  <c r="Q16" i="10" s="1"/>
  <c r="R16" i="10" s="1"/>
  <c r="S16" i="10" s="1"/>
  <c r="T16" i="10" s="1"/>
  <c r="U16" i="10" s="1"/>
  <c r="V16" i="10" s="1"/>
  <c r="W16" i="10" s="1"/>
  <c r="X16" i="10" s="1"/>
  <c r="Y16" i="10" s="1"/>
  <c r="M17" i="10"/>
  <c r="N17" i="10" s="1"/>
  <c r="O17" i="10" s="1"/>
  <c r="P17" i="10" s="1"/>
  <c r="Q17" i="10" s="1"/>
  <c r="M18" i="10"/>
  <c r="N18" i="10" s="1"/>
  <c r="O18" i="10" s="1"/>
  <c r="P18" i="10" s="1"/>
  <c r="Q18" i="10" s="1"/>
  <c r="M19" i="10"/>
  <c r="N19" i="10" s="1"/>
  <c r="O19" i="10" s="1"/>
  <c r="P19" i="10" s="1"/>
  <c r="Q19" i="10" s="1"/>
  <c r="M20" i="10"/>
  <c r="N20" i="10" s="1"/>
  <c r="O20" i="10" s="1"/>
  <c r="P20" i="10" s="1"/>
  <c r="Q20" i="10" s="1"/>
  <c r="M21" i="10"/>
  <c r="N21" i="10" s="1"/>
  <c r="M22" i="10"/>
  <c r="M23" i="10"/>
  <c r="M24" i="10"/>
  <c r="M25" i="10"/>
  <c r="N25" i="10" s="1"/>
  <c r="O25" i="10" s="1"/>
  <c r="P25" i="10" s="1"/>
  <c r="Q25" i="10" s="1"/>
  <c r="M26" i="10"/>
  <c r="N26" i="10" s="1"/>
  <c r="O26" i="10" s="1"/>
  <c r="P26" i="10" s="1"/>
  <c r="Q26" i="10" s="1"/>
  <c r="R26" i="10" s="1"/>
  <c r="S26" i="10" s="1"/>
  <c r="M27" i="10"/>
  <c r="N27" i="10" s="1"/>
  <c r="O27" i="10" s="1"/>
  <c r="P27" i="10" s="1"/>
  <c r="Q27" i="10" s="1"/>
  <c r="R27" i="10" s="1"/>
  <c r="S27" i="10" s="1"/>
  <c r="T27" i="10" s="1"/>
  <c r="U27" i="10" s="1"/>
  <c r="M28" i="10"/>
  <c r="N28" i="10" s="1"/>
  <c r="O28" i="10" s="1"/>
  <c r="P28" i="10" s="1"/>
  <c r="Q28" i="10" s="1"/>
  <c r="M29" i="10"/>
  <c r="N29" i="10" s="1"/>
  <c r="O29" i="10" s="1"/>
  <c r="P29" i="10" s="1"/>
  <c r="Q29" i="10" s="1"/>
  <c r="M30" i="10"/>
  <c r="M31" i="10"/>
  <c r="N31" i="10" s="1"/>
  <c r="O31" i="10" s="1"/>
  <c r="P31" i="10" s="1"/>
  <c r="Q31" i="10" s="1"/>
  <c r="R31" i="10" s="1"/>
  <c r="S31" i="10" s="1"/>
  <c r="T31" i="10" s="1"/>
  <c r="U31" i="10" s="1"/>
  <c r="M32" i="10"/>
  <c r="N32" i="10" s="1"/>
  <c r="O32" i="10" s="1"/>
  <c r="P32" i="10" s="1"/>
  <c r="Q32" i="10" s="1"/>
  <c r="R32" i="10" s="1"/>
  <c r="S32" i="10" s="1"/>
  <c r="T32" i="10" s="1"/>
  <c r="U32" i="10" s="1"/>
  <c r="M33" i="10"/>
  <c r="N33" i="10" s="1"/>
  <c r="O33" i="10" s="1"/>
  <c r="P33" i="10" s="1"/>
  <c r="Q33" i="10" s="1"/>
  <c r="M34" i="10"/>
  <c r="N34" i="10" s="1"/>
  <c r="O34" i="10" s="1"/>
  <c r="P34" i="10" s="1"/>
  <c r="Q34" i="10" s="1"/>
  <c r="R34" i="10" s="1"/>
  <c r="S34" i="10" s="1"/>
  <c r="T34" i="10" s="1"/>
  <c r="U34" i="10" s="1"/>
  <c r="M35" i="10"/>
  <c r="M36" i="10"/>
  <c r="N36" i="10" s="1"/>
  <c r="O36" i="10" s="1"/>
  <c r="P36" i="10" s="1"/>
  <c r="Q36" i="10" s="1"/>
  <c r="M37" i="10"/>
  <c r="N37" i="10" s="1"/>
  <c r="O37" i="10" s="1"/>
  <c r="P37" i="10" s="1"/>
  <c r="Q37" i="10" s="1"/>
  <c r="M38" i="10"/>
  <c r="N38" i="10" s="1"/>
  <c r="O38" i="10" s="1"/>
  <c r="P38" i="10" s="1"/>
  <c r="Q38" i="10" s="1"/>
  <c r="R38" i="10" s="1"/>
  <c r="S38" i="10" s="1"/>
  <c r="T38" i="10" s="1"/>
  <c r="U38" i="10" s="1"/>
  <c r="M39" i="10"/>
  <c r="N39" i="10" s="1"/>
  <c r="O39" i="10" s="1"/>
  <c r="P39" i="10" s="1"/>
  <c r="Q39" i="10" s="1"/>
  <c r="R39" i="10" s="1"/>
  <c r="S39" i="10" s="1"/>
  <c r="T39" i="10" s="1"/>
  <c r="U39" i="10" s="1"/>
  <c r="M40" i="10"/>
  <c r="N40" i="10" s="1"/>
  <c r="O40" i="10" s="1"/>
  <c r="P40" i="10" s="1"/>
  <c r="Q40" i="10" s="1"/>
  <c r="R40" i="10" s="1"/>
  <c r="S40" i="10" s="1"/>
  <c r="T40" i="10" s="1"/>
  <c r="U40" i="10" s="1"/>
  <c r="M41" i="10"/>
  <c r="N41" i="10" s="1"/>
  <c r="O41" i="10" s="1"/>
  <c r="P41" i="10" s="1"/>
  <c r="Q41" i="10" s="1"/>
  <c r="R41" i="10" s="1"/>
  <c r="S41" i="10" s="1"/>
  <c r="T41" i="10" s="1"/>
  <c r="U41" i="10" s="1"/>
  <c r="M42" i="10"/>
  <c r="N42" i="10" s="1"/>
  <c r="O42" i="10" s="1"/>
  <c r="P42" i="10" s="1"/>
  <c r="Q42" i="10" s="1"/>
  <c r="R42" i="10" s="1"/>
  <c r="S42" i="10" s="1"/>
  <c r="T42" i="10" s="1"/>
  <c r="U42" i="10" s="1"/>
  <c r="M43" i="10"/>
  <c r="N43" i="10" s="1"/>
  <c r="O43" i="10" s="1"/>
  <c r="P43" i="10" s="1"/>
  <c r="Q43" i="10" s="1"/>
  <c r="R43" i="10" s="1"/>
  <c r="S43" i="10" s="1"/>
  <c r="T43" i="10" s="1"/>
  <c r="U43" i="10" s="1"/>
  <c r="M44" i="10"/>
  <c r="N44" i="10" s="1"/>
  <c r="O44" i="10" s="1"/>
  <c r="P44" i="10" s="1"/>
  <c r="Q44" i="10" s="1"/>
  <c r="M45" i="10"/>
  <c r="N45" i="10" s="1"/>
  <c r="O45" i="10" s="1"/>
  <c r="P45" i="10" s="1"/>
  <c r="Q45" i="10" s="1"/>
  <c r="M46" i="10"/>
  <c r="M47" i="10"/>
  <c r="M48" i="10"/>
  <c r="N48" i="10" s="1"/>
  <c r="O48" i="10" s="1"/>
  <c r="P48" i="10" s="1"/>
  <c r="Q48" i="10" s="1"/>
  <c r="R48" i="10" s="1"/>
  <c r="R122" i="10" s="1"/>
  <c r="M49" i="10"/>
  <c r="M50" i="10"/>
  <c r="N50" i="10" s="1"/>
  <c r="O50" i="10" s="1"/>
  <c r="P50" i="10" s="1"/>
  <c r="Q50" i="10" s="1"/>
  <c r="M51" i="10"/>
  <c r="M52" i="10"/>
  <c r="M53" i="10"/>
  <c r="N53" i="10" s="1"/>
  <c r="O53" i="10" s="1"/>
  <c r="P53" i="10" s="1"/>
  <c r="Q53" i="10" s="1"/>
  <c r="M54" i="10"/>
  <c r="N54" i="10" s="1"/>
  <c r="O54" i="10" s="1"/>
  <c r="P54" i="10" s="1"/>
  <c r="Q54" i="10" s="1"/>
  <c r="M55" i="10"/>
  <c r="M56" i="10"/>
  <c r="N56" i="10" s="1"/>
  <c r="O56" i="10" s="1"/>
  <c r="P56" i="10" s="1"/>
  <c r="Q56" i="10" s="1"/>
  <c r="M57" i="10"/>
  <c r="N57" i="10" s="1"/>
  <c r="O57" i="10" s="1"/>
  <c r="P57" i="10" s="1"/>
  <c r="Q57" i="10" s="1"/>
  <c r="M58" i="10"/>
  <c r="N58" i="10" s="1"/>
  <c r="O58" i="10" s="1"/>
  <c r="P58" i="10" s="1"/>
  <c r="Q58" i="10" s="1"/>
  <c r="M59" i="10"/>
  <c r="N59" i="10" s="1"/>
  <c r="O59" i="10" s="1"/>
  <c r="P59" i="10" s="1"/>
  <c r="Q59" i="10" s="1"/>
  <c r="M60" i="10"/>
  <c r="N60" i="10" s="1"/>
  <c r="O60" i="10" s="1"/>
  <c r="P60" i="10" s="1"/>
  <c r="Q60" i="10" s="1"/>
  <c r="R60" i="10" s="1"/>
  <c r="S60" i="10" s="1"/>
  <c r="T60" i="10" s="1"/>
  <c r="U60" i="10" s="1"/>
  <c r="M61" i="10"/>
  <c r="N61" i="10" s="1"/>
  <c r="O61" i="10" s="1"/>
  <c r="P61" i="10" s="1"/>
  <c r="Q61" i="10" s="1"/>
  <c r="M62" i="10"/>
  <c r="N62" i="10" s="1"/>
  <c r="O62" i="10" s="1"/>
  <c r="P62" i="10" s="1"/>
  <c r="Q62" i="10" s="1"/>
  <c r="M63" i="10"/>
  <c r="N63" i="10" s="1"/>
  <c r="O63" i="10" s="1"/>
  <c r="P63" i="10" s="1"/>
  <c r="Q63" i="10" s="1"/>
  <c r="M64" i="10"/>
  <c r="N64" i="10" s="1"/>
  <c r="O64" i="10" s="1"/>
  <c r="P64" i="10" s="1"/>
  <c r="Q64" i="10" s="1"/>
  <c r="M65" i="10"/>
  <c r="M66" i="10"/>
  <c r="M8" i="10"/>
  <c r="M6" i="10"/>
  <c r="L77" i="10"/>
  <c r="L78" i="10"/>
  <c r="L79" i="10"/>
  <c r="L80" i="10"/>
  <c r="L81" i="10"/>
  <c r="N71" i="10"/>
  <c r="O71" i="10" s="1"/>
  <c r="P71" i="10" s="1"/>
  <c r="Q71" i="10" s="1"/>
  <c r="N70" i="10"/>
  <c r="O70" i="10" s="1"/>
  <c r="P70" i="10" s="1"/>
  <c r="Q70" i="10" s="1"/>
  <c r="R70" i="10" s="1"/>
  <c r="S70" i="10" s="1"/>
  <c r="T70" i="10" s="1"/>
  <c r="U70" i="10" s="1"/>
  <c r="N69" i="10"/>
  <c r="O69" i="10" s="1"/>
  <c r="P69" i="10" s="1"/>
  <c r="Q69" i="10" s="1"/>
  <c r="R69" i="10" s="1"/>
  <c r="S69" i="10" s="1"/>
  <c r="T69" i="10" s="1"/>
  <c r="U69" i="10" s="1"/>
  <c r="N68" i="10"/>
  <c r="O68" i="10" s="1"/>
  <c r="P68" i="10" s="1"/>
  <c r="Q68" i="10" s="1"/>
  <c r="L70" i="10"/>
  <c r="L66" i="10"/>
  <c r="L67" i="10"/>
  <c r="L68" i="10"/>
  <c r="L69" i="10"/>
  <c r="L71" i="10"/>
  <c r="L72" i="10"/>
  <c r="L73" i="10"/>
  <c r="L74" i="10"/>
  <c r="L75" i="10"/>
  <c r="L76" i="10"/>
  <c r="L65" i="10"/>
  <c r="L62" i="10"/>
  <c r="L63" i="10"/>
  <c r="L64" i="10"/>
  <c r="N55" i="10"/>
  <c r="O55" i="10" s="1"/>
  <c r="P55" i="10" s="1"/>
  <c r="Q55" i="10" s="1"/>
  <c r="L50" i="10"/>
  <c r="L51" i="10"/>
  <c r="L52" i="10"/>
  <c r="L53" i="10"/>
  <c r="L54" i="10"/>
  <c r="L55" i="10"/>
  <c r="L56" i="10"/>
  <c r="L57" i="10"/>
  <c r="L58" i="10"/>
  <c r="L59" i="10"/>
  <c r="L60" i="10"/>
  <c r="L61" i="10"/>
  <c r="L49" i="10"/>
  <c r="S48" i="10"/>
  <c r="T48" i="10" s="1"/>
  <c r="U48" i="10" s="1"/>
  <c r="V48" i="10" s="1"/>
  <c r="W48" i="10" s="1"/>
  <c r="X48" i="10" s="1"/>
  <c r="Y48" i="10" s="1"/>
  <c r="Z48" i="10" s="1"/>
  <c r="AA48" i="10" s="1"/>
  <c r="AB48" i="10" s="1"/>
  <c r="AC48" i="10" s="1"/>
  <c r="AD48" i="10" s="1"/>
  <c r="AE48" i="10" s="1"/>
  <c r="AF48" i="10" s="1"/>
  <c r="AG48" i="10" s="1"/>
  <c r="AG122" i="10" s="1"/>
  <c r="AH122" i="10" s="1"/>
  <c r="AI122" i="10" s="1"/>
  <c r="AJ122" i="10" s="1"/>
  <c r="AK122" i="10" s="1"/>
  <c r="L48" i="10"/>
  <c r="L122" i="10" s="1"/>
  <c r="L47" i="10"/>
  <c r="L44" i="10"/>
  <c r="L45" i="10"/>
  <c r="L46" i="10"/>
  <c r="L41" i="10"/>
  <c r="L42" i="10"/>
  <c r="L43" i="10"/>
  <c r="L40" i="10"/>
  <c r="L34" i="10"/>
  <c r="L35" i="10"/>
  <c r="L36" i="10"/>
  <c r="L37" i="10"/>
  <c r="L38" i="10"/>
  <c r="L39" i="10"/>
  <c r="L28" i="10"/>
  <c r="L29" i="10"/>
  <c r="L30" i="10"/>
  <c r="L31" i="10"/>
  <c r="L32" i="10"/>
  <c r="L33" i="10"/>
  <c r="L27" i="10"/>
  <c r="T26" i="10"/>
  <c r="U26" i="10" s="1"/>
  <c r="V26" i="10" s="1"/>
  <c r="W26" i="10" s="1"/>
  <c r="X26" i="10" s="1"/>
  <c r="Y26" i="10" s="1"/>
  <c r="L26" i="10"/>
  <c r="L23" i="10"/>
  <c r="L24" i="10"/>
  <c r="L25" i="10"/>
  <c r="L22" i="10"/>
  <c r="S21" i="10"/>
  <c r="T21" i="10" s="1"/>
  <c r="U21" i="10" s="1"/>
  <c r="V21" i="10" s="1"/>
  <c r="W21" i="10" s="1"/>
  <c r="X21" i="10" s="1"/>
  <c r="Y21" i="10" s="1"/>
  <c r="O21" i="10"/>
  <c r="P21" i="10" s="1"/>
  <c r="Q21" i="10" s="1"/>
  <c r="R21" i="10" s="1"/>
  <c r="L21" i="10"/>
  <c r="M5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4" i="10"/>
  <c r="M4" i="10"/>
  <c r="AE3" i="10"/>
  <c r="AF3" i="10" s="1"/>
  <c r="AG3" i="10" s="1"/>
  <c r="AH3" i="10" s="1"/>
  <c r="AI3" i="10" s="1"/>
  <c r="AJ3" i="10" s="1"/>
  <c r="AK3" i="10" s="1"/>
  <c r="AL3" i="10" s="1"/>
  <c r="AM3" i="10" s="1"/>
  <c r="AN3" i="10" s="1"/>
  <c r="AO3" i="10" s="1"/>
  <c r="AO123" i="10" s="1"/>
  <c r="AP123" i="10" s="1"/>
  <c r="W3" i="10"/>
  <c r="X3" i="10" s="1"/>
  <c r="Y3" i="10" s="1"/>
  <c r="Z3" i="10" s="1"/>
  <c r="AA3" i="10" s="1"/>
  <c r="AB3" i="10" s="1"/>
  <c r="AC3" i="10" s="1"/>
  <c r="AD3" i="10" s="1"/>
  <c r="AD123" i="10" s="1"/>
  <c r="O3" i="10"/>
  <c r="P3" i="10" s="1"/>
  <c r="Q3" i="10" s="1"/>
  <c r="R3" i="10" s="1"/>
  <c r="S3" i="10" s="1"/>
  <c r="T3" i="10" s="1"/>
  <c r="U3" i="10" s="1"/>
  <c r="V3" i="10" s="1"/>
  <c r="V123" i="10" s="1"/>
  <c r="M3" i="10"/>
  <c r="N3" i="10" s="1"/>
  <c r="N123" i="10" s="1"/>
  <c r="L3" i="10"/>
  <c r="L123" i="10" s="1"/>
  <c r="E7" i="10"/>
  <c r="E113" i="10" s="1"/>
  <c r="EE21" i="5" l="1"/>
  <c r="M118" i="10"/>
  <c r="I31" i="6"/>
  <c r="L117" i="10"/>
  <c r="M117" i="10"/>
  <c r="L118" i="10"/>
  <c r="E120" i="10"/>
  <c r="M124" i="10"/>
  <c r="N124" i="10" s="1"/>
  <c r="O124" i="10" s="1"/>
  <c r="P124" i="10" s="1"/>
  <c r="CQ3" i="7"/>
  <c r="CQ3" i="5"/>
  <c r="EC3" i="7"/>
  <c r="EC3" i="5"/>
  <c r="EA3" i="7"/>
  <c r="EA3" i="5"/>
  <c r="DY3" i="7"/>
  <c r="DY3" i="5"/>
  <c r="DW3" i="7"/>
  <c r="DW3" i="5"/>
  <c r="DU3" i="7"/>
  <c r="DU3" i="5"/>
  <c r="DS3" i="7"/>
  <c r="DS3" i="5"/>
  <c r="DQ3" i="7"/>
  <c r="DQ3" i="5"/>
  <c r="DO3" i="7"/>
  <c r="DO3" i="5"/>
  <c r="DM3" i="7"/>
  <c r="DM3" i="5"/>
  <c r="DK3" i="7"/>
  <c r="DK3" i="5"/>
  <c r="DI3" i="7"/>
  <c r="DI3" i="5"/>
  <c r="DG3" i="7"/>
  <c r="DG3" i="5"/>
  <c r="DE3" i="7"/>
  <c r="DE3" i="5"/>
  <c r="DC3" i="7"/>
  <c r="DC3" i="5"/>
  <c r="DA3" i="7"/>
  <c r="DA3" i="5"/>
  <c r="CY3" i="7"/>
  <c r="CY3" i="5"/>
  <c r="CW3" i="7"/>
  <c r="CW3" i="5"/>
  <c r="CU3" i="7"/>
  <c r="CU3" i="5"/>
  <c r="CS3" i="7"/>
  <c r="CS3" i="5"/>
  <c r="CQ130" i="10"/>
  <c r="EC130" i="10"/>
  <c r="EA130" i="10"/>
  <c r="DY130" i="10"/>
  <c r="DW130" i="10"/>
  <c r="DU130" i="10"/>
  <c r="DS130" i="10"/>
  <c r="DQ130" i="10"/>
  <c r="DO130" i="10"/>
  <c r="DM130" i="10"/>
  <c r="DK130" i="10"/>
  <c r="DI130" i="10"/>
  <c r="DG130" i="10"/>
  <c r="DE130" i="10"/>
  <c r="DC130" i="10"/>
  <c r="DA130" i="10"/>
  <c r="CY130" i="10"/>
  <c r="CW130" i="10"/>
  <c r="CU130" i="10"/>
  <c r="CS130" i="10"/>
  <c r="ED3" i="5"/>
  <c r="ED3" i="7"/>
  <c r="EB3" i="5"/>
  <c r="EB3" i="7"/>
  <c r="DZ3" i="5"/>
  <c r="DZ3" i="7"/>
  <c r="DX3" i="5"/>
  <c r="DX3" i="7"/>
  <c r="DV3" i="5"/>
  <c r="DV3" i="7"/>
  <c r="DT3" i="5"/>
  <c r="DT3" i="7"/>
  <c r="DR3" i="5"/>
  <c r="DR3" i="7"/>
  <c r="DP3" i="5"/>
  <c r="DP3" i="7"/>
  <c r="DN3" i="5"/>
  <c r="DN3" i="7"/>
  <c r="DL3" i="5"/>
  <c r="DL3" i="7"/>
  <c r="DJ3" i="5"/>
  <c r="DJ3" i="7"/>
  <c r="DH3" i="5"/>
  <c r="DH3" i="7"/>
  <c r="DF3" i="5"/>
  <c r="DF3" i="7"/>
  <c r="DD3" i="5"/>
  <c r="DD3" i="7"/>
  <c r="DB3" i="5"/>
  <c r="DB3" i="7"/>
  <c r="CZ3" i="5"/>
  <c r="CZ3" i="7"/>
  <c r="CX3" i="5"/>
  <c r="CX3" i="7"/>
  <c r="CV3" i="5"/>
  <c r="CV3" i="7"/>
  <c r="CT3" i="5"/>
  <c r="CT3" i="7"/>
  <c r="CR3" i="5"/>
  <c r="CR3" i="7"/>
  <c r="ED130" i="10"/>
  <c r="EB130" i="10"/>
  <c r="DZ130" i="10"/>
  <c r="DX130" i="10"/>
  <c r="DV130" i="10"/>
  <c r="DT130" i="10"/>
  <c r="DR130" i="10"/>
  <c r="DP130" i="10"/>
  <c r="DN130" i="10"/>
  <c r="DL130" i="10"/>
  <c r="DJ130" i="10"/>
  <c r="DH130" i="10"/>
  <c r="DF130" i="10"/>
  <c r="DD130" i="10"/>
  <c r="DB130" i="10"/>
  <c r="CZ130" i="10"/>
  <c r="CX130" i="10"/>
  <c r="CV130" i="10"/>
  <c r="CT130" i="10"/>
  <c r="CR130" i="10"/>
  <c r="EE23" i="7"/>
  <c r="P4" i="5"/>
  <c r="O8" i="5"/>
  <c r="N18" i="5"/>
  <c r="M18" i="5"/>
  <c r="L18" i="5"/>
  <c r="E124" i="10"/>
  <c r="L112" i="10"/>
  <c r="L124" i="10" s="1"/>
  <c r="M145" i="10"/>
  <c r="AL123" i="10"/>
  <c r="AL122" i="10"/>
  <c r="AM122" i="10" s="1"/>
  <c r="AN122" i="10" s="1"/>
  <c r="AO122" i="10" s="1"/>
  <c r="AP122" i="10" s="1"/>
  <c r="AQ122" i="10" s="1"/>
  <c r="AR122" i="10" s="1"/>
  <c r="AS122" i="10" s="1"/>
  <c r="AT122" i="10" s="1"/>
  <c r="AU122" i="10" s="1"/>
  <c r="AV122" i="10" s="1"/>
  <c r="AW122" i="10" s="1"/>
  <c r="AX122" i="10" s="1"/>
  <c r="AY122" i="10" s="1"/>
  <c r="AZ122" i="10" s="1"/>
  <c r="BA122" i="10" s="1"/>
  <c r="BB122" i="10" s="1"/>
  <c r="BC122" i="10" s="1"/>
  <c r="BD122" i="10" s="1"/>
  <c r="BE122" i="10" s="1"/>
  <c r="BF122" i="10" s="1"/>
  <c r="BG122" i="10" s="1"/>
  <c r="BH122" i="10" s="1"/>
  <c r="BI122" i="10" s="1"/>
  <c r="BJ122" i="10" s="1"/>
  <c r="BK122" i="10" s="1"/>
  <c r="BL122" i="10" s="1"/>
  <c r="BM122" i="10" s="1"/>
  <c r="BN122" i="10" s="1"/>
  <c r="BO122" i="10" s="1"/>
  <c r="BP122" i="10" s="1"/>
  <c r="BQ122" i="10" s="1"/>
  <c r="BR122" i="10" s="1"/>
  <c r="BS122" i="10" s="1"/>
  <c r="BT122" i="10" s="1"/>
  <c r="BU122" i="10" s="1"/>
  <c r="BV122" i="10" s="1"/>
  <c r="BW122" i="10" s="1"/>
  <c r="BX122" i="10" s="1"/>
  <c r="BY122" i="10" s="1"/>
  <c r="BZ122" i="10" s="1"/>
  <c r="CA122" i="10" s="1"/>
  <c r="CB122" i="10" s="1"/>
  <c r="CC122" i="10" s="1"/>
  <c r="CD122" i="10" s="1"/>
  <c r="CE122" i="10" s="1"/>
  <c r="CF122" i="10" s="1"/>
  <c r="CG122" i="10" s="1"/>
  <c r="CH122" i="10" s="1"/>
  <c r="CI122" i="10" s="1"/>
  <c r="CJ122" i="10" s="1"/>
  <c r="CK122" i="10" s="1"/>
  <c r="CL122" i="10" s="1"/>
  <c r="CM122" i="10" s="1"/>
  <c r="CN122" i="10" s="1"/>
  <c r="CO122" i="10" s="1"/>
  <c r="CP122" i="10" s="1"/>
  <c r="CQ122" i="10" s="1"/>
  <c r="CR122" i="10" s="1"/>
  <c r="CS122" i="10" s="1"/>
  <c r="CT122" i="10" s="1"/>
  <c r="CU122" i="10" s="1"/>
  <c r="CV122" i="10" s="1"/>
  <c r="CW122" i="10" s="1"/>
  <c r="CX122" i="10" s="1"/>
  <c r="CY122" i="10" s="1"/>
  <c r="CZ122" i="10" s="1"/>
  <c r="DA122" i="10" s="1"/>
  <c r="DB122" i="10" s="1"/>
  <c r="DC122" i="10" s="1"/>
  <c r="DD122" i="10" s="1"/>
  <c r="DE122" i="10" s="1"/>
  <c r="DF122" i="10" s="1"/>
  <c r="DG122" i="10" s="1"/>
  <c r="DH122" i="10" s="1"/>
  <c r="DI122" i="10" s="1"/>
  <c r="DJ122" i="10" s="1"/>
  <c r="DK122" i="10" s="1"/>
  <c r="DL122" i="10" s="1"/>
  <c r="DM122" i="10" s="1"/>
  <c r="DN122" i="10" s="1"/>
  <c r="DO122" i="10" s="1"/>
  <c r="DP122" i="10" s="1"/>
  <c r="DQ122" i="10" s="1"/>
  <c r="DR122" i="10" s="1"/>
  <c r="DS122" i="10" s="1"/>
  <c r="DT122" i="10" s="1"/>
  <c r="DU122" i="10" s="1"/>
  <c r="DV122" i="10" s="1"/>
  <c r="DW122" i="10" s="1"/>
  <c r="DX122" i="10" s="1"/>
  <c r="DY122" i="10" s="1"/>
  <c r="DZ122" i="10" s="1"/>
  <c r="EA122" i="10" s="1"/>
  <c r="EB122" i="10" s="1"/>
  <c r="EC122" i="10" s="1"/>
  <c r="ED122" i="10" s="1"/>
  <c r="AQ123" i="10"/>
  <c r="AB123" i="10"/>
  <c r="X123" i="10"/>
  <c r="Z123" i="10"/>
  <c r="AF122" i="10"/>
  <c r="AB122" i="10"/>
  <c r="X122" i="10"/>
  <c r="T122" i="10"/>
  <c r="AN123" i="10"/>
  <c r="AJ123" i="10"/>
  <c r="AH123" i="10"/>
  <c r="AF123" i="10"/>
  <c r="T123" i="10"/>
  <c r="R123" i="10"/>
  <c r="P123" i="10"/>
  <c r="M7" i="10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N121" i="10"/>
  <c r="AD122" i="10"/>
  <c r="Z122" i="10"/>
  <c r="V122" i="10"/>
  <c r="AM123" i="10"/>
  <c r="AK123" i="10"/>
  <c r="AI123" i="10"/>
  <c r="AG123" i="10"/>
  <c r="AE123" i="10"/>
  <c r="AC123" i="10"/>
  <c r="AA123" i="10"/>
  <c r="Y123" i="10"/>
  <c r="W123" i="10"/>
  <c r="U123" i="10"/>
  <c r="S123" i="10"/>
  <c r="Q123" i="10"/>
  <c r="O123" i="10"/>
  <c r="M123" i="10"/>
  <c r="I123" i="10" s="1"/>
  <c r="P122" i="10"/>
  <c r="N122" i="10"/>
  <c r="L120" i="10"/>
  <c r="V121" i="10"/>
  <c r="AC121" i="10"/>
  <c r="AD121" i="10" s="1"/>
  <c r="AE122" i="10"/>
  <c r="AC122" i="10"/>
  <c r="AA122" i="10"/>
  <c r="Y122" i="10"/>
  <c r="W122" i="10"/>
  <c r="U122" i="10"/>
  <c r="S122" i="10"/>
  <c r="Q122" i="10"/>
  <c r="O122" i="10"/>
  <c r="M122" i="10"/>
  <c r="I122" i="10" s="1"/>
  <c r="M121" i="10"/>
  <c r="I121" i="10" s="1"/>
  <c r="AA121" i="10"/>
  <c r="Y121" i="10"/>
  <c r="W121" i="10"/>
  <c r="U121" i="10"/>
  <c r="S121" i="10"/>
  <c r="Q121" i="10"/>
  <c r="O121" i="10"/>
  <c r="Y120" i="10"/>
  <c r="Z120" i="10" s="1"/>
  <c r="I118" i="10"/>
  <c r="M120" i="10"/>
  <c r="AB121" i="10"/>
  <c r="Z121" i="10"/>
  <c r="X121" i="10"/>
  <c r="T121" i="10"/>
  <c r="R121" i="10"/>
  <c r="P121" i="10"/>
  <c r="U119" i="10"/>
  <c r="V119" i="10" s="1"/>
  <c r="W119" i="10" s="1"/>
  <c r="X119" i="10" s="1"/>
  <c r="Y119" i="10" s="1"/>
  <c r="Z119" i="10" s="1"/>
  <c r="AA119" i="10" s="1"/>
  <c r="AB119" i="10" s="1"/>
  <c r="AC119" i="10" s="1"/>
  <c r="AD119" i="10" s="1"/>
  <c r="AE119" i="10" s="1"/>
  <c r="AF119" i="10" s="1"/>
  <c r="AG119" i="10" s="1"/>
  <c r="AH119" i="10" s="1"/>
  <c r="X120" i="10"/>
  <c r="L119" i="10"/>
  <c r="N6" i="10"/>
  <c r="T119" i="10"/>
  <c r="R119" i="10"/>
  <c r="P119" i="10"/>
  <c r="N119" i="10"/>
  <c r="S119" i="10"/>
  <c r="Q119" i="10"/>
  <c r="O119" i="10"/>
  <c r="M119" i="10"/>
  <c r="I119" i="10" s="1"/>
  <c r="I24" i="1"/>
  <c r="I23" i="1"/>
  <c r="A62" i="3"/>
  <c r="M125" i="10" l="1"/>
  <c r="M132" i="10" s="1"/>
  <c r="M131" i="10" s="1"/>
  <c r="E125" i="10"/>
  <c r="I120" i="10"/>
  <c r="J31" i="6"/>
  <c r="O6" i="10"/>
  <c r="P6" i="10" s="1"/>
  <c r="Q6" i="10" s="1"/>
  <c r="Q118" i="10" s="1"/>
  <c r="R118" i="10" s="1"/>
  <c r="S118" i="10" s="1"/>
  <c r="T118" i="10" s="1"/>
  <c r="U118" i="10" s="1"/>
  <c r="N118" i="10"/>
  <c r="S120" i="10"/>
  <c r="N145" i="10"/>
  <c r="O145" i="10" s="1"/>
  <c r="P145" i="10" s="1"/>
  <c r="Q145" i="10" s="1"/>
  <c r="R145" i="10" s="1"/>
  <c r="S145" i="10" s="1"/>
  <c r="T145" i="10" s="1"/>
  <c r="U145" i="10" s="1"/>
  <c r="V145" i="10" s="1"/>
  <c r="W145" i="10" s="1"/>
  <c r="X145" i="10" s="1"/>
  <c r="Y145" i="10" s="1"/>
  <c r="Z145" i="10" s="1"/>
  <c r="AA145" i="10" s="1"/>
  <c r="AB145" i="10" s="1"/>
  <c r="AC145" i="10" s="1"/>
  <c r="AD145" i="10" s="1"/>
  <c r="AE145" i="10" s="1"/>
  <c r="AF145" i="10" s="1"/>
  <c r="AG145" i="10" s="1"/>
  <c r="AH145" i="10" s="1"/>
  <c r="AI145" i="10" s="1"/>
  <c r="AJ145" i="10" s="1"/>
  <c r="AK145" i="10" s="1"/>
  <c r="AL145" i="10" s="1"/>
  <c r="AM145" i="10" s="1"/>
  <c r="AN145" i="10" s="1"/>
  <c r="AO145" i="10" s="1"/>
  <c r="AP145" i="10" s="1"/>
  <c r="AQ145" i="10" s="1"/>
  <c r="AR145" i="10" s="1"/>
  <c r="AS145" i="10" s="1"/>
  <c r="AT145" i="10" s="1"/>
  <c r="AU145" i="10" s="1"/>
  <c r="AV145" i="10" s="1"/>
  <c r="AW145" i="10" s="1"/>
  <c r="AX145" i="10" s="1"/>
  <c r="AY145" i="10" s="1"/>
  <c r="AZ145" i="10" s="1"/>
  <c r="BA145" i="10" s="1"/>
  <c r="BB145" i="10" s="1"/>
  <c r="BC145" i="10" s="1"/>
  <c r="BD145" i="10" s="1"/>
  <c r="BE145" i="10" s="1"/>
  <c r="BF145" i="10" s="1"/>
  <c r="BG145" i="10" s="1"/>
  <c r="BH145" i="10" s="1"/>
  <c r="BI145" i="10" s="1"/>
  <c r="BJ145" i="10" s="1"/>
  <c r="BK145" i="10" s="1"/>
  <c r="BL145" i="10" s="1"/>
  <c r="BM145" i="10" s="1"/>
  <c r="BN145" i="10" s="1"/>
  <c r="BO145" i="10" s="1"/>
  <c r="BP145" i="10" s="1"/>
  <c r="BQ145" i="10" s="1"/>
  <c r="BR145" i="10" s="1"/>
  <c r="BS145" i="10" s="1"/>
  <c r="BT145" i="10" s="1"/>
  <c r="BU145" i="10" s="1"/>
  <c r="BV145" i="10" s="1"/>
  <c r="BW145" i="10" s="1"/>
  <c r="BX145" i="10" s="1"/>
  <c r="BY145" i="10" s="1"/>
  <c r="BZ145" i="10" s="1"/>
  <c r="CA145" i="10" s="1"/>
  <c r="CB145" i="10" s="1"/>
  <c r="CC145" i="10" s="1"/>
  <c r="CD145" i="10" s="1"/>
  <c r="CE145" i="10" s="1"/>
  <c r="CF145" i="10" s="1"/>
  <c r="CG145" i="10" s="1"/>
  <c r="CH145" i="10" s="1"/>
  <c r="CI145" i="10" s="1"/>
  <c r="CJ145" i="10" s="1"/>
  <c r="CK145" i="10" s="1"/>
  <c r="CL145" i="10" s="1"/>
  <c r="CM145" i="10" s="1"/>
  <c r="CN145" i="10" s="1"/>
  <c r="CO145" i="10" s="1"/>
  <c r="CP145" i="10" s="1"/>
  <c r="CQ145" i="10" s="1"/>
  <c r="CR145" i="10" s="1"/>
  <c r="CS145" i="10" s="1"/>
  <c r="CT145" i="10" s="1"/>
  <c r="CU145" i="10" s="1"/>
  <c r="CV145" i="10" s="1"/>
  <c r="CW145" i="10" s="1"/>
  <c r="CX145" i="10" s="1"/>
  <c r="CY145" i="10" s="1"/>
  <c r="CZ145" i="10" s="1"/>
  <c r="DA145" i="10" s="1"/>
  <c r="DB145" i="10" s="1"/>
  <c r="DC145" i="10" s="1"/>
  <c r="DD145" i="10" s="1"/>
  <c r="DE145" i="10" s="1"/>
  <c r="DF145" i="10" s="1"/>
  <c r="DG145" i="10" s="1"/>
  <c r="DH145" i="10" s="1"/>
  <c r="DI145" i="10" s="1"/>
  <c r="P120" i="10"/>
  <c r="O7" i="5"/>
  <c r="Q4" i="5"/>
  <c r="P8" i="5"/>
  <c r="P7" i="5" s="1"/>
  <c r="AR123" i="10"/>
  <c r="AS123" i="10" s="1"/>
  <c r="AT123" i="10" s="1"/>
  <c r="AU123" i="10" s="1"/>
  <c r="AV123" i="10" s="1"/>
  <c r="AW123" i="10" s="1"/>
  <c r="AX123" i="10" s="1"/>
  <c r="AY123" i="10" s="1"/>
  <c r="AZ123" i="10" s="1"/>
  <c r="BA123" i="10" s="1"/>
  <c r="BB123" i="10" s="1"/>
  <c r="BC123" i="10" s="1"/>
  <c r="BD123" i="10" s="1"/>
  <c r="BE123" i="10" s="1"/>
  <c r="BF123" i="10" s="1"/>
  <c r="BG123" i="10" s="1"/>
  <c r="BH123" i="10" s="1"/>
  <c r="BI123" i="10" s="1"/>
  <c r="BJ123" i="10" s="1"/>
  <c r="BK123" i="10" s="1"/>
  <c r="BL123" i="10" s="1"/>
  <c r="BM123" i="10" s="1"/>
  <c r="BN123" i="10" s="1"/>
  <c r="BO123" i="10" s="1"/>
  <c r="BP123" i="10" s="1"/>
  <c r="BQ123" i="10" s="1"/>
  <c r="BR123" i="10" s="1"/>
  <c r="BS123" i="10" s="1"/>
  <c r="BT123" i="10" s="1"/>
  <c r="BU123" i="10" s="1"/>
  <c r="BV123" i="10" s="1"/>
  <c r="BW123" i="10" s="1"/>
  <c r="BX123" i="10" s="1"/>
  <c r="BY123" i="10" s="1"/>
  <c r="BZ123" i="10" s="1"/>
  <c r="CA123" i="10" s="1"/>
  <c r="CB123" i="10" s="1"/>
  <c r="CC123" i="10" s="1"/>
  <c r="CD123" i="10" s="1"/>
  <c r="CE123" i="10" s="1"/>
  <c r="CF123" i="10" s="1"/>
  <c r="CG123" i="10" s="1"/>
  <c r="CH123" i="10" s="1"/>
  <c r="CI123" i="10" s="1"/>
  <c r="CJ123" i="10" s="1"/>
  <c r="CK123" i="10" s="1"/>
  <c r="CL123" i="10" s="1"/>
  <c r="CM123" i="10" s="1"/>
  <c r="CN123" i="10" s="1"/>
  <c r="CO123" i="10" s="1"/>
  <c r="CP123" i="10" s="1"/>
  <c r="CQ123" i="10" s="1"/>
  <c r="CR123" i="10" s="1"/>
  <c r="CS123" i="10" s="1"/>
  <c r="CT123" i="10" s="1"/>
  <c r="CU123" i="10" s="1"/>
  <c r="CV123" i="10" s="1"/>
  <c r="CW123" i="10" s="1"/>
  <c r="CX123" i="10" s="1"/>
  <c r="CY123" i="10" s="1"/>
  <c r="CZ123" i="10" s="1"/>
  <c r="DA123" i="10" s="1"/>
  <c r="DB123" i="10" s="1"/>
  <c r="DC123" i="10" s="1"/>
  <c r="DD123" i="10" s="1"/>
  <c r="DE123" i="10" s="1"/>
  <c r="DF123" i="10" s="1"/>
  <c r="DG123" i="10" s="1"/>
  <c r="DH123" i="10" s="1"/>
  <c r="DI123" i="10" s="1"/>
  <c r="DJ123" i="10" s="1"/>
  <c r="DK123" i="10" s="1"/>
  <c r="DL123" i="10" s="1"/>
  <c r="DM123" i="10" s="1"/>
  <c r="DN123" i="10" s="1"/>
  <c r="DO123" i="10" s="1"/>
  <c r="DP123" i="10" s="1"/>
  <c r="DQ123" i="10" s="1"/>
  <c r="DR123" i="10" s="1"/>
  <c r="DS123" i="10" s="1"/>
  <c r="DT123" i="10" s="1"/>
  <c r="DU123" i="10" s="1"/>
  <c r="DV123" i="10" s="1"/>
  <c r="DW123" i="10" s="1"/>
  <c r="DX123" i="10" s="1"/>
  <c r="DY123" i="10" s="1"/>
  <c r="DZ123" i="10" s="1"/>
  <c r="EA123" i="10" s="1"/>
  <c r="EB123" i="10" s="1"/>
  <c r="EC123" i="10" s="1"/>
  <c r="ED123" i="10" s="1"/>
  <c r="EE122" i="10"/>
  <c r="AE121" i="10"/>
  <c r="AF121" i="10" s="1"/>
  <c r="AG121" i="10" s="1"/>
  <c r="AH121" i="10" s="1"/>
  <c r="AI121" i="10" s="1"/>
  <c r="AJ121" i="10" s="1"/>
  <c r="AK121" i="10" s="1"/>
  <c r="AL121" i="10" s="1"/>
  <c r="AM121" i="10" s="1"/>
  <c r="AN121" i="10" s="1"/>
  <c r="AO121" i="10" s="1"/>
  <c r="AA120" i="10"/>
  <c r="AB120" i="10" s="1"/>
  <c r="AC120" i="10" s="1"/>
  <c r="AD120" i="10" s="1"/>
  <c r="AE120" i="10" s="1"/>
  <c r="AF120" i="10" s="1"/>
  <c r="AG120" i="10" s="1"/>
  <c r="AH120" i="10" s="1"/>
  <c r="AI120" i="10" s="1"/>
  <c r="AJ120" i="10" s="1"/>
  <c r="AK120" i="10" s="1"/>
  <c r="L125" i="10"/>
  <c r="L132" i="10" s="1"/>
  <c r="L131" i="10" s="1"/>
  <c r="I117" i="10"/>
  <c r="N117" i="10"/>
  <c r="Q124" i="10"/>
  <c r="O120" i="10"/>
  <c r="W120" i="10"/>
  <c r="T120" i="10"/>
  <c r="Q120" i="10"/>
  <c r="U120" i="10"/>
  <c r="N120" i="10"/>
  <c r="R120" i="10"/>
  <c r="V120" i="10"/>
  <c r="L48" i="3"/>
  <c r="CQ53" i="3"/>
  <c r="CQ54" i="3"/>
  <c r="L28" i="5" l="1"/>
  <c r="P118" i="10"/>
  <c r="K31" i="6"/>
  <c r="O118" i="10"/>
  <c r="R4" i="5"/>
  <c r="Q8" i="5"/>
  <c r="P19" i="5"/>
  <c r="P20" i="5"/>
  <c r="O19" i="5"/>
  <c r="O20" i="5"/>
  <c r="EE123" i="10"/>
  <c r="M143" i="10"/>
  <c r="M144" i="10"/>
  <c r="L143" i="10"/>
  <c r="L144" i="10"/>
  <c r="DJ145" i="10"/>
  <c r="AP121" i="10"/>
  <c r="AQ121" i="10" s="1"/>
  <c r="AR121" i="10" s="1"/>
  <c r="AS121" i="10" s="1"/>
  <c r="AT121" i="10" s="1"/>
  <c r="AU121" i="10" s="1"/>
  <c r="AV121" i="10" s="1"/>
  <c r="AW121" i="10" s="1"/>
  <c r="AX121" i="10" s="1"/>
  <c r="AY121" i="10" s="1"/>
  <c r="AZ121" i="10" s="1"/>
  <c r="BA121" i="10" s="1"/>
  <c r="BB121" i="10" s="1"/>
  <c r="BC121" i="10" s="1"/>
  <c r="BD121" i="10" s="1"/>
  <c r="BE121" i="10" s="1"/>
  <c r="BF121" i="10" s="1"/>
  <c r="BG121" i="10" s="1"/>
  <c r="BH121" i="10" s="1"/>
  <c r="BI121" i="10" s="1"/>
  <c r="BJ121" i="10" s="1"/>
  <c r="BK121" i="10" s="1"/>
  <c r="BL121" i="10" s="1"/>
  <c r="BM121" i="10" s="1"/>
  <c r="BN121" i="10" s="1"/>
  <c r="BO121" i="10" s="1"/>
  <c r="BP121" i="10" s="1"/>
  <c r="BQ121" i="10" s="1"/>
  <c r="BR121" i="10" s="1"/>
  <c r="BS121" i="10" s="1"/>
  <c r="BT121" i="10" s="1"/>
  <c r="BU121" i="10" s="1"/>
  <c r="BV121" i="10" s="1"/>
  <c r="BW121" i="10" s="1"/>
  <c r="BX121" i="10" s="1"/>
  <c r="BY121" i="10" s="1"/>
  <c r="BZ121" i="10" s="1"/>
  <c r="CA121" i="10" s="1"/>
  <c r="CB121" i="10" s="1"/>
  <c r="CC121" i="10" s="1"/>
  <c r="CD121" i="10" s="1"/>
  <c r="CE121" i="10" s="1"/>
  <c r="CF121" i="10" s="1"/>
  <c r="CG121" i="10" s="1"/>
  <c r="CH121" i="10" s="1"/>
  <c r="CI121" i="10" s="1"/>
  <c r="CJ121" i="10" s="1"/>
  <c r="CK121" i="10" s="1"/>
  <c r="CL121" i="10" s="1"/>
  <c r="CM121" i="10" s="1"/>
  <c r="CN121" i="10" s="1"/>
  <c r="CO121" i="10" s="1"/>
  <c r="CP121" i="10" s="1"/>
  <c r="CQ121" i="10" s="1"/>
  <c r="CR121" i="10" s="1"/>
  <c r="CS121" i="10" s="1"/>
  <c r="CT121" i="10" s="1"/>
  <c r="CU121" i="10" s="1"/>
  <c r="CV121" i="10" s="1"/>
  <c r="CW121" i="10" s="1"/>
  <c r="CX121" i="10" s="1"/>
  <c r="CY121" i="10" s="1"/>
  <c r="CZ121" i="10" s="1"/>
  <c r="DA121" i="10" s="1"/>
  <c r="DB121" i="10" s="1"/>
  <c r="DC121" i="10" s="1"/>
  <c r="DD121" i="10" s="1"/>
  <c r="DE121" i="10" s="1"/>
  <c r="DF121" i="10" s="1"/>
  <c r="DG121" i="10" s="1"/>
  <c r="DH121" i="10" s="1"/>
  <c r="DI121" i="10" s="1"/>
  <c r="DJ121" i="10" s="1"/>
  <c r="DK121" i="10" s="1"/>
  <c r="DL121" i="10" s="1"/>
  <c r="DM121" i="10" s="1"/>
  <c r="DN121" i="10" s="1"/>
  <c r="DO121" i="10" s="1"/>
  <c r="DP121" i="10" s="1"/>
  <c r="DQ121" i="10" s="1"/>
  <c r="DR121" i="10" s="1"/>
  <c r="DS121" i="10" s="1"/>
  <c r="DT121" i="10" s="1"/>
  <c r="DU121" i="10" s="1"/>
  <c r="DV121" i="10" s="1"/>
  <c r="DW121" i="10" s="1"/>
  <c r="DX121" i="10" s="1"/>
  <c r="DY121" i="10" s="1"/>
  <c r="DZ121" i="10" s="1"/>
  <c r="EA121" i="10" s="1"/>
  <c r="EB121" i="10" s="1"/>
  <c r="EC121" i="10" s="1"/>
  <c r="ED121" i="10" s="1"/>
  <c r="R124" i="10"/>
  <c r="S124" i="10" s="1"/>
  <c r="T124" i="10" s="1"/>
  <c r="U124" i="10" s="1"/>
  <c r="V124" i="10" s="1"/>
  <c r="W124" i="10" s="1"/>
  <c r="X124" i="10" s="1"/>
  <c r="Y124" i="10" s="1"/>
  <c r="Z124" i="10" s="1"/>
  <c r="AA124" i="10" s="1"/>
  <c r="AB124" i="10" s="1"/>
  <c r="AC124" i="10" s="1"/>
  <c r="AD124" i="10" s="1"/>
  <c r="AE124" i="10" s="1"/>
  <c r="AF124" i="10" s="1"/>
  <c r="AG124" i="10" s="1"/>
  <c r="AH124" i="10" s="1"/>
  <c r="O117" i="10"/>
  <c r="N125" i="10"/>
  <c r="N132" i="10" s="1"/>
  <c r="N131" i="10" s="1"/>
  <c r="AL120" i="10"/>
  <c r="AM120" i="10" s="1"/>
  <c r="AN120" i="10" s="1"/>
  <c r="AO120" i="10" s="1"/>
  <c r="AI119" i="10"/>
  <c r="V118" i="10"/>
  <c r="E65" i="3"/>
  <c r="H9" i="1"/>
  <c r="H7" i="1"/>
  <c r="H8" i="1"/>
  <c r="H6" i="1"/>
  <c r="G9" i="1"/>
  <c r="G8" i="1"/>
  <c r="G7" i="1"/>
  <c r="F25" i="1"/>
  <c r="F21" i="1"/>
  <c r="M65" i="3" l="1"/>
  <c r="L65" i="3"/>
  <c r="L31" i="6"/>
  <c r="I29" i="3"/>
  <c r="M29" i="3" s="1"/>
  <c r="N29" i="3" s="1"/>
  <c r="I32" i="3"/>
  <c r="O18" i="5"/>
  <c r="L30" i="5" s="1"/>
  <c r="P18" i="5"/>
  <c r="Q7" i="5"/>
  <c r="S4" i="5"/>
  <c r="R8" i="5"/>
  <c r="R7" i="5" s="1"/>
  <c r="AJ119" i="10"/>
  <c r="AK119" i="10" s="1"/>
  <c r="AL119" i="10" s="1"/>
  <c r="AM119" i="10" s="1"/>
  <c r="AN119" i="10" s="1"/>
  <c r="AO119" i="10" s="1"/>
  <c r="AI124" i="10"/>
  <c r="AJ124" i="10" s="1"/>
  <c r="AK124" i="10" s="1"/>
  <c r="AL124" i="10" s="1"/>
  <c r="AM124" i="10" s="1"/>
  <c r="AN124" i="10" s="1"/>
  <c r="AO124" i="10" s="1"/>
  <c r="AP124" i="10" s="1"/>
  <c r="AQ124" i="10" s="1"/>
  <c r="AR124" i="10" s="1"/>
  <c r="AS124" i="10" s="1"/>
  <c r="AT124" i="10" s="1"/>
  <c r="AU124" i="10" s="1"/>
  <c r="AV124" i="10" s="1"/>
  <c r="AW124" i="10" s="1"/>
  <c r="AX124" i="10" s="1"/>
  <c r="AY124" i="10" s="1"/>
  <c r="AZ124" i="10" s="1"/>
  <c r="BA124" i="10" s="1"/>
  <c r="BB124" i="10" s="1"/>
  <c r="BC124" i="10" s="1"/>
  <c r="BD124" i="10" s="1"/>
  <c r="BE124" i="10" s="1"/>
  <c r="BF124" i="10" s="1"/>
  <c r="BG124" i="10" s="1"/>
  <c r="BH124" i="10" s="1"/>
  <c r="BI124" i="10" s="1"/>
  <c r="BJ124" i="10" s="1"/>
  <c r="BK124" i="10" s="1"/>
  <c r="BL124" i="10" s="1"/>
  <c r="BM124" i="10" s="1"/>
  <c r="BN124" i="10" s="1"/>
  <c r="BO124" i="10" s="1"/>
  <c r="BP124" i="10" s="1"/>
  <c r="BQ124" i="10" s="1"/>
  <c r="BR124" i="10" s="1"/>
  <c r="BS124" i="10" s="1"/>
  <c r="BT124" i="10" s="1"/>
  <c r="BU124" i="10" s="1"/>
  <c r="BV124" i="10" s="1"/>
  <c r="BW124" i="10" s="1"/>
  <c r="BX124" i="10" s="1"/>
  <c r="BY124" i="10" s="1"/>
  <c r="BZ124" i="10" s="1"/>
  <c r="CA124" i="10" s="1"/>
  <c r="CB124" i="10" s="1"/>
  <c r="CC124" i="10" s="1"/>
  <c r="CD124" i="10" s="1"/>
  <c r="CE124" i="10" s="1"/>
  <c r="CF124" i="10" s="1"/>
  <c r="CG124" i="10" s="1"/>
  <c r="CH124" i="10" s="1"/>
  <c r="CI124" i="10" s="1"/>
  <c r="CJ124" i="10" s="1"/>
  <c r="CK124" i="10" s="1"/>
  <c r="CL124" i="10" s="1"/>
  <c r="CM124" i="10" s="1"/>
  <c r="CN124" i="10" s="1"/>
  <c r="CO124" i="10" s="1"/>
  <c r="CP124" i="10" s="1"/>
  <c r="CQ124" i="10" s="1"/>
  <c r="CR124" i="10" s="1"/>
  <c r="CS124" i="10" s="1"/>
  <c r="CT124" i="10" s="1"/>
  <c r="CU124" i="10" s="1"/>
  <c r="CV124" i="10" s="1"/>
  <c r="CW124" i="10" s="1"/>
  <c r="CX124" i="10" s="1"/>
  <c r="CY124" i="10" s="1"/>
  <c r="CZ124" i="10" s="1"/>
  <c r="DA124" i="10" s="1"/>
  <c r="DB124" i="10" s="1"/>
  <c r="DC124" i="10" s="1"/>
  <c r="DD124" i="10" s="1"/>
  <c r="DE124" i="10" s="1"/>
  <c r="DF124" i="10" s="1"/>
  <c r="DG124" i="10" s="1"/>
  <c r="DH124" i="10" s="1"/>
  <c r="DI124" i="10" s="1"/>
  <c r="DJ124" i="10" s="1"/>
  <c r="DK124" i="10" s="1"/>
  <c r="DL124" i="10" s="1"/>
  <c r="DM124" i="10" s="1"/>
  <c r="DN124" i="10" s="1"/>
  <c r="DO124" i="10" s="1"/>
  <c r="DP124" i="10" s="1"/>
  <c r="DQ124" i="10" s="1"/>
  <c r="DR124" i="10" s="1"/>
  <c r="DS124" i="10" s="1"/>
  <c r="DT124" i="10" s="1"/>
  <c r="DU124" i="10" s="1"/>
  <c r="DV124" i="10" s="1"/>
  <c r="DW124" i="10" s="1"/>
  <c r="DX124" i="10" s="1"/>
  <c r="DY124" i="10" s="1"/>
  <c r="DZ124" i="10" s="1"/>
  <c r="EA124" i="10" s="1"/>
  <c r="EB124" i="10" s="1"/>
  <c r="EC124" i="10" s="1"/>
  <c r="ED124" i="10" s="1"/>
  <c r="EE121" i="10"/>
  <c r="N143" i="10"/>
  <c r="N144" i="10"/>
  <c r="DK145" i="10"/>
  <c r="P117" i="10"/>
  <c r="O125" i="10"/>
  <c r="L142" i="10"/>
  <c r="M142" i="10"/>
  <c r="AP120" i="10"/>
  <c r="AQ120" i="10" s="1"/>
  <c r="AR120" i="10" s="1"/>
  <c r="AS120" i="10" s="1"/>
  <c r="AT120" i="10" s="1"/>
  <c r="AU120" i="10" s="1"/>
  <c r="AV120" i="10" s="1"/>
  <c r="AW120" i="10" s="1"/>
  <c r="AX120" i="10" s="1"/>
  <c r="AY120" i="10" s="1"/>
  <c r="AZ120" i="10" s="1"/>
  <c r="BA120" i="10" s="1"/>
  <c r="BB120" i="10" s="1"/>
  <c r="BC120" i="10" s="1"/>
  <c r="BD120" i="10" s="1"/>
  <c r="BE120" i="10" s="1"/>
  <c r="BF120" i="10" s="1"/>
  <c r="BG120" i="10" s="1"/>
  <c r="BH120" i="10" s="1"/>
  <c r="BI120" i="10" s="1"/>
  <c r="BJ120" i="10" s="1"/>
  <c r="BK120" i="10" s="1"/>
  <c r="BL120" i="10" s="1"/>
  <c r="BM120" i="10" s="1"/>
  <c r="BN120" i="10" s="1"/>
  <c r="BO120" i="10" s="1"/>
  <c r="BP120" i="10" s="1"/>
  <c r="BQ120" i="10" s="1"/>
  <c r="BR120" i="10" s="1"/>
  <c r="BS120" i="10" s="1"/>
  <c r="BT120" i="10" s="1"/>
  <c r="BU120" i="10" s="1"/>
  <c r="BV120" i="10" s="1"/>
  <c r="BW120" i="10" s="1"/>
  <c r="BX120" i="10" s="1"/>
  <c r="BY120" i="10" s="1"/>
  <c r="BZ120" i="10" s="1"/>
  <c r="CA120" i="10" s="1"/>
  <c r="CB120" i="10" s="1"/>
  <c r="CC120" i="10" s="1"/>
  <c r="CD120" i="10" s="1"/>
  <c r="CE120" i="10" s="1"/>
  <c r="CF120" i="10" s="1"/>
  <c r="CG120" i="10" s="1"/>
  <c r="CH120" i="10" s="1"/>
  <c r="CI120" i="10" s="1"/>
  <c r="CJ120" i="10" s="1"/>
  <c r="CK120" i="10" s="1"/>
  <c r="CL120" i="10" s="1"/>
  <c r="CM120" i="10" s="1"/>
  <c r="CN120" i="10" s="1"/>
  <c r="CO120" i="10" s="1"/>
  <c r="CP120" i="10" s="1"/>
  <c r="CQ120" i="10" s="1"/>
  <c r="CR120" i="10" s="1"/>
  <c r="CS120" i="10" s="1"/>
  <c r="CT120" i="10" s="1"/>
  <c r="CU120" i="10" s="1"/>
  <c r="CV120" i="10" s="1"/>
  <c r="CW120" i="10" s="1"/>
  <c r="CX120" i="10" s="1"/>
  <c r="CY120" i="10" s="1"/>
  <c r="CZ120" i="10" s="1"/>
  <c r="DA120" i="10" s="1"/>
  <c r="DB120" i="10" s="1"/>
  <c r="DC120" i="10" s="1"/>
  <c r="DD120" i="10" s="1"/>
  <c r="DE120" i="10" s="1"/>
  <c r="DF120" i="10" s="1"/>
  <c r="DG120" i="10" s="1"/>
  <c r="DH120" i="10" s="1"/>
  <c r="DI120" i="10" s="1"/>
  <c r="DJ120" i="10" s="1"/>
  <c r="DK120" i="10" s="1"/>
  <c r="DL120" i="10" s="1"/>
  <c r="DM120" i="10" s="1"/>
  <c r="DN120" i="10" s="1"/>
  <c r="DO120" i="10" s="1"/>
  <c r="DP120" i="10" s="1"/>
  <c r="DQ120" i="10" s="1"/>
  <c r="DR120" i="10" s="1"/>
  <c r="DS120" i="10" s="1"/>
  <c r="DT120" i="10" s="1"/>
  <c r="DU120" i="10" s="1"/>
  <c r="DV120" i="10" s="1"/>
  <c r="DW120" i="10" s="1"/>
  <c r="DX120" i="10" s="1"/>
  <c r="DY120" i="10" s="1"/>
  <c r="DZ120" i="10" s="1"/>
  <c r="EA120" i="10" s="1"/>
  <c r="EB120" i="10" s="1"/>
  <c r="EC120" i="10" s="1"/>
  <c r="ED120" i="10" s="1"/>
  <c r="W118" i="10"/>
  <c r="N65" i="3"/>
  <c r="O65" i="3" s="1"/>
  <c r="P65" i="3" s="1"/>
  <c r="Q65" i="3" s="1"/>
  <c r="R65" i="3" s="1"/>
  <c r="S65" i="3" s="1"/>
  <c r="T65" i="3" s="1"/>
  <c r="U65" i="3" s="1"/>
  <c r="V65" i="3" s="1"/>
  <c r="W65" i="3" s="1"/>
  <c r="X65" i="3" s="1"/>
  <c r="Y65" i="3" s="1"/>
  <c r="Z65" i="3" s="1"/>
  <c r="AA65" i="3" s="1"/>
  <c r="AB65" i="3" s="1"/>
  <c r="AC65" i="3" s="1"/>
  <c r="AD65" i="3" s="1"/>
  <c r="AE65" i="3" s="1"/>
  <c r="AF65" i="3" s="1"/>
  <c r="AG65" i="3" s="1"/>
  <c r="AH65" i="3" s="1"/>
  <c r="AI65" i="3" s="1"/>
  <c r="AJ65" i="3" s="1"/>
  <c r="AK65" i="3" s="1"/>
  <c r="AL65" i="3" s="1"/>
  <c r="AM65" i="3" s="1"/>
  <c r="AN65" i="3" s="1"/>
  <c r="AO65" i="3" s="1"/>
  <c r="AP65" i="3" s="1"/>
  <c r="AQ65" i="3" s="1"/>
  <c r="AR65" i="3" s="1"/>
  <c r="AS65" i="3" s="1"/>
  <c r="AT65" i="3" s="1"/>
  <c r="AU65" i="3" s="1"/>
  <c r="AV65" i="3" s="1"/>
  <c r="AW65" i="3" s="1"/>
  <c r="AX65" i="3" s="1"/>
  <c r="AY65" i="3" s="1"/>
  <c r="AZ65" i="3" s="1"/>
  <c r="BA65" i="3" s="1"/>
  <c r="BB65" i="3" s="1"/>
  <c r="BC65" i="3" s="1"/>
  <c r="BD65" i="3" s="1"/>
  <c r="BE65" i="3" s="1"/>
  <c r="BF65" i="3" s="1"/>
  <c r="BG65" i="3" s="1"/>
  <c r="BH65" i="3" s="1"/>
  <c r="BI65" i="3" s="1"/>
  <c r="BJ65" i="3" s="1"/>
  <c r="BK65" i="3" s="1"/>
  <c r="BL65" i="3" s="1"/>
  <c r="BM65" i="3" s="1"/>
  <c r="BN65" i="3" s="1"/>
  <c r="BO65" i="3" s="1"/>
  <c r="BP65" i="3" s="1"/>
  <c r="BQ65" i="3" s="1"/>
  <c r="BR65" i="3" s="1"/>
  <c r="BS65" i="3" s="1"/>
  <c r="BT65" i="3" s="1"/>
  <c r="BU65" i="3" s="1"/>
  <c r="BV65" i="3" s="1"/>
  <c r="BW65" i="3" s="1"/>
  <c r="BX65" i="3" s="1"/>
  <c r="BY65" i="3" s="1"/>
  <c r="BZ65" i="3" s="1"/>
  <c r="CA65" i="3" s="1"/>
  <c r="CB65" i="3" s="1"/>
  <c r="CC65" i="3" s="1"/>
  <c r="CD65" i="3" s="1"/>
  <c r="CE65" i="3" s="1"/>
  <c r="CF65" i="3" s="1"/>
  <c r="CG65" i="3" s="1"/>
  <c r="CH65" i="3" s="1"/>
  <c r="CI65" i="3" s="1"/>
  <c r="CJ65" i="3" s="1"/>
  <c r="CK65" i="3" s="1"/>
  <c r="CL65" i="3" s="1"/>
  <c r="CM65" i="3" s="1"/>
  <c r="CN65" i="3" s="1"/>
  <c r="CO65" i="3" s="1"/>
  <c r="CP65" i="3" s="1"/>
  <c r="CQ65" i="3"/>
  <c r="C29" i="2"/>
  <c r="C28" i="2"/>
  <c r="C30" i="2"/>
  <c r="C31" i="2"/>
  <c r="G18" i="2"/>
  <c r="G15" i="2"/>
  <c r="G16" i="2"/>
  <c r="G17" i="2"/>
  <c r="G4" i="2"/>
  <c r="G5" i="2"/>
  <c r="G6" i="2"/>
  <c r="G7" i="2"/>
  <c r="G8" i="2"/>
  <c r="G9" i="2"/>
  <c r="G11" i="2"/>
  <c r="G12" i="2"/>
  <c r="C3" i="2"/>
  <c r="L5" i="3"/>
  <c r="L6" i="3"/>
  <c r="L7" i="3"/>
  <c r="L8" i="3"/>
  <c r="L9" i="3"/>
  <c r="L10" i="3"/>
  <c r="L11" i="3"/>
  <c r="L27" i="3"/>
  <c r="M31" i="6" l="1"/>
  <c r="L32" i="3"/>
  <c r="M32" i="3"/>
  <c r="N32" i="3" s="1"/>
  <c r="M3" i="3"/>
  <c r="L3" i="3"/>
  <c r="I30" i="3"/>
  <c r="M30" i="3" s="1"/>
  <c r="N30" i="3" s="1"/>
  <c r="M27" i="3"/>
  <c r="N27" i="3" s="1"/>
  <c r="I28" i="3"/>
  <c r="L29" i="3"/>
  <c r="I35" i="3"/>
  <c r="K35" i="3" s="1"/>
  <c r="I31" i="3"/>
  <c r="M31" i="3" s="1"/>
  <c r="N31" i="3" s="1"/>
  <c r="T4" i="5"/>
  <c r="S8" i="5"/>
  <c r="S7" i="5" s="1"/>
  <c r="P28" i="5" s="1"/>
  <c r="Q19" i="5"/>
  <c r="Q20" i="5"/>
  <c r="R19" i="5"/>
  <c r="R20" i="5"/>
  <c r="EE124" i="10"/>
  <c r="EE120" i="10"/>
  <c r="O132" i="10"/>
  <c r="O131" i="10" s="1"/>
  <c r="DL145" i="10"/>
  <c r="Q117" i="10"/>
  <c r="P125" i="10"/>
  <c r="P132" i="10" s="1"/>
  <c r="P131" i="10" s="1"/>
  <c r="N142" i="10"/>
  <c r="AP119" i="10"/>
  <c r="AQ119" i="10" s="1"/>
  <c r="AR119" i="10" s="1"/>
  <c r="AS119" i="10" s="1"/>
  <c r="AT119" i="10" s="1"/>
  <c r="AU119" i="10" s="1"/>
  <c r="AV119" i="10" s="1"/>
  <c r="AW119" i="10" s="1"/>
  <c r="AX119" i="10" s="1"/>
  <c r="AY119" i="10" s="1"/>
  <c r="AZ119" i="10" s="1"/>
  <c r="BA119" i="10" s="1"/>
  <c r="BB119" i="10" s="1"/>
  <c r="BC119" i="10" s="1"/>
  <c r="BD119" i="10" s="1"/>
  <c r="BE119" i="10" s="1"/>
  <c r="BF119" i="10" s="1"/>
  <c r="BG119" i="10" s="1"/>
  <c r="BH119" i="10" s="1"/>
  <c r="BI119" i="10" s="1"/>
  <c r="BJ119" i="10" s="1"/>
  <c r="BK119" i="10" s="1"/>
  <c r="BL119" i="10" s="1"/>
  <c r="BM119" i="10" s="1"/>
  <c r="BN119" i="10" s="1"/>
  <c r="BO119" i="10" s="1"/>
  <c r="BP119" i="10" s="1"/>
  <c r="BQ119" i="10" s="1"/>
  <c r="BR119" i="10" s="1"/>
  <c r="BS119" i="10" s="1"/>
  <c r="BT119" i="10" s="1"/>
  <c r="BU119" i="10" s="1"/>
  <c r="BV119" i="10" s="1"/>
  <c r="BW119" i="10" s="1"/>
  <c r="BX119" i="10" s="1"/>
  <c r="BY119" i="10" s="1"/>
  <c r="BZ119" i="10" s="1"/>
  <c r="CA119" i="10" s="1"/>
  <c r="CB119" i="10" s="1"/>
  <c r="CC119" i="10" s="1"/>
  <c r="CD119" i="10" s="1"/>
  <c r="CE119" i="10" s="1"/>
  <c r="CF119" i="10" s="1"/>
  <c r="CG119" i="10" s="1"/>
  <c r="CH119" i="10" s="1"/>
  <c r="CI119" i="10" s="1"/>
  <c r="CJ119" i="10" s="1"/>
  <c r="CK119" i="10" s="1"/>
  <c r="CL119" i="10" s="1"/>
  <c r="CM119" i="10" s="1"/>
  <c r="CN119" i="10" s="1"/>
  <c r="CO119" i="10" s="1"/>
  <c r="CP119" i="10" s="1"/>
  <c r="CQ119" i="10" s="1"/>
  <c r="CR119" i="10" s="1"/>
  <c r="CS119" i="10" s="1"/>
  <c r="CT119" i="10" s="1"/>
  <c r="CU119" i="10" s="1"/>
  <c r="CV119" i="10" s="1"/>
  <c r="CW119" i="10" s="1"/>
  <c r="CX119" i="10" s="1"/>
  <c r="CY119" i="10" s="1"/>
  <c r="CZ119" i="10" s="1"/>
  <c r="DA119" i="10" s="1"/>
  <c r="DB119" i="10" s="1"/>
  <c r="DC119" i="10" s="1"/>
  <c r="DD119" i="10" s="1"/>
  <c r="DE119" i="10" s="1"/>
  <c r="DF119" i="10" s="1"/>
  <c r="DG119" i="10" s="1"/>
  <c r="DH119" i="10" s="1"/>
  <c r="DI119" i="10" s="1"/>
  <c r="DJ119" i="10" s="1"/>
  <c r="DK119" i="10" s="1"/>
  <c r="DL119" i="10" s="1"/>
  <c r="DM119" i="10" s="1"/>
  <c r="DN119" i="10" s="1"/>
  <c r="DO119" i="10" s="1"/>
  <c r="DP119" i="10" s="1"/>
  <c r="DQ119" i="10" s="1"/>
  <c r="DR119" i="10" s="1"/>
  <c r="DS119" i="10" s="1"/>
  <c r="DT119" i="10" s="1"/>
  <c r="DU119" i="10" s="1"/>
  <c r="DV119" i="10" s="1"/>
  <c r="DW119" i="10" s="1"/>
  <c r="DX119" i="10" s="1"/>
  <c r="DY119" i="10" s="1"/>
  <c r="DZ119" i="10" s="1"/>
  <c r="EA119" i="10" s="1"/>
  <c r="EB119" i="10" s="1"/>
  <c r="EC119" i="10" s="1"/>
  <c r="ED119" i="10" s="1"/>
  <c r="X118" i="10"/>
  <c r="G14" i="2"/>
  <c r="G3" i="2"/>
  <c r="L83" i="3" l="1"/>
  <c r="L152" i="10"/>
  <c r="G154" i="10" s="1"/>
  <c r="L28" i="3"/>
  <c r="M28" i="3"/>
  <c r="N28" i="3" s="1"/>
  <c r="N3" i="3"/>
  <c r="L30" i="3"/>
  <c r="L31" i="3"/>
  <c r="R18" i="5"/>
  <c r="S19" i="5"/>
  <c r="S20" i="5"/>
  <c r="Q18" i="5"/>
  <c r="U4" i="5"/>
  <c r="T8" i="5"/>
  <c r="EE119" i="10"/>
  <c r="O143" i="10"/>
  <c r="O144" i="10"/>
  <c r="P144" i="10"/>
  <c r="P143" i="10"/>
  <c r="DM145" i="10"/>
  <c r="R117" i="10"/>
  <c r="Q125" i="10"/>
  <c r="Q132" i="10" s="1"/>
  <c r="Y118" i="10"/>
  <c r="F47" i="2"/>
  <c r="O31" i="6" l="1"/>
  <c r="T7" i="5"/>
  <c r="U8" i="5"/>
  <c r="U7" i="5" s="1"/>
  <c r="S18" i="5"/>
  <c r="P30" i="5" s="1"/>
  <c r="DN145" i="10"/>
  <c r="S117" i="10"/>
  <c r="R125" i="10"/>
  <c r="Q131" i="10"/>
  <c r="O142" i="10"/>
  <c r="L154" i="10" s="1"/>
  <c r="P142" i="10"/>
  <c r="Z118" i="10"/>
  <c r="C21" i="9"/>
  <c r="D21" i="9" s="1"/>
  <c r="E21" i="9" s="1"/>
  <c r="F21" i="9" s="1"/>
  <c r="G21" i="9" s="1"/>
  <c r="H21" i="9" s="1"/>
  <c r="D9" i="9"/>
  <c r="V4" i="5" s="1"/>
  <c r="O4" i="3"/>
  <c r="O6" i="3"/>
  <c r="O7" i="3"/>
  <c r="O10" i="3"/>
  <c r="N11" i="3"/>
  <c r="O11" i="3" s="1"/>
  <c r="P11" i="3" s="1"/>
  <c r="Q11" i="3" s="1"/>
  <c r="P27" i="3"/>
  <c r="Q27" i="3" s="1"/>
  <c r="R27" i="3" s="1"/>
  <c r="S27" i="3" s="1"/>
  <c r="T27" i="3" s="1"/>
  <c r="U27" i="3" s="1"/>
  <c r="P28" i="3"/>
  <c r="Q28" i="3" s="1"/>
  <c r="R28" i="3" s="1"/>
  <c r="S28" i="3" s="1"/>
  <c r="T28" i="3" s="1"/>
  <c r="U28" i="3" s="1"/>
  <c r="O29" i="3"/>
  <c r="O30" i="3"/>
  <c r="P31" i="3"/>
  <c r="Q31" i="3" s="1"/>
  <c r="R31" i="3" s="1"/>
  <c r="S31" i="3" s="1"/>
  <c r="T31" i="3" s="1"/>
  <c r="U31" i="3" s="1"/>
  <c r="P32" i="3"/>
  <c r="Q32" i="3" s="1"/>
  <c r="R32" i="3" s="1"/>
  <c r="S32" i="3" s="1"/>
  <c r="T32" i="3" s="1"/>
  <c r="U32" i="3" s="1"/>
  <c r="O3" i="3"/>
  <c r="O32" i="3"/>
  <c r="O31" i="3"/>
  <c r="P29" i="3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AH29" i="3" s="1"/>
  <c r="AI29" i="3" s="1"/>
  <c r="AJ29" i="3" s="1"/>
  <c r="AK29" i="3" s="1"/>
  <c r="O5" i="3"/>
  <c r="N7" i="3"/>
  <c r="P3" i="3"/>
  <c r="Q3" i="3" s="1"/>
  <c r="R3" i="3" s="1"/>
  <c r="S3" i="3" s="1"/>
  <c r="T3" i="3" s="1"/>
  <c r="U3" i="3" s="1"/>
  <c r="V3" i="3" s="1"/>
  <c r="W3" i="3" s="1"/>
  <c r="X3" i="3" s="1"/>
  <c r="Y3" i="3" s="1"/>
  <c r="Z3" i="3" s="1"/>
  <c r="B25" i="1"/>
  <c r="F24" i="1"/>
  <c r="B24" i="1"/>
  <c r="F23" i="1"/>
  <c r="N21" i="1" s="1"/>
  <c r="B23" i="1"/>
  <c r="B22" i="1"/>
  <c r="B21" i="1"/>
  <c r="C13" i="1"/>
  <c r="P31" i="6" l="1"/>
  <c r="I23" i="3"/>
  <c r="M23" i="3" s="1"/>
  <c r="N23" i="3" s="1"/>
  <c r="M12" i="3"/>
  <c r="N4" i="7"/>
  <c r="M10" i="7"/>
  <c r="M9" i="7" s="1"/>
  <c r="U19" i="5"/>
  <c r="U20" i="5"/>
  <c r="W4" i="5"/>
  <c r="V8" i="5"/>
  <c r="V7" i="5" s="1"/>
  <c r="T19" i="5"/>
  <c r="T20" i="5"/>
  <c r="R132" i="10"/>
  <c r="R131" i="10" s="1"/>
  <c r="Q143" i="10"/>
  <c r="Q144" i="10"/>
  <c r="DO145" i="10"/>
  <c r="T117" i="10"/>
  <c r="S125" i="10"/>
  <c r="S132" i="10" s="1"/>
  <c r="AA118" i="10"/>
  <c r="D21" i="1"/>
  <c r="G21" i="1" s="1"/>
  <c r="D23" i="1"/>
  <c r="J23" i="1" s="1"/>
  <c r="D24" i="1"/>
  <c r="G24" i="1" s="1"/>
  <c r="D25" i="1"/>
  <c r="G25" i="1" s="1"/>
  <c r="N5" i="3"/>
  <c r="P7" i="3"/>
  <c r="Q7" i="3" s="1"/>
  <c r="R7" i="3" s="1"/>
  <c r="S7" i="3" s="1"/>
  <c r="T7" i="3" s="1"/>
  <c r="U7" i="3" s="1"/>
  <c r="O27" i="3"/>
  <c r="AA3" i="3"/>
  <c r="O8" i="3"/>
  <c r="N4" i="3"/>
  <c r="P8" i="3"/>
  <c r="Q8" i="3" s="1"/>
  <c r="R8" i="3" s="1"/>
  <c r="S8" i="3" s="1"/>
  <c r="T8" i="3" s="1"/>
  <c r="U8" i="3" s="1"/>
  <c r="V8" i="3" s="1"/>
  <c r="P4" i="3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P30" i="3"/>
  <c r="Q30" i="3" s="1"/>
  <c r="R30" i="3" s="1"/>
  <c r="S30" i="3" s="1"/>
  <c r="T30" i="3" s="1"/>
  <c r="U30" i="3" s="1"/>
  <c r="P5" i="3"/>
  <c r="Q5" i="3" s="1"/>
  <c r="R5" i="3" s="1"/>
  <c r="S5" i="3" s="1"/>
  <c r="T5" i="3" s="1"/>
  <c r="U5" i="3" s="1"/>
  <c r="P6" i="3"/>
  <c r="Q6" i="3" s="1"/>
  <c r="R6" i="3" s="1"/>
  <c r="S6" i="3" s="1"/>
  <c r="T6" i="3" s="1"/>
  <c r="U6" i="3" s="1"/>
  <c r="P10" i="3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O28" i="3"/>
  <c r="N6" i="3"/>
  <c r="N8" i="3"/>
  <c r="N10" i="3"/>
  <c r="B29" i="1"/>
  <c r="G23" i="1"/>
  <c r="D22" i="1"/>
  <c r="G22" i="1" s="1"/>
  <c r="M22" i="7" l="1"/>
  <c r="M20" i="7" s="1"/>
  <c r="L20" i="7"/>
  <c r="J21" i="1"/>
  <c r="O21" i="1"/>
  <c r="P21" i="1" s="1"/>
  <c r="J25" i="1"/>
  <c r="G29" i="1"/>
  <c r="J22" i="1"/>
  <c r="J24" i="1"/>
  <c r="Q31" i="6"/>
  <c r="I25" i="3"/>
  <c r="M25" i="3" s="1"/>
  <c r="N25" i="3" s="1"/>
  <c r="M20" i="3"/>
  <c r="I26" i="3"/>
  <c r="I21" i="3"/>
  <c r="L20" i="3"/>
  <c r="I22" i="3"/>
  <c r="M22" i="3" s="1"/>
  <c r="N22" i="3" s="1"/>
  <c r="I24" i="3"/>
  <c r="M24" i="3" s="1"/>
  <c r="N24" i="3" s="1"/>
  <c r="L22" i="3"/>
  <c r="L24" i="3"/>
  <c r="L23" i="3"/>
  <c r="I18" i="3"/>
  <c r="M18" i="3" s="1"/>
  <c r="I15" i="3"/>
  <c r="I19" i="3"/>
  <c r="M19" i="3" s="1"/>
  <c r="N19" i="3" s="1"/>
  <c r="O19" i="3" s="1"/>
  <c r="P19" i="3" s="1"/>
  <c r="I17" i="3"/>
  <c r="M17" i="3" s="1"/>
  <c r="N17" i="3" s="1"/>
  <c r="O17" i="3" s="1"/>
  <c r="P17" i="3" s="1"/>
  <c r="I13" i="3"/>
  <c r="M13" i="3" s="1"/>
  <c r="I16" i="3"/>
  <c r="M16" i="3" s="1"/>
  <c r="N16" i="3" s="1"/>
  <c r="O16" i="3" s="1"/>
  <c r="P16" i="3" s="1"/>
  <c r="I14" i="3"/>
  <c r="L12" i="3"/>
  <c r="R144" i="10"/>
  <c r="R143" i="10"/>
  <c r="O4" i="7"/>
  <c r="N10" i="7"/>
  <c r="N9" i="7" s="1"/>
  <c r="N22" i="7" s="1"/>
  <c r="X4" i="5"/>
  <c r="W8" i="5"/>
  <c r="W7" i="5" s="1"/>
  <c r="T28" i="5" s="1"/>
  <c r="T18" i="5"/>
  <c r="V19" i="5"/>
  <c r="V20" i="5"/>
  <c r="U18" i="5"/>
  <c r="DP145" i="10"/>
  <c r="U117" i="10"/>
  <c r="T125" i="10"/>
  <c r="T132" i="10" s="1"/>
  <c r="T131" i="10" s="1"/>
  <c r="Q142" i="10"/>
  <c r="S131" i="10"/>
  <c r="P152" i="10" s="1"/>
  <c r="AB118" i="10"/>
  <c r="AB3" i="3"/>
  <c r="AC3" i="3" s="1"/>
  <c r="W8" i="3"/>
  <c r="D29" i="1"/>
  <c r="E33" i="3" s="1"/>
  <c r="N20" i="7" l="1"/>
  <c r="J29" i="1"/>
  <c r="C12" i="6" s="1"/>
  <c r="L25" i="3"/>
  <c r="L33" i="3"/>
  <c r="M33" i="3"/>
  <c r="C31" i="1"/>
  <c r="H29" i="1"/>
  <c r="R31" i="6"/>
  <c r="M14" i="3"/>
  <c r="R142" i="10"/>
  <c r="O13" i="3"/>
  <c r="P13" i="3" s="1"/>
  <c r="Q13" i="3" s="1"/>
  <c r="N13" i="3"/>
  <c r="N18" i="3"/>
  <c r="O18" i="3" s="1"/>
  <c r="P18" i="3" s="1"/>
  <c r="L26" i="3"/>
  <c r="M26" i="3"/>
  <c r="N26" i="3" s="1"/>
  <c r="N20" i="3"/>
  <c r="O20" i="3"/>
  <c r="P20" i="3" s="1"/>
  <c r="Q20" i="3" s="1"/>
  <c r="L15" i="3"/>
  <c r="M15" i="3"/>
  <c r="L21" i="3"/>
  <c r="M21" i="3"/>
  <c r="N21" i="3" s="1"/>
  <c r="N12" i="3"/>
  <c r="P12" i="3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AG12" i="3" s="1"/>
  <c r="AH12" i="3" s="1"/>
  <c r="AI12" i="3" s="1"/>
  <c r="AJ12" i="3" s="1"/>
  <c r="AK12" i="3" s="1"/>
  <c r="O12" i="3"/>
  <c r="L16" i="3"/>
  <c r="L17" i="3"/>
  <c r="O26" i="3"/>
  <c r="O24" i="3"/>
  <c r="P24" i="3"/>
  <c r="Q24" i="3" s="1"/>
  <c r="R24" i="3" s="1"/>
  <c r="S24" i="3" s="1"/>
  <c r="T24" i="3" s="1"/>
  <c r="U24" i="3" s="1"/>
  <c r="V24" i="3" s="1"/>
  <c r="W24" i="3" s="1"/>
  <c r="X24" i="3" s="1"/>
  <c r="Y24" i="3" s="1"/>
  <c r="O22" i="3"/>
  <c r="P22" i="3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AH22" i="3" s="1"/>
  <c r="AI22" i="3" s="1"/>
  <c r="AJ22" i="3" s="1"/>
  <c r="AK22" i="3" s="1"/>
  <c r="L14" i="3"/>
  <c r="L13" i="3"/>
  <c r="L19" i="3"/>
  <c r="L18" i="3"/>
  <c r="O23" i="3"/>
  <c r="P23" i="3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AH23" i="3" s="1"/>
  <c r="AI23" i="3" s="1"/>
  <c r="AJ23" i="3" s="1"/>
  <c r="AK23" i="3" s="1"/>
  <c r="O25" i="3"/>
  <c r="P25" i="3"/>
  <c r="Q25" i="3" s="1"/>
  <c r="R25" i="3" s="1"/>
  <c r="S25" i="3" s="1"/>
  <c r="T25" i="3" s="1"/>
  <c r="U25" i="3" s="1"/>
  <c r="V25" i="3" s="1"/>
  <c r="W25" i="3" s="1"/>
  <c r="X25" i="3" s="1"/>
  <c r="Y25" i="3" s="1"/>
  <c r="P4" i="7"/>
  <c r="O10" i="7"/>
  <c r="O9" i="7" s="1"/>
  <c r="V18" i="5"/>
  <c r="X8" i="5"/>
  <c r="X7" i="5" s="1"/>
  <c r="Y4" i="5"/>
  <c r="W19" i="5"/>
  <c r="W20" i="5"/>
  <c r="S143" i="10"/>
  <c r="S144" i="10"/>
  <c r="T144" i="10"/>
  <c r="T143" i="10"/>
  <c r="DQ145" i="10"/>
  <c r="V117" i="10"/>
  <c r="U125" i="10"/>
  <c r="U132" i="10" s="1"/>
  <c r="U131" i="10" s="1"/>
  <c r="AC118" i="10"/>
  <c r="E34" i="3"/>
  <c r="E46" i="3"/>
  <c r="X8" i="3"/>
  <c r="L30" i="7" l="1"/>
  <c r="O22" i="7"/>
  <c r="O20" i="7"/>
  <c r="L32" i="7" s="1"/>
  <c r="O21" i="3"/>
  <c r="P21" i="3" s="1"/>
  <c r="Q21" i="3" s="1"/>
  <c r="S31" i="6"/>
  <c r="P26" i="3"/>
  <c r="Q26" i="3" s="1"/>
  <c r="R26" i="3" s="1"/>
  <c r="S26" i="3" s="1"/>
  <c r="T26" i="3" s="1"/>
  <c r="U26" i="3" s="1"/>
  <c r="V26" i="3" s="1"/>
  <c r="W26" i="3" s="1"/>
  <c r="X26" i="3" s="1"/>
  <c r="Y26" i="3" s="1"/>
  <c r="N15" i="3"/>
  <c r="O15" i="3" s="1"/>
  <c r="P15" i="3" s="1"/>
  <c r="Q15" i="3" s="1"/>
  <c r="Q19" i="3"/>
  <c r="R19" i="3" s="1"/>
  <c r="S19" i="3" s="1"/>
  <c r="T19" i="3" s="1"/>
  <c r="U19" i="3" s="1"/>
  <c r="T15" i="3"/>
  <c r="S15" i="3"/>
  <c r="R15" i="3"/>
  <c r="Q17" i="3"/>
  <c r="R17" i="3" s="1"/>
  <c r="S17" i="3" s="1"/>
  <c r="T17" i="3" s="1"/>
  <c r="U17" i="3" s="1"/>
  <c r="Q16" i="3"/>
  <c r="R16" i="3" s="1"/>
  <c r="S16" i="3" s="1"/>
  <c r="T16" i="3" s="1"/>
  <c r="U16" i="3" s="1"/>
  <c r="Q4" i="7"/>
  <c r="P10" i="7"/>
  <c r="P9" i="7" s="1"/>
  <c r="X19" i="5"/>
  <c r="X20" i="5"/>
  <c r="W18" i="5"/>
  <c r="T30" i="5" s="1"/>
  <c r="Y8" i="5"/>
  <c r="Y7" i="5" s="1"/>
  <c r="Z4" i="5"/>
  <c r="U143" i="10"/>
  <c r="U144" i="10"/>
  <c r="DR145" i="10"/>
  <c r="S142" i="10"/>
  <c r="P154" i="10" s="1"/>
  <c r="W117" i="10"/>
  <c r="V125" i="10"/>
  <c r="V132" i="10" s="1"/>
  <c r="V131" i="10" s="1"/>
  <c r="T142" i="10"/>
  <c r="AD118" i="10"/>
  <c r="Y8" i="3"/>
  <c r="P22" i="7" l="1"/>
  <c r="P20" i="7" s="1"/>
  <c r="T31" i="6"/>
  <c r="Q18" i="3"/>
  <c r="U15" i="3"/>
  <c r="R4" i="7"/>
  <c r="Q10" i="7"/>
  <c r="Q9" i="7" s="1"/>
  <c r="Z8" i="5"/>
  <c r="Z7" i="5" s="1"/>
  <c r="AA4" i="5"/>
  <c r="Y19" i="5"/>
  <c r="Y20" i="5"/>
  <c r="X18" i="5"/>
  <c r="V143" i="10"/>
  <c r="V144" i="10"/>
  <c r="DS145" i="10"/>
  <c r="X117" i="10"/>
  <c r="W125" i="10"/>
  <c r="W132" i="10" s="1"/>
  <c r="W131" i="10" s="1"/>
  <c r="T152" i="10" s="1"/>
  <c r="U142" i="10"/>
  <c r="AE118" i="10"/>
  <c r="L52" i="3"/>
  <c r="L51" i="3" s="1"/>
  <c r="Q22" i="7" l="1"/>
  <c r="Q20" i="7" s="1"/>
  <c r="V31" i="6"/>
  <c r="U31" i="6"/>
  <c r="R18" i="3"/>
  <c r="S4" i="7"/>
  <c r="R10" i="7"/>
  <c r="R9" i="7" s="1"/>
  <c r="M46" i="3"/>
  <c r="Y18" i="5"/>
  <c r="AA8" i="5"/>
  <c r="AA7" i="5" s="1"/>
  <c r="X28" i="5" s="1"/>
  <c r="AB4" i="5"/>
  <c r="Z19" i="5"/>
  <c r="Z20" i="5"/>
  <c r="W143" i="10"/>
  <c r="W144" i="10"/>
  <c r="DT145" i="10"/>
  <c r="Y117" i="10"/>
  <c r="X125" i="10"/>
  <c r="X132" i="10" s="1"/>
  <c r="X131" i="10" s="1"/>
  <c r="V142" i="10"/>
  <c r="AF118" i="10"/>
  <c r="N46" i="3"/>
  <c r="R22" i="7" l="1"/>
  <c r="R20" i="7" s="1"/>
  <c r="B33" i="6"/>
  <c r="S18" i="3"/>
  <c r="M52" i="3"/>
  <c r="M51" i="3" s="1"/>
  <c r="T4" i="7"/>
  <c r="S10" i="7"/>
  <c r="S9" i="7" s="1"/>
  <c r="AA19" i="5"/>
  <c r="AA20" i="5"/>
  <c r="Z18" i="5"/>
  <c r="AB8" i="5"/>
  <c r="AB7" i="5" s="1"/>
  <c r="AC4" i="5"/>
  <c r="W142" i="10"/>
  <c r="T154" i="10" s="1"/>
  <c r="N52" i="3"/>
  <c r="N51" i="3" s="1"/>
  <c r="X144" i="10"/>
  <c r="X143" i="10"/>
  <c r="DU145" i="10"/>
  <c r="Z117" i="10"/>
  <c r="Y125" i="10"/>
  <c r="Y132" i="10" s="1"/>
  <c r="Y131" i="10" s="1"/>
  <c r="AG118" i="10"/>
  <c r="O46" i="3"/>
  <c r="O52" i="3" s="1"/>
  <c r="O51" i="3" s="1"/>
  <c r="L82" i="3" l="1"/>
  <c r="L86" i="3" s="1"/>
  <c r="S22" i="7"/>
  <c r="S20" i="7" s="1"/>
  <c r="P32" i="7" s="1"/>
  <c r="P30" i="7"/>
  <c r="M63" i="3"/>
  <c r="M64" i="3"/>
  <c r="L72" i="3"/>
  <c r="B19" i="6" s="1"/>
  <c r="F36" i="6" s="1"/>
  <c r="F38" i="6" s="1"/>
  <c r="T18" i="3"/>
  <c r="L64" i="3"/>
  <c r="L63" i="3"/>
  <c r="N64" i="3"/>
  <c r="U4" i="7"/>
  <c r="T10" i="7"/>
  <c r="T9" i="7" s="1"/>
  <c r="N63" i="3"/>
  <c r="AA18" i="5"/>
  <c r="X30" i="5" s="1"/>
  <c r="AB19" i="5"/>
  <c r="AB20" i="5"/>
  <c r="AC8" i="5"/>
  <c r="AC7" i="5" s="1"/>
  <c r="AD4" i="5"/>
  <c r="Y143" i="10"/>
  <c r="Y144" i="10"/>
  <c r="DV145" i="10"/>
  <c r="X142" i="10"/>
  <c r="AA117" i="10"/>
  <c r="Z125" i="10"/>
  <c r="Z132" i="10" s="1"/>
  <c r="Z131" i="10" s="1"/>
  <c r="AH118" i="10"/>
  <c r="O63" i="3"/>
  <c r="O64" i="3"/>
  <c r="P46" i="3"/>
  <c r="P52" i="3" s="1"/>
  <c r="P51" i="3" s="1"/>
  <c r="T22" i="7" l="1"/>
  <c r="T20" i="7" s="1"/>
  <c r="M62" i="3"/>
  <c r="I86" i="3"/>
  <c r="F22" i="2"/>
  <c r="U18" i="3"/>
  <c r="N62" i="3"/>
  <c r="V4" i="7"/>
  <c r="U10" i="7"/>
  <c r="U9" i="7" s="1"/>
  <c r="AB18" i="5"/>
  <c r="AD8" i="5"/>
  <c r="AD7" i="5" s="1"/>
  <c r="AE4" i="5"/>
  <c r="AC19" i="5"/>
  <c r="AC20" i="5"/>
  <c r="Z143" i="10"/>
  <c r="Z144" i="10"/>
  <c r="DW145" i="10"/>
  <c r="AB117" i="10"/>
  <c r="AA125" i="10"/>
  <c r="AA132" i="10" s="1"/>
  <c r="AA131" i="10" s="1"/>
  <c r="X152" i="10" s="1"/>
  <c r="Y142" i="10"/>
  <c r="AI118" i="10"/>
  <c r="L62" i="3"/>
  <c r="P64" i="3"/>
  <c r="P63" i="3"/>
  <c r="O62" i="3"/>
  <c r="Q46" i="3"/>
  <c r="Q52" i="3" s="1"/>
  <c r="Q51" i="3" s="1"/>
  <c r="U22" i="7" l="1"/>
  <c r="U20" i="7" s="1"/>
  <c r="F27" i="2"/>
  <c r="E26" i="2"/>
  <c r="E27" i="2"/>
  <c r="L74" i="3"/>
  <c r="B21" i="6" s="1"/>
  <c r="D57" i="3"/>
  <c r="L57" i="3" s="1"/>
  <c r="W4" i="7"/>
  <c r="V10" i="7"/>
  <c r="V9" i="7" s="1"/>
  <c r="AC18" i="5"/>
  <c r="AE8" i="5"/>
  <c r="AE7" i="5" s="1"/>
  <c r="AB28" i="5" s="1"/>
  <c r="AF4" i="5"/>
  <c r="AD19" i="5"/>
  <c r="AD20" i="5"/>
  <c r="AA143" i="10"/>
  <c r="AA144" i="10"/>
  <c r="DX145" i="10"/>
  <c r="AC117" i="10"/>
  <c r="AB125" i="10"/>
  <c r="AB132" i="10" s="1"/>
  <c r="AB131" i="10" s="1"/>
  <c r="Z142" i="10"/>
  <c r="AJ118" i="10"/>
  <c r="Q63" i="3"/>
  <c r="Q64" i="3"/>
  <c r="P62" i="3"/>
  <c r="R46" i="3"/>
  <c r="R52" i="3" s="1"/>
  <c r="R51" i="3" s="1"/>
  <c r="V22" i="7" l="1"/>
  <c r="V20" i="7" s="1"/>
  <c r="M80" i="3"/>
  <c r="D56" i="3"/>
  <c r="L56" i="3" s="1"/>
  <c r="R57" i="3"/>
  <c r="O57" i="3"/>
  <c r="M57" i="3"/>
  <c r="N57" i="3"/>
  <c r="P57" i="3"/>
  <c r="O56" i="3"/>
  <c r="Q57" i="3"/>
  <c r="D15" i="7"/>
  <c r="L15" i="7" s="1"/>
  <c r="D13" i="5"/>
  <c r="L13" i="5" s="1"/>
  <c r="D137" i="10"/>
  <c r="L137" i="10" s="1"/>
  <c r="X4" i="7"/>
  <c r="W10" i="7"/>
  <c r="W9" i="7" s="1"/>
  <c r="AD18" i="5"/>
  <c r="AF8" i="5"/>
  <c r="AF7" i="5" s="1"/>
  <c r="AG4" i="5"/>
  <c r="AE19" i="5"/>
  <c r="AE20" i="5"/>
  <c r="AA142" i="10"/>
  <c r="X154" i="10" s="1"/>
  <c r="AB144" i="10"/>
  <c r="AB143" i="10"/>
  <c r="DY145" i="10"/>
  <c r="AD117" i="10"/>
  <c r="AC125" i="10"/>
  <c r="AC132" i="10" s="1"/>
  <c r="AC131" i="10" s="1"/>
  <c r="AK118" i="10"/>
  <c r="R64" i="3"/>
  <c r="R63" i="3"/>
  <c r="Q62" i="3"/>
  <c r="S46" i="3"/>
  <c r="S52" i="3" s="1"/>
  <c r="S51" i="3" s="1"/>
  <c r="S57" i="3" s="1"/>
  <c r="W22" i="7" l="1"/>
  <c r="W20" i="7" s="1"/>
  <c r="T32" i="7" s="1"/>
  <c r="T30" i="7"/>
  <c r="D12" i="5"/>
  <c r="O12" i="5" s="1"/>
  <c r="N56" i="3"/>
  <c r="N55" i="3" s="1"/>
  <c r="N66" i="3" s="1"/>
  <c r="M56" i="3"/>
  <c r="M55" i="3" s="1"/>
  <c r="D136" i="10"/>
  <c r="M136" i="10" s="1"/>
  <c r="D14" i="7"/>
  <c r="R56" i="3"/>
  <c r="R55" i="3" s="1"/>
  <c r="P56" i="3"/>
  <c r="P55" i="3" s="1"/>
  <c r="Q56" i="3"/>
  <c r="P72" i="3"/>
  <c r="C19" i="6" s="1"/>
  <c r="C27" i="6" s="1"/>
  <c r="Q55" i="3"/>
  <c r="Q66" i="3" s="1"/>
  <c r="S56" i="3"/>
  <c r="AB137" i="10"/>
  <c r="M137" i="10"/>
  <c r="O55" i="3"/>
  <c r="O66" i="3" s="1"/>
  <c r="M13" i="5"/>
  <c r="N13" i="5"/>
  <c r="R13" i="5"/>
  <c r="V13" i="5"/>
  <c r="Z13" i="5"/>
  <c r="AD13" i="5"/>
  <c r="O13" i="5"/>
  <c r="U13" i="5"/>
  <c r="AC13" i="5"/>
  <c r="S13" i="5"/>
  <c r="AE13" i="5"/>
  <c r="T13" i="5"/>
  <c r="AB13" i="5"/>
  <c r="AA13" i="5"/>
  <c r="Q13" i="5"/>
  <c r="W13" i="5"/>
  <c r="X13" i="5"/>
  <c r="Y13" i="5"/>
  <c r="P13" i="5"/>
  <c r="AF13" i="5"/>
  <c r="L55" i="3"/>
  <c r="A135" i="10"/>
  <c r="T14" i="7"/>
  <c r="N137" i="10"/>
  <c r="P137" i="10"/>
  <c r="O137" i="10"/>
  <c r="Q137" i="10"/>
  <c r="R137" i="10"/>
  <c r="T137" i="10"/>
  <c r="S137" i="10"/>
  <c r="U137" i="10"/>
  <c r="V137" i="10"/>
  <c r="W137" i="10"/>
  <c r="X137" i="10"/>
  <c r="Y137" i="10"/>
  <c r="Z137" i="10"/>
  <c r="AA137" i="10"/>
  <c r="P15" i="7"/>
  <c r="T15" i="7"/>
  <c r="U15" i="7"/>
  <c r="N15" i="7"/>
  <c r="V15" i="7"/>
  <c r="S15" i="7"/>
  <c r="R15" i="7"/>
  <c r="O15" i="7"/>
  <c r="M15" i="7"/>
  <c r="Q15" i="7"/>
  <c r="W15" i="7"/>
  <c r="AC137" i="10"/>
  <c r="Y4" i="7"/>
  <c r="X10" i="7"/>
  <c r="X9" i="7" s="1"/>
  <c r="AE18" i="5"/>
  <c r="AB30" i="5" s="1"/>
  <c r="AG8" i="5"/>
  <c r="AH4" i="5"/>
  <c r="AF19" i="5"/>
  <c r="AF20" i="5"/>
  <c r="AC143" i="10"/>
  <c r="AC144" i="10"/>
  <c r="DZ145" i="10"/>
  <c r="AB142" i="10"/>
  <c r="AE117" i="10"/>
  <c r="AD125" i="10"/>
  <c r="AD132" i="10" s="1"/>
  <c r="AD131" i="10" s="1"/>
  <c r="AL118" i="10"/>
  <c r="R62" i="3"/>
  <c r="S63" i="3"/>
  <c r="S64" i="3"/>
  <c r="T46" i="3"/>
  <c r="T52" i="3" s="1"/>
  <c r="T51" i="3" s="1"/>
  <c r="X22" i="7" l="1"/>
  <c r="X20" i="7" s="1"/>
  <c r="X15" i="7"/>
  <c r="AG7" i="5"/>
  <c r="AG20" i="5" s="1"/>
  <c r="AG13" i="5"/>
  <c r="X12" i="5"/>
  <c r="X11" i="5" s="1"/>
  <c r="W12" i="5"/>
  <c r="W11" i="5" s="1"/>
  <c r="W22" i="5" s="1"/>
  <c r="N12" i="5"/>
  <c r="N11" i="5" s="1"/>
  <c r="N22" i="5" s="1"/>
  <c r="Y12" i="5"/>
  <c r="Y11" i="5" s="1"/>
  <c r="Y22" i="5" s="1"/>
  <c r="P12" i="5"/>
  <c r="AF12" i="5"/>
  <c r="AF11" i="5" s="1"/>
  <c r="V12" i="5"/>
  <c r="V11" i="5" s="1"/>
  <c r="V22" i="5" s="1"/>
  <c r="AC12" i="5"/>
  <c r="AC11" i="5" s="1"/>
  <c r="AC22" i="5" s="1"/>
  <c r="T12" i="5"/>
  <c r="T11" i="5" s="1"/>
  <c r="N14" i="7"/>
  <c r="N13" i="7" s="1"/>
  <c r="N24" i="7" s="1"/>
  <c r="O14" i="7"/>
  <c r="O13" i="7" s="1"/>
  <c r="O24" i="7" s="1"/>
  <c r="A11" i="5"/>
  <c r="U12" i="5"/>
  <c r="U11" i="5" s="1"/>
  <c r="U22" i="5" s="1"/>
  <c r="AD12" i="5"/>
  <c r="AD11" i="5" s="1"/>
  <c r="AD22" i="5" s="1"/>
  <c r="AG12" i="5"/>
  <c r="Q12" i="5"/>
  <c r="Q11" i="5" s="1"/>
  <c r="Q22" i="5" s="1"/>
  <c r="AB12" i="5"/>
  <c r="AB11" i="5" s="1"/>
  <c r="Z12" i="5"/>
  <c r="Z11" i="5" s="1"/>
  <c r="Z22" i="5" s="1"/>
  <c r="AE12" i="5"/>
  <c r="AE11" i="5" s="1"/>
  <c r="AE22" i="5" s="1"/>
  <c r="U14" i="7"/>
  <c r="U13" i="7" s="1"/>
  <c r="U24" i="7" s="1"/>
  <c r="V14" i="7"/>
  <c r="V13" i="7" s="1"/>
  <c r="V24" i="7" s="1"/>
  <c r="AC136" i="10"/>
  <c r="T136" i="10"/>
  <c r="T135" i="10" s="1"/>
  <c r="M66" i="3"/>
  <c r="M82" i="3"/>
  <c r="L14" i="7"/>
  <c r="L13" i="7" s="1"/>
  <c r="L24" i="7" s="1"/>
  <c r="P14" i="7"/>
  <c r="P13" i="7" s="1"/>
  <c r="P24" i="7" s="1"/>
  <c r="X14" i="7"/>
  <c r="Q14" i="7"/>
  <c r="Q13" i="7" s="1"/>
  <c r="Q24" i="7" s="1"/>
  <c r="W14" i="7"/>
  <c r="W13" i="7" s="1"/>
  <c r="W24" i="7" s="1"/>
  <c r="M14" i="7"/>
  <c r="M13" i="7" s="1"/>
  <c r="M24" i="7" s="1"/>
  <c r="R14" i="7"/>
  <c r="R13" i="7" s="1"/>
  <c r="R24" i="7" s="1"/>
  <c r="S14" i="7"/>
  <c r="S13" i="7" s="1"/>
  <c r="S24" i="7" s="1"/>
  <c r="A13" i="7"/>
  <c r="L12" i="5"/>
  <c r="L11" i="5" s="1"/>
  <c r="M12" i="5"/>
  <c r="M11" i="5" s="1"/>
  <c r="S12" i="5"/>
  <c r="S11" i="5" s="1"/>
  <c r="S22" i="5" s="1"/>
  <c r="AA12" i="5"/>
  <c r="AA11" i="5" s="1"/>
  <c r="AA22" i="5" s="1"/>
  <c r="R12" i="5"/>
  <c r="R11" i="5" s="1"/>
  <c r="R22" i="5" s="1"/>
  <c r="M135" i="10"/>
  <c r="X136" i="10"/>
  <c r="P136" i="10"/>
  <c r="P135" i="10" s="1"/>
  <c r="Z136" i="10"/>
  <c r="V136" i="10"/>
  <c r="V135" i="10" s="1"/>
  <c r="V146" i="10" s="1"/>
  <c r="R136" i="10"/>
  <c r="R135" i="10" s="1"/>
  <c r="R146" i="10" s="1"/>
  <c r="N136" i="10"/>
  <c r="N135" i="10" s="1"/>
  <c r="N146" i="10" s="1"/>
  <c r="AA136" i="10"/>
  <c r="Y136" i="10"/>
  <c r="W136" i="10"/>
  <c r="W135" i="10" s="1"/>
  <c r="W146" i="10" s="1"/>
  <c r="U136" i="10"/>
  <c r="U135" i="10" s="1"/>
  <c r="U146" i="10" s="1"/>
  <c r="S136" i="10"/>
  <c r="S135" i="10" s="1"/>
  <c r="S146" i="10" s="1"/>
  <c r="Q136" i="10"/>
  <c r="Q135" i="10" s="1"/>
  <c r="Q146" i="10" s="1"/>
  <c r="O136" i="10"/>
  <c r="O135" i="10" s="1"/>
  <c r="O146" i="10" s="1"/>
  <c r="L136" i="10"/>
  <c r="L135" i="10" s="1"/>
  <c r="AB136" i="10"/>
  <c r="L73" i="3"/>
  <c r="P66" i="3"/>
  <c r="L66" i="3"/>
  <c r="L67" i="3" s="1"/>
  <c r="L68" i="3" s="1"/>
  <c r="T57" i="3"/>
  <c r="T56" i="3"/>
  <c r="P11" i="5"/>
  <c r="O11" i="5"/>
  <c r="O22" i="5" s="1"/>
  <c r="T13" i="7"/>
  <c r="T24" i="7" s="1"/>
  <c r="AD136" i="10"/>
  <c r="AD137" i="10"/>
  <c r="Z4" i="7"/>
  <c r="Y10" i="7"/>
  <c r="AF18" i="5"/>
  <c r="AI4" i="5"/>
  <c r="AH8" i="5"/>
  <c r="AD143" i="10"/>
  <c r="AD144" i="10"/>
  <c r="EA145" i="10"/>
  <c r="AF117" i="10"/>
  <c r="AE125" i="10"/>
  <c r="AE132" i="10" s="1"/>
  <c r="AE131" i="10" s="1"/>
  <c r="AB152" i="10" s="1"/>
  <c r="AC142" i="10"/>
  <c r="AM118" i="10"/>
  <c r="R66" i="3"/>
  <c r="S62" i="3"/>
  <c r="P74" i="3" s="1"/>
  <c r="C21" i="6" s="1"/>
  <c r="T64" i="3"/>
  <c r="T63" i="3"/>
  <c r="S55" i="3"/>
  <c r="P73" i="3" s="1"/>
  <c r="V46" i="3"/>
  <c r="V52" i="3" s="1"/>
  <c r="V51" i="3" s="1"/>
  <c r="U46" i="3"/>
  <c r="U52" i="3" s="1"/>
  <c r="U51" i="3" s="1"/>
  <c r="Y9" i="7" l="1"/>
  <c r="Y15" i="7"/>
  <c r="X13" i="7"/>
  <c r="X24" i="7" s="1"/>
  <c r="U25" i="7" s="1"/>
  <c r="U26" i="7" s="1"/>
  <c r="AG19" i="5"/>
  <c r="AG11" i="5"/>
  <c r="AH7" i="5"/>
  <c r="AH12" i="5" s="1"/>
  <c r="AH13" i="5"/>
  <c r="M67" i="3"/>
  <c r="M68" i="3" s="1"/>
  <c r="N82" i="3"/>
  <c r="M85" i="3"/>
  <c r="N85" i="3" s="1"/>
  <c r="M84" i="3"/>
  <c r="N84" i="3" s="1"/>
  <c r="M83" i="3"/>
  <c r="N83" i="3" s="1"/>
  <c r="L153" i="10"/>
  <c r="P75" i="3"/>
  <c r="P35" i="7"/>
  <c r="P31" i="7"/>
  <c r="P33" i="7" s="1"/>
  <c r="T35" i="7"/>
  <c r="T31" i="7"/>
  <c r="T33" i="7" s="1"/>
  <c r="T22" i="5"/>
  <c r="T33" i="5" s="1"/>
  <c r="T29" i="5"/>
  <c r="T31" i="5" s="1"/>
  <c r="X22" i="5"/>
  <c r="X33" i="5" s="1"/>
  <c r="X29" i="5"/>
  <c r="X31" i="5" s="1"/>
  <c r="AB22" i="5"/>
  <c r="AB33" i="5" s="1"/>
  <c r="AB29" i="5"/>
  <c r="AB31" i="5" s="1"/>
  <c r="L22" i="5"/>
  <c r="L29" i="5"/>
  <c r="L31" i="5" s="1"/>
  <c r="P22" i="5"/>
  <c r="P33" i="5" s="1"/>
  <c r="P29" i="5"/>
  <c r="P31" i="5" s="1"/>
  <c r="L31" i="7"/>
  <c r="L33" i="7" s="1"/>
  <c r="L75" i="3"/>
  <c r="P146" i="10"/>
  <c r="P157" i="10" s="1"/>
  <c r="P153" i="10"/>
  <c r="P155" i="10" s="1"/>
  <c r="T146" i="10"/>
  <c r="T157" i="10" s="1"/>
  <c r="T153" i="10"/>
  <c r="T155" i="10" s="1"/>
  <c r="L146" i="10"/>
  <c r="L77" i="3"/>
  <c r="V57" i="3"/>
  <c r="V56" i="3"/>
  <c r="U57" i="3"/>
  <c r="U56" i="3"/>
  <c r="AF22" i="5"/>
  <c r="M22" i="5"/>
  <c r="M146" i="10"/>
  <c r="AE137" i="10"/>
  <c r="AE136" i="10"/>
  <c r="AA4" i="7"/>
  <c r="Z10" i="7"/>
  <c r="X135" i="10"/>
  <c r="AG18" i="5"/>
  <c r="AJ4" i="5"/>
  <c r="AI8" i="5"/>
  <c r="AE143" i="10"/>
  <c r="AE144" i="10"/>
  <c r="EB145" i="10"/>
  <c r="AD142" i="10"/>
  <c r="AG117" i="10"/>
  <c r="AF125" i="10"/>
  <c r="AF132" i="10" s="1"/>
  <c r="AF131" i="10" s="1"/>
  <c r="AN118" i="10"/>
  <c r="S66" i="3"/>
  <c r="P77" i="3" s="1"/>
  <c r="T62" i="3"/>
  <c r="U63" i="3"/>
  <c r="U64" i="3"/>
  <c r="T55" i="3"/>
  <c r="Z9" i="7" l="1"/>
  <c r="Z15" i="7"/>
  <c r="Y22" i="7"/>
  <c r="Y20" i="7" s="1"/>
  <c r="Y14" i="7"/>
  <c r="Y13" i="7" s="1"/>
  <c r="AG22" i="5"/>
  <c r="AH11" i="5"/>
  <c r="AH20" i="5"/>
  <c r="AI7" i="5"/>
  <c r="AI13" i="5"/>
  <c r="AH19" i="5"/>
  <c r="M86" i="3"/>
  <c r="N86" i="3" s="1"/>
  <c r="Q147" i="10"/>
  <c r="Q148" i="10" s="1"/>
  <c r="M23" i="5"/>
  <c r="M24" i="5" s="1"/>
  <c r="C24" i="6"/>
  <c r="Q25" i="7"/>
  <c r="Q26" i="7" s="1"/>
  <c r="M25" i="7"/>
  <c r="M26" i="7" s="1"/>
  <c r="B20" i="6"/>
  <c r="Q23" i="5"/>
  <c r="Q24" i="5" s="1"/>
  <c r="M147" i="10"/>
  <c r="M148" i="10" s="1"/>
  <c r="U23" i="5"/>
  <c r="U24" i="5" s="1"/>
  <c r="Y23" i="5"/>
  <c r="Y24" i="5" s="1"/>
  <c r="L155" i="10"/>
  <c r="B22" i="6" s="1"/>
  <c r="AC23" i="5"/>
  <c r="AC24" i="5" s="1"/>
  <c r="L25" i="7"/>
  <c r="L26" i="7" s="1"/>
  <c r="L35" i="7"/>
  <c r="C22" i="6"/>
  <c r="L23" i="5"/>
  <c r="L24" i="5" s="1"/>
  <c r="L33" i="5"/>
  <c r="C20" i="6"/>
  <c r="X146" i="10"/>
  <c r="L147" i="10"/>
  <c r="L148" i="10" s="1"/>
  <c r="L157" i="10"/>
  <c r="AF136" i="10"/>
  <c r="AF137" i="10"/>
  <c r="Y135" i="10"/>
  <c r="Y146" i="10" s="1"/>
  <c r="AB4" i="7"/>
  <c r="AA10" i="7"/>
  <c r="T66" i="3"/>
  <c r="AI20" i="5"/>
  <c r="AK4" i="5"/>
  <c r="AJ8" i="5"/>
  <c r="AF144" i="10"/>
  <c r="AF143" i="10"/>
  <c r="EC145" i="10"/>
  <c r="AH117" i="10"/>
  <c r="AG125" i="10"/>
  <c r="AG132" i="10" s="1"/>
  <c r="AG131" i="10" s="1"/>
  <c r="AE142" i="10"/>
  <c r="AB154" i="10" s="1"/>
  <c r="AO118" i="10"/>
  <c r="U55" i="3"/>
  <c r="V64" i="3"/>
  <c r="V63" i="3"/>
  <c r="U62" i="3"/>
  <c r="W46" i="3"/>
  <c r="W52" i="3" s="1"/>
  <c r="W51" i="3" s="1"/>
  <c r="T72" i="3" s="1"/>
  <c r="D19" i="6" s="1"/>
  <c r="D27" i="6" s="1"/>
  <c r="Y24" i="7" l="1"/>
  <c r="Z22" i="7"/>
  <c r="Z20" i="7" s="1"/>
  <c r="Z14" i="7"/>
  <c r="Z13" i="7" s="1"/>
  <c r="AA9" i="7"/>
  <c r="AA15" i="7"/>
  <c r="AH18" i="5"/>
  <c r="AH22" i="5" s="1"/>
  <c r="AJ7" i="5"/>
  <c r="AJ13" i="5"/>
  <c r="AI12" i="5"/>
  <c r="AI11" i="5" s="1"/>
  <c r="AF29" i="5" s="1"/>
  <c r="AF28" i="5"/>
  <c r="AI19" i="5"/>
  <c r="AI18" i="5" s="1"/>
  <c r="AI22" i="5" s="1"/>
  <c r="B24" i="6"/>
  <c r="U147" i="10"/>
  <c r="U148" i="10" s="1"/>
  <c r="Q67" i="3"/>
  <c r="Q68" i="3" s="1"/>
  <c r="W57" i="3"/>
  <c r="W56" i="3"/>
  <c r="AG137" i="10"/>
  <c r="AG136" i="10"/>
  <c r="AC4" i="7"/>
  <c r="AB10" i="7"/>
  <c r="Z135" i="10"/>
  <c r="Z146" i="10" s="1"/>
  <c r="AJ19" i="5"/>
  <c r="AL4" i="5"/>
  <c r="AK8" i="5"/>
  <c r="AG143" i="10"/>
  <c r="AG144" i="10"/>
  <c r="ED145" i="10"/>
  <c r="EE145" i="10" s="1"/>
  <c r="AF142" i="10"/>
  <c r="AI117" i="10"/>
  <c r="AH125" i="10"/>
  <c r="AH132" i="10" s="1"/>
  <c r="AH131" i="10" s="1"/>
  <c r="AP118" i="10"/>
  <c r="U66" i="3"/>
  <c r="V62" i="3"/>
  <c r="W63" i="3"/>
  <c r="W64" i="3"/>
  <c r="V55" i="3"/>
  <c r="X46" i="3"/>
  <c r="X52" i="3" s="1"/>
  <c r="X51" i="3" s="1"/>
  <c r="Z24" i="7" l="1"/>
  <c r="AB9" i="7"/>
  <c r="AB15" i="7"/>
  <c r="AA22" i="7"/>
  <c r="AA20" i="7" s="1"/>
  <c r="X32" i="7" s="1"/>
  <c r="AA14" i="7"/>
  <c r="AA13" i="7" s="1"/>
  <c r="X30" i="7"/>
  <c r="AF33" i="5"/>
  <c r="AJ12" i="5"/>
  <c r="AJ11" i="5" s="1"/>
  <c r="AK7" i="5"/>
  <c r="AK12" i="5" s="1"/>
  <c r="AK13" i="5"/>
  <c r="AJ20" i="5"/>
  <c r="AJ18" i="5" s="1"/>
  <c r="AF30" i="5"/>
  <c r="AF31" i="5" s="1"/>
  <c r="X57" i="3"/>
  <c r="X56" i="3"/>
  <c r="AH136" i="10"/>
  <c r="AH137" i="10"/>
  <c r="AA135" i="10"/>
  <c r="AA146" i="10" s="1"/>
  <c r="X157" i="10" s="1"/>
  <c r="AD4" i="7"/>
  <c r="AC10" i="7"/>
  <c r="AM4" i="5"/>
  <c r="AL8" i="5"/>
  <c r="AG142" i="10"/>
  <c r="AH143" i="10"/>
  <c r="AH144" i="10"/>
  <c r="AJ117" i="10"/>
  <c r="AI125" i="10"/>
  <c r="AI132" i="10" s="1"/>
  <c r="AI131" i="10" s="1"/>
  <c r="AF152" i="10" s="1"/>
  <c r="AQ118" i="10"/>
  <c r="V66" i="3"/>
  <c r="X64" i="3"/>
  <c r="X63" i="3"/>
  <c r="W55" i="3"/>
  <c r="T73" i="3" s="1"/>
  <c r="W62" i="3"/>
  <c r="T74" i="3" s="1"/>
  <c r="D21" i="6" s="1"/>
  <c r="Y46" i="3"/>
  <c r="Y52" i="3" s="1"/>
  <c r="Y51" i="3" s="1"/>
  <c r="AA24" i="7" l="1"/>
  <c r="X31" i="7"/>
  <c r="X35" i="7"/>
  <c r="AB22" i="7"/>
  <c r="AB20" i="7" s="1"/>
  <c r="AB14" i="7"/>
  <c r="AB13" i="7" s="1"/>
  <c r="X33" i="7"/>
  <c r="AC9" i="7"/>
  <c r="AC15" i="7"/>
  <c r="AK20" i="5"/>
  <c r="AK11" i="5"/>
  <c r="AL7" i="5"/>
  <c r="AL12" i="5" s="1"/>
  <c r="AL13" i="5"/>
  <c r="AK19" i="5"/>
  <c r="AJ22" i="5"/>
  <c r="AG23" i="5" s="1"/>
  <c r="AG24" i="5" s="1"/>
  <c r="T75" i="3"/>
  <c r="D22" i="6" s="1"/>
  <c r="D20" i="6"/>
  <c r="X153" i="10"/>
  <c r="X155" i="10" s="1"/>
  <c r="Y57" i="3"/>
  <c r="Y56" i="3"/>
  <c r="AI137" i="10"/>
  <c r="AI136" i="10"/>
  <c r="AE4" i="7"/>
  <c r="AD10" i="7"/>
  <c r="AB135" i="10"/>
  <c r="AK18" i="5"/>
  <c r="AL19" i="5"/>
  <c r="AN4" i="5"/>
  <c r="AM8" i="5"/>
  <c r="AI143" i="10"/>
  <c r="AI144" i="10"/>
  <c r="AH142" i="10"/>
  <c r="AK117" i="10"/>
  <c r="AJ125" i="10"/>
  <c r="AJ132" i="10" s="1"/>
  <c r="AJ131" i="10" s="1"/>
  <c r="AR118" i="10"/>
  <c r="X62" i="3"/>
  <c r="Y63" i="3"/>
  <c r="Y64" i="3"/>
  <c r="W66" i="3"/>
  <c r="T77" i="3" s="1"/>
  <c r="D24" i="6" s="1"/>
  <c r="X55" i="3"/>
  <c r="Z46" i="3"/>
  <c r="Z52" i="3" s="1"/>
  <c r="Z51" i="3" s="1"/>
  <c r="AK22" i="5" l="1"/>
  <c r="AD9" i="7"/>
  <c r="AD15" i="7"/>
  <c r="AC22" i="7"/>
  <c r="AC20" i="7" s="1"/>
  <c r="AC14" i="7"/>
  <c r="AC13" i="7" s="1"/>
  <c r="AB24" i="7"/>
  <c r="Y25" i="7" s="1"/>
  <c r="Y26" i="7" s="1"/>
  <c r="AL11" i="5"/>
  <c r="AM7" i="5"/>
  <c r="AM13" i="5"/>
  <c r="AL20" i="5"/>
  <c r="AL18" i="5" s="1"/>
  <c r="AB146" i="10"/>
  <c r="Z57" i="3"/>
  <c r="Z56" i="3"/>
  <c r="AJ136" i="10"/>
  <c r="AJ137" i="10"/>
  <c r="AC135" i="10"/>
  <c r="AC146" i="10" s="1"/>
  <c r="AF4" i="7"/>
  <c r="AE10" i="7"/>
  <c r="AM19" i="5"/>
  <c r="AO4" i="5"/>
  <c r="AN8" i="5"/>
  <c r="AJ144" i="10"/>
  <c r="AJ143" i="10"/>
  <c r="AI142" i="10"/>
  <c r="AF154" i="10" s="1"/>
  <c r="AL117" i="10"/>
  <c r="AK125" i="10"/>
  <c r="AK132" i="10" s="1"/>
  <c r="AK131" i="10" s="1"/>
  <c r="AS118" i="10"/>
  <c r="X66" i="3"/>
  <c r="Y55" i="3"/>
  <c r="Z64" i="3"/>
  <c r="Z63" i="3"/>
  <c r="Y62" i="3"/>
  <c r="AA46" i="3"/>
  <c r="AA52" i="3" s="1"/>
  <c r="AA51" i="3" s="1"/>
  <c r="X72" i="3" s="1"/>
  <c r="E19" i="6" s="1"/>
  <c r="E27" i="6" s="1"/>
  <c r="AC24" i="7" l="1"/>
  <c r="AE9" i="7"/>
  <c r="AE15" i="7"/>
  <c r="AD22" i="7"/>
  <c r="AD20" i="7" s="1"/>
  <c r="AD14" i="7"/>
  <c r="AD13" i="7" s="1"/>
  <c r="AB30" i="7"/>
  <c r="AM12" i="5"/>
  <c r="AM11" i="5" s="1"/>
  <c r="AJ29" i="5" s="1"/>
  <c r="AJ28" i="5"/>
  <c r="AN7" i="5"/>
  <c r="AN13" i="5"/>
  <c r="AM20" i="5"/>
  <c r="AM18" i="5" s="1"/>
  <c r="AM22" i="5" s="1"/>
  <c r="AL22" i="5"/>
  <c r="Y147" i="10"/>
  <c r="Y148" i="10" s="1"/>
  <c r="U67" i="3"/>
  <c r="U68" i="3" s="1"/>
  <c r="AA57" i="3"/>
  <c r="AA56" i="3"/>
  <c r="AK137" i="10"/>
  <c r="AK136" i="10"/>
  <c r="AG4" i="7"/>
  <c r="AF10" i="7"/>
  <c r="AD135" i="10"/>
  <c r="AD146" i="10" s="1"/>
  <c r="AN19" i="5"/>
  <c r="AP4" i="5"/>
  <c r="AO8" i="5"/>
  <c r="AK143" i="10"/>
  <c r="AK144" i="10"/>
  <c r="AJ142" i="10"/>
  <c r="AM117" i="10"/>
  <c r="AL125" i="10"/>
  <c r="AL132" i="10" s="1"/>
  <c r="AL131" i="10" s="1"/>
  <c r="AT118" i="10"/>
  <c r="Y66" i="3"/>
  <c r="Z62" i="3"/>
  <c r="AA63" i="3"/>
  <c r="AA64" i="3"/>
  <c r="Z55" i="3"/>
  <c r="AB46" i="3"/>
  <c r="AB52" i="3" s="1"/>
  <c r="AB51" i="3" s="1"/>
  <c r="AF9" i="7" l="1"/>
  <c r="AF15" i="7"/>
  <c r="AD24" i="7"/>
  <c r="AE22" i="7"/>
  <c r="AE20" i="7" s="1"/>
  <c r="AB32" i="7" s="1"/>
  <c r="AE14" i="7"/>
  <c r="AE13" i="7" s="1"/>
  <c r="AB31" i="7" s="1"/>
  <c r="AJ33" i="5"/>
  <c r="AN12" i="5"/>
  <c r="AN11" i="5" s="1"/>
  <c r="AO7" i="5"/>
  <c r="AO12" i="5" s="1"/>
  <c r="AO13" i="5"/>
  <c r="AN20" i="5"/>
  <c r="AN18" i="5" s="1"/>
  <c r="AJ30" i="5"/>
  <c r="AJ31" i="5" s="1"/>
  <c r="AB57" i="3"/>
  <c r="AB56" i="3"/>
  <c r="AL136" i="10"/>
  <c r="AL137" i="10"/>
  <c r="AE135" i="10"/>
  <c r="AE146" i="10" s="1"/>
  <c r="AB157" i="10" s="1"/>
  <c r="AH4" i="7"/>
  <c r="AG10" i="7"/>
  <c r="AQ4" i="5"/>
  <c r="AP8" i="5"/>
  <c r="AL143" i="10"/>
  <c r="AL144" i="10"/>
  <c r="AN117" i="10"/>
  <c r="AM125" i="10"/>
  <c r="AM132" i="10" s="1"/>
  <c r="AM131" i="10" s="1"/>
  <c r="AJ152" i="10" s="1"/>
  <c r="AK142" i="10"/>
  <c r="AU118" i="10"/>
  <c r="Z66" i="3"/>
  <c r="AA55" i="3"/>
  <c r="X73" i="3" s="1"/>
  <c r="AB63" i="3"/>
  <c r="AB64" i="3"/>
  <c r="AA62" i="3"/>
  <c r="X74" i="3" s="1"/>
  <c r="E21" i="6" s="1"/>
  <c r="AC46" i="3"/>
  <c r="AC52" i="3" s="1"/>
  <c r="AC51" i="3" s="1"/>
  <c r="AB33" i="7" l="1"/>
  <c r="AE24" i="7"/>
  <c r="AB35" i="7" s="1"/>
  <c r="AG9" i="7"/>
  <c r="AG15" i="7"/>
  <c r="AF22" i="7"/>
  <c r="AF20" i="7" s="1"/>
  <c r="AF14" i="7"/>
  <c r="AF13" i="7" s="1"/>
  <c r="AO20" i="5"/>
  <c r="AO19" i="5"/>
  <c r="AP7" i="5"/>
  <c r="AP12" i="5" s="1"/>
  <c r="AP13" i="5"/>
  <c r="AO11" i="5"/>
  <c r="AN22" i="5"/>
  <c r="AK23" i="5" s="1"/>
  <c r="AK24" i="5" s="1"/>
  <c r="X75" i="3"/>
  <c r="E22" i="6" s="1"/>
  <c r="E20" i="6"/>
  <c r="AB153" i="10"/>
  <c r="AB155" i="10" s="1"/>
  <c r="AC57" i="3"/>
  <c r="AC56" i="3"/>
  <c r="AM137" i="10"/>
  <c r="AM136" i="10"/>
  <c r="AI4" i="7"/>
  <c r="AH10" i="7"/>
  <c r="AF135" i="10"/>
  <c r="AR4" i="5"/>
  <c r="AQ8" i="5"/>
  <c r="AM143" i="10"/>
  <c r="AM144" i="10"/>
  <c r="AO117" i="10"/>
  <c r="AN125" i="10"/>
  <c r="AN132" i="10" s="1"/>
  <c r="AN131" i="10" s="1"/>
  <c r="AL142" i="10"/>
  <c r="AV118" i="10"/>
  <c r="AC63" i="3"/>
  <c r="AC64" i="3"/>
  <c r="AB55" i="3"/>
  <c r="AB62" i="3"/>
  <c r="AA66" i="3"/>
  <c r="X77" i="3" s="1"/>
  <c r="E24" i="6" s="1"/>
  <c r="AD46" i="3"/>
  <c r="AD52" i="3" s="1"/>
  <c r="AD51" i="3" s="1"/>
  <c r="AF24" i="7" l="1"/>
  <c r="AC25" i="7" s="1"/>
  <c r="AC26" i="7" s="1"/>
  <c r="AG22" i="7"/>
  <c r="AG20" i="7" s="1"/>
  <c r="AG14" i="7"/>
  <c r="AG13" i="7" s="1"/>
  <c r="AH9" i="7"/>
  <c r="AH15" i="7"/>
  <c r="AO18" i="5"/>
  <c r="AO22" i="5" s="1"/>
  <c r="AP20" i="5"/>
  <c r="AP11" i="5"/>
  <c r="AQ7" i="5"/>
  <c r="AQ12" i="5" s="1"/>
  <c r="AQ13" i="5"/>
  <c r="AP19" i="5"/>
  <c r="AN28" i="5"/>
  <c r="AF146" i="10"/>
  <c r="AD57" i="3"/>
  <c r="AD56" i="3"/>
  <c r="AN136" i="10"/>
  <c r="AN137" i="10"/>
  <c r="AG135" i="10"/>
  <c r="AG146" i="10" s="1"/>
  <c r="AJ4" i="7"/>
  <c r="AI10" i="7"/>
  <c r="AQ20" i="5"/>
  <c r="AS4" i="5"/>
  <c r="AR8" i="5"/>
  <c r="AM142" i="10"/>
  <c r="AJ154" i="10" s="1"/>
  <c r="AN144" i="10"/>
  <c r="AN143" i="10"/>
  <c r="AP117" i="10"/>
  <c r="AO125" i="10"/>
  <c r="AO132" i="10" s="1"/>
  <c r="AO131" i="10" s="1"/>
  <c r="AW118" i="10"/>
  <c r="AC62" i="3"/>
  <c r="AD63" i="3"/>
  <c r="AD64" i="3"/>
  <c r="AB66" i="3"/>
  <c r="AC55" i="3"/>
  <c r="AE46" i="3"/>
  <c r="AE52" i="3" s="1"/>
  <c r="AE51" i="3" s="1"/>
  <c r="AB72" i="3" s="1"/>
  <c r="F19" i="6" s="1"/>
  <c r="F27" i="6" s="1"/>
  <c r="AI9" i="7" l="1"/>
  <c r="AI15" i="7"/>
  <c r="AG24" i="7"/>
  <c r="AH22" i="7"/>
  <c r="AH20" i="7" s="1"/>
  <c r="AH14" i="7"/>
  <c r="AH13" i="7" s="1"/>
  <c r="AP18" i="5"/>
  <c r="AP22" i="5" s="1"/>
  <c r="AQ11" i="5"/>
  <c r="AN29" i="5" s="1"/>
  <c r="AR7" i="5"/>
  <c r="AR20" i="5" s="1"/>
  <c r="AR13" i="5"/>
  <c r="AQ19" i="5"/>
  <c r="AC147" i="10"/>
  <c r="AC148" i="10" s="1"/>
  <c r="Y67" i="3"/>
  <c r="Y68" i="3" s="1"/>
  <c r="AE57" i="3"/>
  <c r="AE56" i="3"/>
  <c r="AO137" i="10"/>
  <c r="AO136" i="10"/>
  <c r="AK4" i="7"/>
  <c r="AJ10" i="7"/>
  <c r="AH135" i="10"/>
  <c r="AH146" i="10" s="1"/>
  <c r="AQ18" i="5"/>
  <c r="AT4" i="5"/>
  <c r="AS8" i="5"/>
  <c r="AO143" i="10"/>
  <c r="AO144" i="10"/>
  <c r="AN142" i="10"/>
  <c r="AQ117" i="10"/>
  <c r="AP125" i="10"/>
  <c r="AP132" i="10" s="1"/>
  <c r="AP131" i="10" s="1"/>
  <c r="AX118" i="10"/>
  <c r="AC66" i="3"/>
  <c r="AD62" i="3"/>
  <c r="AE63" i="3"/>
  <c r="AE64" i="3"/>
  <c r="AD55" i="3"/>
  <c r="AF46" i="3"/>
  <c r="AF52" i="3" s="1"/>
  <c r="AF51" i="3" s="1"/>
  <c r="AH24" i="7" l="1"/>
  <c r="AJ9" i="7"/>
  <c r="AJ15" i="7"/>
  <c r="AI22" i="7"/>
  <c r="AI20" i="7" s="1"/>
  <c r="AF32" i="7" s="1"/>
  <c r="AI14" i="7"/>
  <c r="AI13" i="7" s="1"/>
  <c r="AF31" i="7" s="1"/>
  <c r="AF30" i="7"/>
  <c r="AQ22" i="5"/>
  <c r="AN33" i="5" s="1"/>
  <c r="AS7" i="5"/>
  <c r="AS12" i="5" s="1"/>
  <c r="AS13" i="5"/>
  <c r="AR12" i="5"/>
  <c r="AR11" i="5" s="1"/>
  <c r="AR19" i="5"/>
  <c r="AR18" i="5" s="1"/>
  <c r="AN30" i="5"/>
  <c r="AN31" i="5" s="1"/>
  <c r="AF57" i="3"/>
  <c r="AF56" i="3"/>
  <c r="AP136" i="10"/>
  <c r="AP137" i="10"/>
  <c r="AI135" i="10"/>
  <c r="AI146" i="10" s="1"/>
  <c r="AF157" i="10" s="1"/>
  <c r="AL4" i="7"/>
  <c r="AK10" i="7"/>
  <c r="AS20" i="5"/>
  <c r="AU4" i="5"/>
  <c r="AT8" i="5"/>
  <c r="AP143" i="10"/>
  <c r="AP144" i="10"/>
  <c r="AR117" i="10"/>
  <c r="AQ125" i="10"/>
  <c r="AQ132" i="10" s="1"/>
  <c r="AQ131" i="10" s="1"/>
  <c r="AN152" i="10" s="1"/>
  <c r="AO142" i="10"/>
  <c r="AY118" i="10"/>
  <c r="AD66" i="3"/>
  <c r="AE62" i="3"/>
  <c r="AB74" i="3" s="1"/>
  <c r="F21" i="6" s="1"/>
  <c r="AF63" i="3"/>
  <c r="AF64" i="3"/>
  <c r="AE55" i="3"/>
  <c r="AB73" i="3" s="1"/>
  <c r="AG46" i="3"/>
  <c r="AG52" i="3" s="1"/>
  <c r="AG51" i="3" s="1"/>
  <c r="AF33" i="7" l="1"/>
  <c r="AK9" i="7"/>
  <c r="AK15" i="7"/>
  <c r="AI24" i="7"/>
  <c r="AJ22" i="7"/>
  <c r="AJ20" i="7" s="1"/>
  <c r="AJ14" i="7"/>
  <c r="AJ13" i="7" s="1"/>
  <c r="AS11" i="5"/>
  <c r="AT7" i="5"/>
  <c r="AT20" i="5" s="1"/>
  <c r="AT13" i="5"/>
  <c r="AS19" i="5"/>
  <c r="AS18" i="5" s="1"/>
  <c r="AR22" i="5"/>
  <c r="AO23" i="5" s="1"/>
  <c r="AO24" i="5" s="1"/>
  <c r="AB75" i="3"/>
  <c r="F22" i="6" s="1"/>
  <c r="F20" i="6"/>
  <c r="AF153" i="10"/>
  <c r="AF155" i="10" s="1"/>
  <c r="AG57" i="3"/>
  <c r="AG56" i="3"/>
  <c r="AQ137" i="10"/>
  <c r="AQ136" i="10"/>
  <c r="AM4" i="7"/>
  <c r="AL10" i="7"/>
  <c r="AJ135" i="10"/>
  <c r="AE66" i="3"/>
  <c r="AB77" i="3" s="1"/>
  <c r="F24" i="6" s="1"/>
  <c r="AV4" i="5"/>
  <c r="AU8" i="5"/>
  <c r="AP142" i="10"/>
  <c r="AQ143" i="10"/>
  <c r="AQ144" i="10"/>
  <c r="AS117" i="10"/>
  <c r="AR125" i="10"/>
  <c r="AR132" i="10" s="1"/>
  <c r="AR131" i="10" s="1"/>
  <c r="AZ118" i="10"/>
  <c r="AG63" i="3"/>
  <c r="AG64" i="3"/>
  <c r="AF55" i="3"/>
  <c r="AF62" i="3"/>
  <c r="AH46" i="3"/>
  <c r="AH52" i="3" s="1"/>
  <c r="AH51" i="3" s="1"/>
  <c r="AS22" i="5" l="1"/>
  <c r="AJ24" i="7"/>
  <c r="AF35" i="7"/>
  <c r="AG25" i="7"/>
  <c r="AG26" i="7" s="1"/>
  <c r="AK22" i="7"/>
  <c r="AK20" i="7" s="1"/>
  <c r="AK14" i="7"/>
  <c r="AK13" i="7" s="1"/>
  <c r="AL9" i="7"/>
  <c r="AL15" i="7"/>
  <c r="AU7" i="5"/>
  <c r="AU12" i="5" s="1"/>
  <c r="AU13" i="5"/>
  <c r="AT12" i="5"/>
  <c r="AT11" i="5" s="1"/>
  <c r="AT19" i="5"/>
  <c r="AJ146" i="10"/>
  <c r="AH57" i="3"/>
  <c r="AH56" i="3"/>
  <c r="AR136" i="10"/>
  <c r="AR137" i="10"/>
  <c r="AK135" i="10"/>
  <c r="AK146" i="10" s="1"/>
  <c r="AN4" i="7"/>
  <c r="AM10" i="7"/>
  <c r="AT18" i="5"/>
  <c r="AU20" i="5"/>
  <c r="AW4" i="5"/>
  <c r="AV8" i="5"/>
  <c r="AR144" i="10"/>
  <c r="AR143" i="10"/>
  <c r="AT117" i="10"/>
  <c r="AS125" i="10"/>
  <c r="AS132" i="10" s="1"/>
  <c r="AS131" i="10" s="1"/>
  <c r="AQ142" i="10"/>
  <c r="AN154" i="10" s="1"/>
  <c r="BA118" i="10"/>
  <c r="AF66" i="3"/>
  <c r="AG55" i="3"/>
  <c r="AH63" i="3"/>
  <c r="AH64" i="3"/>
  <c r="AG62" i="3"/>
  <c r="AI46" i="3"/>
  <c r="AI52" i="3" s="1"/>
  <c r="AI51" i="3" s="1"/>
  <c r="AF72" i="3" s="1"/>
  <c r="G19" i="6" s="1"/>
  <c r="G27" i="6" s="1"/>
  <c r="AU39" i="3"/>
  <c r="AK24" i="7" l="1"/>
  <c r="AM9" i="7"/>
  <c r="AM15" i="7"/>
  <c r="AL22" i="7"/>
  <c r="AL20" i="7" s="1"/>
  <c r="AL14" i="7"/>
  <c r="AL13" i="7" s="1"/>
  <c r="AU11" i="5"/>
  <c r="AT22" i="5"/>
  <c r="AV7" i="5"/>
  <c r="AV13" i="5"/>
  <c r="AR29" i="5"/>
  <c r="AU19" i="5"/>
  <c r="AR28" i="5"/>
  <c r="AC67" i="3"/>
  <c r="AC68" i="3" s="1"/>
  <c r="AG147" i="10"/>
  <c r="AG148" i="10" s="1"/>
  <c r="AI57" i="3"/>
  <c r="AI56" i="3"/>
  <c r="AS137" i="10"/>
  <c r="AS136" i="10"/>
  <c r="AO4" i="7"/>
  <c r="AN10" i="7"/>
  <c r="AL135" i="10"/>
  <c r="AL146" i="10" s="1"/>
  <c r="AU18" i="5"/>
  <c r="AV19" i="5"/>
  <c r="AX4" i="5"/>
  <c r="AW8" i="5"/>
  <c r="AG66" i="3"/>
  <c r="AS143" i="10"/>
  <c r="AS144" i="10"/>
  <c r="AR142" i="10"/>
  <c r="AU117" i="10"/>
  <c r="AT125" i="10"/>
  <c r="AT132" i="10" s="1"/>
  <c r="AT131" i="10" s="1"/>
  <c r="BB118" i="10"/>
  <c r="AI63" i="3"/>
  <c r="AI64" i="3"/>
  <c r="AH55" i="3"/>
  <c r="AH62" i="3"/>
  <c r="AV39" i="3"/>
  <c r="AJ46" i="3"/>
  <c r="AJ52" i="3" s="1"/>
  <c r="AJ51" i="3" s="1"/>
  <c r="AL24" i="7" l="1"/>
  <c r="AM22" i="7"/>
  <c r="AM20" i="7" s="1"/>
  <c r="AJ32" i="7" s="1"/>
  <c r="AM14" i="7"/>
  <c r="AM13" i="7" s="1"/>
  <c r="AM24" i="7" s="1"/>
  <c r="AJ30" i="7"/>
  <c r="AN9" i="7"/>
  <c r="AN15" i="7"/>
  <c r="AU22" i="5"/>
  <c r="AR33" i="5" s="1"/>
  <c r="AV12" i="5"/>
  <c r="AV11" i="5" s="1"/>
  <c r="AW7" i="5"/>
  <c r="AW12" i="5" s="1"/>
  <c r="AW13" i="5"/>
  <c r="AV20" i="5"/>
  <c r="AV18" i="5" s="1"/>
  <c r="AR30" i="5"/>
  <c r="AR31" i="5" s="1"/>
  <c r="AJ57" i="3"/>
  <c r="AJ56" i="3"/>
  <c r="AT136" i="10"/>
  <c r="AT137" i="10"/>
  <c r="AP4" i="7"/>
  <c r="AO10" i="7"/>
  <c r="AM135" i="10"/>
  <c r="AM146" i="10" s="1"/>
  <c r="AJ157" i="10" s="1"/>
  <c r="AY4" i="5"/>
  <c r="AX8" i="5"/>
  <c r="AS142" i="10"/>
  <c r="AT143" i="10"/>
  <c r="AT144" i="10"/>
  <c r="AV117" i="10"/>
  <c r="AU125" i="10"/>
  <c r="AU132" i="10" s="1"/>
  <c r="AU131" i="10" s="1"/>
  <c r="AR152" i="10" s="1"/>
  <c r="BC118" i="10"/>
  <c r="AH66" i="3"/>
  <c r="AI62" i="3"/>
  <c r="AF74" i="3" s="1"/>
  <c r="G21" i="6" s="1"/>
  <c r="AJ63" i="3"/>
  <c r="AJ64" i="3"/>
  <c r="AI55" i="3"/>
  <c r="AF73" i="3" s="1"/>
  <c r="AK46" i="3"/>
  <c r="AK52" i="3" s="1"/>
  <c r="AK51" i="3" s="1"/>
  <c r="AW39" i="3"/>
  <c r="AX39" i="3" s="1"/>
  <c r="AJ31" i="7" l="1"/>
  <c r="AJ35" i="7"/>
  <c r="AO9" i="7"/>
  <c r="AO15" i="7"/>
  <c r="AJ33" i="7"/>
  <c r="AN22" i="7"/>
  <c r="AN20" i="7" s="1"/>
  <c r="AN14" i="7"/>
  <c r="AN13" i="7" s="1"/>
  <c r="AW20" i="5"/>
  <c r="AW11" i="5"/>
  <c r="AX7" i="5"/>
  <c r="AX12" i="5" s="1"/>
  <c r="AX13" i="5"/>
  <c r="AW19" i="5"/>
  <c r="AW18" i="5" s="1"/>
  <c r="AV22" i="5"/>
  <c r="AS23" i="5" s="1"/>
  <c r="AS24" i="5" s="1"/>
  <c r="AF75" i="3"/>
  <c r="G22" i="6" s="1"/>
  <c r="G20" i="6"/>
  <c r="AJ153" i="10"/>
  <c r="AJ155" i="10" s="1"/>
  <c r="AK57" i="3"/>
  <c r="AK56" i="3"/>
  <c r="AU137" i="10"/>
  <c r="AU136" i="10"/>
  <c r="AN135" i="10"/>
  <c r="AQ4" i="7"/>
  <c r="AP10" i="7"/>
  <c r="AI66" i="3"/>
  <c r="AF77" i="3" s="1"/>
  <c r="G24" i="6" s="1"/>
  <c r="AX20" i="5"/>
  <c r="AZ4" i="5"/>
  <c r="AY8" i="5"/>
  <c r="AU143" i="10"/>
  <c r="AU144" i="10"/>
  <c r="AT142" i="10"/>
  <c r="AW117" i="10"/>
  <c r="AV125" i="10"/>
  <c r="AV132" i="10" s="1"/>
  <c r="AV131" i="10" s="1"/>
  <c r="BD118" i="10"/>
  <c r="AK63" i="3"/>
  <c r="AK64" i="3"/>
  <c r="AJ55" i="3"/>
  <c r="AJ62" i="3"/>
  <c r="AL46" i="3"/>
  <c r="AL52" i="3" s="1"/>
  <c r="AL51" i="3" s="1"/>
  <c r="AN24" i="7" l="1"/>
  <c r="AK25" i="7" s="1"/>
  <c r="AK26" i="7" s="1"/>
  <c r="AO22" i="7"/>
  <c r="AO20" i="7" s="1"/>
  <c r="AO14" i="7"/>
  <c r="AO13" i="7" s="1"/>
  <c r="AP9" i="7"/>
  <c r="AP15" i="7"/>
  <c r="AW22" i="5"/>
  <c r="AX11" i="5"/>
  <c r="AY7" i="5"/>
  <c r="AY20" i="5" s="1"/>
  <c r="AY13" i="5"/>
  <c r="AX19" i="5"/>
  <c r="AN146" i="10"/>
  <c r="AL57" i="3"/>
  <c r="AL56" i="3"/>
  <c r="AV136" i="10"/>
  <c r="AV137" i="10"/>
  <c r="AR4" i="7"/>
  <c r="AQ10" i="7"/>
  <c r="AO135" i="10"/>
  <c r="AO146" i="10" s="1"/>
  <c r="AX18" i="5"/>
  <c r="BA4" i="5"/>
  <c r="AZ8" i="5"/>
  <c r="AV144" i="10"/>
  <c r="AV143" i="10"/>
  <c r="AX117" i="10"/>
  <c r="AW125" i="10"/>
  <c r="AW132" i="10" s="1"/>
  <c r="AW131" i="10" s="1"/>
  <c r="AU142" i="10"/>
  <c r="AR154" i="10" s="1"/>
  <c r="BE118" i="10"/>
  <c r="AJ66" i="3"/>
  <c r="AK55" i="3"/>
  <c r="AL63" i="3"/>
  <c r="AL64" i="3"/>
  <c r="AK62" i="3"/>
  <c r="AM46" i="3"/>
  <c r="AM52" i="3" s="1"/>
  <c r="AM51" i="3" s="1"/>
  <c r="AJ72" i="3" s="1"/>
  <c r="H19" i="6" s="1"/>
  <c r="H27" i="6" s="1"/>
  <c r="AY39" i="3"/>
  <c r="AQ9" i="7" l="1"/>
  <c r="AQ15" i="7"/>
  <c r="AO24" i="7"/>
  <c r="AP22" i="7"/>
  <c r="AP20" i="7" s="1"/>
  <c r="AP14" i="7"/>
  <c r="AP13" i="7" s="1"/>
  <c r="AX22" i="5"/>
  <c r="AZ7" i="5"/>
  <c r="AZ13" i="5"/>
  <c r="AY12" i="5"/>
  <c r="AY11" i="5" s="1"/>
  <c r="AV29" i="5" s="1"/>
  <c r="AV28" i="5"/>
  <c r="AY19" i="5"/>
  <c r="AY18" i="5" s="1"/>
  <c r="AY22" i="5" s="1"/>
  <c r="AG67" i="3"/>
  <c r="AG68" i="3" s="1"/>
  <c r="AK147" i="10"/>
  <c r="AK148" i="10" s="1"/>
  <c r="AM57" i="3"/>
  <c r="AM56" i="3"/>
  <c r="AW137" i="10"/>
  <c r="AW136" i="10"/>
  <c r="AP135" i="10"/>
  <c r="AP146" i="10" s="1"/>
  <c r="AS4" i="7"/>
  <c r="AR10" i="7"/>
  <c r="AK66" i="3"/>
  <c r="AZ19" i="5"/>
  <c r="BB4" i="5"/>
  <c r="BA8" i="5"/>
  <c r="AW143" i="10"/>
  <c r="AW144" i="10"/>
  <c r="AV142" i="10"/>
  <c r="AY117" i="10"/>
  <c r="AX125" i="10"/>
  <c r="AX132" i="10" s="1"/>
  <c r="AX131" i="10" s="1"/>
  <c r="BF118" i="10"/>
  <c r="AM63" i="3"/>
  <c r="AM64" i="3"/>
  <c r="AL55" i="3"/>
  <c r="AL62" i="3"/>
  <c r="AZ39" i="3"/>
  <c r="AN46" i="3"/>
  <c r="AN52" i="3" s="1"/>
  <c r="AN51" i="3" s="1"/>
  <c r="AR9" i="7" l="1"/>
  <c r="AR15" i="7"/>
  <c r="AP24" i="7"/>
  <c r="AQ22" i="7"/>
  <c r="AQ20" i="7" s="1"/>
  <c r="AN32" i="7" s="1"/>
  <c r="AQ14" i="7"/>
  <c r="AQ13" i="7" s="1"/>
  <c r="AN31" i="7" s="1"/>
  <c r="AN30" i="7"/>
  <c r="AV33" i="5"/>
  <c r="BA7" i="5"/>
  <c r="BA12" i="5" s="1"/>
  <c r="BA13" i="5"/>
  <c r="AZ12" i="5"/>
  <c r="AZ11" i="5" s="1"/>
  <c r="AZ20" i="5"/>
  <c r="AZ18" i="5" s="1"/>
  <c r="AV30" i="5"/>
  <c r="AV31" i="5" s="1"/>
  <c r="AN57" i="3"/>
  <c r="AN56" i="3"/>
  <c r="AX136" i="10"/>
  <c r="AX137" i="10"/>
  <c r="AT4" i="7"/>
  <c r="AS10" i="7"/>
  <c r="AQ135" i="10"/>
  <c r="AQ146" i="10" s="1"/>
  <c r="AN157" i="10" s="1"/>
  <c r="BC4" i="5"/>
  <c r="BB8" i="5"/>
  <c r="BA19" i="5"/>
  <c r="AW142" i="10"/>
  <c r="AX143" i="10"/>
  <c r="AX144" i="10"/>
  <c r="AZ117" i="10"/>
  <c r="AY125" i="10"/>
  <c r="AY132" i="10" s="1"/>
  <c r="AY131" i="10" s="1"/>
  <c r="AV152" i="10" s="1"/>
  <c r="BG118" i="10"/>
  <c r="AM62" i="3"/>
  <c r="AJ74" i="3" s="1"/>
  <c r="H21" i="6" s="1"/>
  <c r="AL66" i="3"/>
  <c r="AN63" i="3"/>
  <c r="AN64" i="3"/>
  <c r="AM55" i="3"/>
  <c r="AJ73" i="3" s="1"/>
  <c r="AO46" i="3"/>
  <c r="AO52" i="3" s="1"/>
  <c r="AO51" i="3" s="1"/>
  <c r="BA39" i="3"/>
  <c r="BB39" i="3" s="1"/>
  <c r="AN33" i="7" l="1"/>
  <c r="AS9" i="7"/>
  <c r="AS15" i="7"/>
  <c r="AQ24" i="7"/>
  <c r="AR22" i="7"/>
  <c r="AR20" i="7" s="1"/>
  <c r="AR14" i="7"/>
  <c r="AR13" i="7" s="1"/>
  <c r="BA11" i="5"/>
  <c r="BA20" i="5"/>
  <c r="BB7" i="5"/>
  <c r="BB20" i="5" s="1"/>
  <c r="BB13" i="5"/>
  <c r="AZ22" i="5"/>
  <c r="AN153" i="10"/>
  <c r="AN155" i="10" s="1"/>
  <c r="AJ75" i="3"/>
  <c r="H22" i="6" s="1"/>
  <c r="H20" i="6"/>
  <c r="AW23" i="5"/>
  <c r="AW24" i="5" s="1"/>
  <c r="AO57" i="3"/>
  <c r="AO56" i="3"/>
  <c r="AY137" i="10"/>
  <c r="AY136" i="10"/>
  <c r="AR135" i="10"/>
  <c r="AU4" i="7"/>
  <c r="AT10" i="7"/>
  <c r="BA18" i="5"/>
  <c r="BA22" i="5" s="1"/>
  <c r="BB19" i="5"/>
  <c r="BD4" i="5"/>
  <c r="BC8" i="5"/>
  <c r="AY143" i="10"/>
  <c r="AY144" i="10"/>
  <c r="BA117" i="10"/>
  <c r="AZ125" i="10"/>
  <c r="AZ132" i="10" s="1"/>
  <c r="AZ131" i="10" s="1"/>
  <c r="AX142" i="10"/>
  <c r="BH118" i="10"/>
  <c r="AM66" i="3"/>
  <c r="AJ77" i="3" s="1"/>
  <c r="H24" i="6" s="1"/>
  <c r="AO63" i="3"/>
  <c r="AO64" i="3"/>
  <c r="AN55" i="3"/>
  <c r="AN62" i="3"/>
  <c r="AP46" i="3"/>
  <c r="AP52" i="3" s="1"/>
  <c r="AP51" i="3" s="1"/>
  <c r="AR24" i="7" l="1"/>
  <c r="AN35" i="7"/>
  <c r="AO25" i="7"/>
  <c r="AO26" i="7" s="1"/>
  <c r="AS22" i="7"/>
  <c r="AS20" i="7" s="1"/>
  <c r="AS14" i="7"/>
  <c r="AS13" i="7" s="1"/>
  <c r="AT9" i="7"/>
  <c r="AT15" i="7"/>
  <c r="BC7" i="5"/>
  <c r="BC12" i="5" s="1"/>
  <c r="BC13" i="5"/>
  <c r="BB12" i="5"/>
  <c r="BB11" i="5" s="1"/>
  <c r="AR146" i="10"/>
  <c r="AP57" i="3"/>
  <c r="AP56" i="3"/>
  <c r="AZ136" i="10"/>
  <c r="AZ137" i="10"/>
  <c r="AV4" i="7"/>
  <c r="AU10" i="7"/>
  <c r="AS135" i="10"/>
  <c r="AS146" i="10" s="1"/>
  <c r="BB18" i="5"/>
  <c r="BE4" i="5"/>
  <c r="BD8" i="5"/>
  <c r="AZ144" i="10"/>
  <c r="AZ143" i="10"/>
  <c r="AY142" i="10"/>
  <c r="AV154" i="10" s="1"/>
  <c r="BB117" i="10"/>
  <c r="BA125" i="10"/>
  <c r="BA132" i="10" s="1"/>
  <c r="BA131" i="10" s="1"/>
  <c r="BI118" i="10"/>
  <c r="AN66" i="3"/>
  <c r="AO55" i="3"/>
  <c r="AP63" i="3"/>
  <c r="AP64" i="3"/>
  <c r="AO62" i="3"/>
  <c r="AQ46" i="3"/>
  <c r="AQ52" i="3" s="1"/>
  <c r="AQ51" i="3" s="1"/>
  <c r="AN72" i="3" s="1"/>
  <c r="I19" i="6" s="1"/>
  <c r="I27" i="6" s="1"/>
  <c r="CO39" i="3"/>
  <c r="BM39" i="3"/>
  <c r="BU39" i="3"/>
  <c r="CC39" i="3"/>
  <c r="CK39" i="3"/>
  <c r="CP39" i="3"/>
  <c r="BL39" i="3"/>
  <c r="BT39" i="3"/>
  <c r="CB39" i="3"/>
  <c r="CJ39" i="3"/>
  <c r="BG39" i="3"/>
  <c r="BO39" i="3"/>
  <c r="BW39" i="3"/>
  <c r="CE39" i="3"/>
  <c r="CM39" i="3"/>
  <c r="BF39" i="3"/>
  <c r="BN39" i="3"/>
  <c r="BV39" i="3"/>
  <c r="CD39" i="3"/>
  <c r="CL39" i="3"/>
  <c r="BI39" i="3"/>
  <c r="BQ39" i="3"/>
  <c r="BY39" i="3"/>
  <c r="CG39" i="3"/>
  <c r="BD39" i="3"/>
  <c r="BH39" i="3"/>
  <c r="BP39" i="3"/>
  <c r="BX39" i="3"/>
  <c r="CF39" i="3"/>
  <c r="CN39" i="3"/>
  <c r="BK39" i="3"/>
  <c r="BS39" i="3"/>
  <c r="CA39" i="3"/>
  <c r="CI39" i="3"/>
  <c r="BC39" i="3"/>
  <c r="BJ39" i="3"/>
  <c r="BR39" i="3"/>
  <c r="BZ39" i="3"/>
  <c r="CH39" i="3"/>
  <c r="BE39" i="3"/>
  <c r="AU9" i="7" l="1"/>
  <c r="AU15" i="7"/>
  <c r="AS24" i="7"/>
  <c r="AT22" i="7"/>
  <c r="AT20" i="7" s="1"/>
  <c r="AT14" i="7"/>
  <c r="AT13" i="7" s="1"/>
  <c r="BC19" i="5"/>
  <c r="BC11" i="5"/>
  <c r="AZ29" i="5" s="1"/>
  <c r="BD7" i="5"/>
  <c r="BD19" i="5" s="1"/>
  <c r="BD13" i="5"/>
  <c r="BC20" i="5"/>
  <c r="BC18" i="5" s="1"/>
  <c r="AZ28" i="5"/>
  <c r="BB22" i="5"/>
  <c r="AK67" i="3"/>
  <c r="AK68" i="3" s="1"/>
  <c r="AO147" i="10"/>
  <c r="AO148" i="10" s="1"/>
  <c r="AQ57" i="3"/>
  <c r="AQ56" i="3"/>
  <c r="BA137" i="10"/>
  <c r="BA136" i="10"/>
  <c r="AT135" i="10"/>
  <c r="AT146" i="10" s="1"/>
  <c r="AW4" i="7"/>
  <c r="AV10" i="7"/>
  <c r="BF4" i="5"/>
  <c r="BE8" i="5"/>
  <c r="AO66" i="3"/>
  <c r="BA143" i="10"/>
  <c r="BA144" i="10"/>
  <c r="BC117" i="10"/>
  <c r="BB125" i="10"/>
  <c r="BB132" i="10" s="1"/>
  <c r="BB131" i="10" s="1"/>
  <c r="AZ142" i="10"/>
  <c r="BJ118" i="10"/>
  <c r="CQ39" i="3"/>
  <c r="AQ63" i="3"/>
  <c r="AQ64" i="3"/>
  <c r="AP55" i="3"/>
  <c r="AP62" i="3"/>
  <c r="AR46" i="3"/>
  <c r="AR52" i="3" s="1"/>
  <c r="AR51" i="3" s="1"/>
  <c r="AT24" i="7" l="1"/>
  <c r="AV9" i="7"/>
  <c r="AV15" i="7"/>
  <c r="AU22" i="7"/>
  <c r="AU20" i="7" s="1"/>
  <c r="AR32" i="7" s="1"/>
  <c r="AU14" i="7"/>
  <c r="AU13" i="7" s="1"/>
  <c r="AR31" i="7" s="1"/>
  <c r="AR30" i="7"/>
  <c r="BD20" i="5"/>
  <c r="BD18" i="5" s="1"/>
  <c r="BC22" i="5"/>
  <c r="AZ33" i="5" s="1"/>
  <c r="BE7" i="5"/>
  <c r="BE12" i="5" s="1"/>
  <c r="BE13" i="5"/>
  <c r="BD12" i="5"/>
  <c r="BD11" i="5" s="1"/>
  <c r="AZ30" i="5"/>
  <c r="AZ31" i="5" s="1"/>
  <c r="AR57" i="3"/>
  <c r="AR56" i="3"/>
  <c r="BB136" i="10"/>
  <c r="BB137" i="10"/>
  <c r="AX4" i="7"/>
  <c r="AW10" i="7"/>
  <c r="AU135" i="10"/>
  <c r="AU146" i="10" s="1"/>
  <c r="AR157" i="10" s="1"/>
  <c r="BG4" i="5"/>
  <c r="BF8" i="5"/>
  <c r="BB143" i="10"/>
  <c r="BB144" i="10"/>
  <c r="BA142" i="10"/>
  <c r="BD117" i="10"/>
  <c r="BC125" i="10"/>
  <c r="BC132" i="10" s="1"/>
  <c r="BC131" i="10" s="1"/>
  <c r="AZ152" i="10" s="1"/>
  <c r="BK118" i="10"/>
  <c r="AP66" i="3"/>
  <c r="AQ62" i="3"/>
  <c r="AN74" i="3" s="1"/>
  <c r="I21" i="6" s="1"/>
  <c r="AR63" i="3"/>
  <c r="AR64" i="3"/>
  <c r="AQ55" i="3"/>
  <c r="AN73" i="3" s="1"/>
  <c r="AS46" i="3"/>
  <c r="AS52" i="3" s="1"/>
  <c r="AS51" i="3" s="1"/>
  <c r="AR33" i="7" l="1"/>
  <c r="AW9" i="7"/>
  <c r="AW15" i="7"/>
  <c r="AU24" i="7"/>
  <c r="AV22" i="7"/>
  <c r="AV20" i="7" s="1"/>
  <c r="AV14" i="7"/>
  <c r="AV13" i="7" s="1"/>
  <c r="BE11" i="5"/>
  <c r="BE19" i="5"/>
  <c r="BF7" i="5"/>
  <c r="BF20" i="5" s="1"/>
  <c r="BF13" i="5"/>
  <c r="BE20" i="5"/>
  <c r="BD22" i="5"/>
  <c r="BA23" i="5" s="1"/>
  <c r="BA24" i="5" s="1"/>
  <c r="AN75" i="3"/>
  <c r="I22" i="6" s="1"/>
  <c r="I20" i="6"/>
  <c r="AR153" i="10"/>
  <c r="AR155" i="10" s="1"/>
  <c r="AS57" i="3"/>
  <c r="AS56" i="3"/>
  <c r="BC137" i="10"/>
  <c r="BC136" i="10"/>
  <c r="AV135" i="10"/>
  <c r="AY4" i="7"/>
  <c r="AX10" i="7"/>
  <c r="AQ66" i="3"/>
  <c r="AN77" i="3" s="1"/>
  <c r="I24" i="6" s="1"/>
  <c r="BH4" i="5"/>
  <c r="BG8" i="5"/>
  <c r="BC143" i="10"/>
  <c r="BC144" i="10"/>
  <c r="BB142" i="10"/>
  <c r="BE117" i="10"/>
  <c r="BD125" i="10"/>
  <c r="BD132" i="10" s="1"/>
  <c r="BD131" i="10" s="1"/>
  <c r="BL118" i="10"/>
  <c r="AS63" i="3"/>
  <c r="AS64" i="3"/>
  <c r="AR55" i="3"/>
  <c r="AR62" i="3"/>
  <c r="AT46" i="3"/>
  <c r="AT52" i="3" s="1"/>
  <c r="AT51" i="3" s="1"/>
  <c r="AV24" i="7" l="1"/>
  <c r="AR35" i="7"/>
  <c r="AS25" i="7"/>
  <c r="AS26" i="7" s="1"/>
  <c r="AW22" i="7"/>
  <c r="AW20" i="7" s="1"/>
  <c r="AW14" i="7"/>
  <c r="AW13" i="7" s="1"/>
  <c r="AX9" i="7"/>
  <c r="AX15" i="7"/>
  <c r="BE18" i="5"/>
  <c r="BE22" i="5" s="1"/>
  <c r="BG7" i="5"/>
  <c r="BG12" i="5" s="1"/>
  <c r="BG13" i="5"/>
  <c r="BF12" i="5"/>
  <c r="BF11" i="5" s="1"/>
  <c r="BF19" i="5"/>
  <c r="AV146" i="10"/>
  <c r="AT57" i="3"/>
  <c r="AT56" i="3"/>
  <c r="BD136" i="10"/>
  <c r="BD137" i="10"/>
  <c r="AZ4" i="7"/>
  <c r="AY10" i="7"/>
  <c r="AW135" i="10"/>
  <c r="AW146" i="10" s="1"/>
  <c r="BF18" i="5"/>
  <c r="BG20" i="5"/>
  <c r="BI4" i="5"/>
  <c r="BH8" i="5"/>
  <c r="BD144" i="10"/>
  <c r="BD143" i="10"/>
  <c r="BC142" i="10"/>
  <c r="AZ154" i="10" s="1"/>
  <c r="BF117" i="10"/>
  <c r="BE125" i="10"/>
  <c r="BE132" i="10" s="1"/>
  <c r="BE131" i="10" s="1"/>
  <c r="BM118" i="10"/>
  <c r="AR66" i="3"/>
  <c r="AS55" i="3"/>
  <c r="AT63" i="3"/>
  <c r="AT64" i="3"/>
  <c r="AS62" i="3"/>
  <c r="AU46" i="3"/>
  <c r="AU52" i="3" s="1"/>
  <c r="AU51" i="3" s="1"/>
  <c r="AR72" i="3" s="1"/>
  <c r="J19" i="6" s="1"/>
  <c r="J27" i="6" s="1"/>
  <c r="AY9" i="7" l="1"/>
  <c r="AY15" i="7"/>
  <c r="AW24" i="7"/>
  <c r="AX22" i="7"/>
  <c r="AX20" i="7" s="1"/>
  <c r="AX14" i="7"/>
  <c r="AX13" i="7" s="1"/>
  <c r="BF22" i="5"/>
  <c r="BG11" i="5"/>
  <c r="BD29" i="5" s="1"/>
  <c r="BH7" i="5"/>
  <c r="BH20" i="5" s="1"/>
  <c r="BH13" i="5"/>
  <c r="BG19" i="5"/>
  <c r="BG18" i="5" s="1"/>
  <c r="BD28" i="5"/>
  <c r="AO67" i="3"/>
  <c r="AO68" i="3" s="1"/>
  <c r="AS147" i="10"/>
  <c r="AS148" i="10" s="1"/>
  <c r="AU57" i="3"/>
  <c r="AU56" i="3"/>
  <c r="BE137" i="10"/>
  <c r="BE136" i="10"/>
  <c r="AS66" i="3"/>
  <c r="AX135" i="10"/>
  <c r="AX146" i="10" s="1"/>
  <c r="BA4" i="7"/>
  <c r="AZ10" i="7"/>
  <c r="BJ4" i="5"/>
  <c r="BI8" i="5"/>
  <c r="BD142" i="10"/>
  <c r="BE143" i="10"/>
  <c r="BE144" i="10"/>
  <c r="BG117" i="10"/>
  <c r="BF125" i="10"/>
  <c r="BF132" i="10" s="1"/>
  <c r="BF131" i="10" s="1"/>
  <c r="BN118" i="10"/>
  <c r="AU63" i="3"/>
  <c r="AU64" i="3"/>
  <c r="AT55" i="3"/>
  <c r="AT62" i="3"/>
  <c r="AV46" i="3"/>
  <c r="AV52" i="3" s="1"/>
  <c r="AV51" i="3" s="1"/>
  <c r="AX24" i="7" l="1"/>
  <c r="AZ9" i="7"/>
  <c r="AZ15" i="7"/>
  <c r="AY22" i="7"/>
  <c r="AY20" i="7" s="1"/>
  <c r="AV32" i="7" s="1"/>
  <c r="AY14" i="7"/>
  <c r="AY13" i="7" s="1"/>
  <c r="AV31" i="7" s="1"/>
  <c r="AV30" i="7"/>
  <c r="BG22" i="5"/>
  <c r="BD33" i="5" s="1"/>
  <c r="BI7" i="5"/>
  <c r="BI12" i="5" s="1"/>
  <c r="BI13" i="5"/>
  <c r="BH12" i="5"/>
  <c r="BH11" i="5" s="1"/>
  <c r="BH19" i="5"/>
  <c r="BH18" i="5" s="1"/>
  <c r="BD30" i="5"/>
  <c r="BD31" i="5" s="1"/>
  <c r="AV57" i="3"/>
  <c r="AV56" i="3"/>
  <c r="BF136" i="10"/>
  <c r="BF137" i="10"/>
  <c r="BB4" i="7"/>
  <c r="BA10" i="7"/>
  <c r="AY135" i="10"/>
  <c r="BI20" i="5"/>
  <c r="BK4" i="5"/>
  <c r="BJ8" i="5"/>
  <c r="BF143" i="10"/>
  <c r="BF144" i="10"/>
  <c r="BE142" i="10"/>
  <c r="BH117" i="10"/>
  <c r="BG125" i="10"/>
  <c r="BG132" i="10" s="1"/>
  <c r="BG131" i="10" s="1"/>
  <c r="BD152" i="10" s="1"/>
  <c r="BO118" i="10"/>
  <c r="AT66" i="3"/>
  <c r="AU62" i="3"/>
  <c r="AR74" i="3" s="1"/>
  <c r="J21" i="6" s="1"/>
  <c r="AV63" i="3"/>
  <c r="AV64" i="3"/>
  <c r="AU55" i="3"/>
  <c r="AR73" i="3" s="1"/>
  <c r="AW46" i="3"/>
  <c r="AW52" i="3" s="1"/>
  <c r="AW51" i="3" s="1"/>
  <c r="AV33" i="7" l="1"/>
  <c r="BA9" i="7"/>
  <c r="BA15" i="7"/>
  <c r="AY24" i="7"/>
  <c r="AZ22" i="7"/>
  <c r="AZ20" i="7" s="1"/>
  <c r="AZ14" i="7"/>
  <c r="AZ13" i="7" s="1"/>
  <c r="BI11" i="5"/>
  <c r="BJ7" i="5"/>
  <c r="BJ19" i="5" s="1"/>
  <c r="BJ13" i="5"/>
  <c r="BI19" i="5"/>
  <c r="BI18" i="5" s="1"/>
  <c r="BH22" i="5"/>
  <c r="BE23" i="5" s="1"/>
  <c r="BE24" i="5" s="1"/>
  <c r="AR75" i="3"/>
  <c r="J22" i="6" s="1"/>
  <c r="J20" i="6"/>
  <c r="AY146" i="10"/>
  <c r="AV157" i="10" s="1"/>
  <c r="AV153" i="10"/>
  <c r="AV155" i="10" s="1"/>
  <c r="AW57" i="3"/>
  <c r="AW56" i="3"/>
  <c r="BG137" i="10"/>
  <c r="BG136" i="10"/>
  <c r="AZ135" i="10"/>
  <c r="BC4" i="7"/>
  <c r="BB10" i="7"/>
  <c r="AU66" i="3"/>
  <c r="AR77" i="3" s="1"/>
  <c r="J24" i="6" s="1"/>
  <c r="BL4" i="5"/>
  <c r="BK8" i="5"/>
  <c r="BG143" i="10"/>
  <c r="BG144" i="10"/>
  <c r="BI117" i="10"/>
  <c r="BH125" i="10"/>
  <c r="BH132" i="10" s="1"/>
  <c r="BH131" i="10" s="1"/>
  <c r="BF142" i="10"/>
  <c r="BP118" i="10"/>
  <c r="AW63" i="3"/>
  <c r="AW64" i="3"/>
  <c r="AV55" i="3"/>
  <c r="AV62" i="3"/>
  <c r="AX46" i="3"/>
  <c r="AX52" i="3" s="1"/>
  <c r="AX51" i="3" s="1"/>
  <c r="BI22" i="5" l="1"/>
  <c r="AZ24" i="7"/>
  <c r="AV35" i="7"/>
  <c r="AW25" i="7"/>
  <c r="AW26" i="7" s="1"/>
  <c r="BA22" i="7"/>
  <c r="BA20" i="7" s="1"/>
  <c r="BA14" i="7"/>
  <c r="BA13" i="7" s="1"/>
  <c r="BB9" i="7"/>
  <c r="BB15" i="7"/>
  <c r="BJ12" i="5"/>
  <c r="BJ11" i="5" s="1"/>
  <c r="BK7" i="5"/>
  <c r="BK12" i="5" s="1"/>
  <c r="BK13" i="5"/>
  <c r="BJ20" i="5"/>
  <c r="AZ146" i="10"/>
  <c r="AX57" i="3"/>
  <c r="AX56" i="3"/>
  <c r="BH136" i="10"/>
  <c r="BH137" i="10"/>
  <c r="BD4" i="7"/>
  <c r="BC10" i="7"/>
  <c r="BA135" i="10"/>
  <c r="BA146" i="10" s="1"/>
  <c r="BJ18" i="5"/>
  <c r="BM4" i="5"/>
  <c r="BL8" i="5"/>
  <c r="BH144" i="10"/>
  <c r="BH143" i="10"/>
  <c r="BG142" i="10"/>
  <c r="BD154" i="10" s="1"/>
  <c r="BJ117" i="10"/>
  <c r="BI125" i="10"/>
  <c r="BI132" i="10" s="1"/>
  <c r="BI131" i="10" s="1"/>
  <c r="BQ118" i="10"/>
  <c r="AV66" i="3"/>
  <c r="AW55" i="3"/>
  <c r="AX63" i="3"/>
  <c r="AX64" i="3"/>
  <c r="AW62" i="3"/>
  <c r="AY46" i="3"/>
  <c r="AY52" i="3" s="1"/>
  <c r="AY51" i="3" s="1"/>
  <c r="AV72" i="3" s="1"/>
  <c r="K19" i="6" s="1"/>
  <c r="K27" i="6" s="1"/>
  <c r="BA24" i="7" l="1"/>
  <c r="BC9" i="7"/>
  <c r="BC15" i="7"/>
  <c r="BB22" i="7"/>
  <c r="BB20" i="7" s="1"/>
  <c r="BB14" i="7"/>
  <c r="BB13" i="7" s="1"/>
  <c r="BK20" i="5"/>
  <c r="BK11" i="5"/>
  <c r="BH29" i="5" s="1"/>
  <c r="BL7" i="5"/>
  <c r="BL20" i="5" s="1"/>
  <c r="BL13" i="5"/>
  <c r="BK19" i="5"/>
  <c r="BK18" i="5" s="1"/>
  <c r="BH28" i="5"/>
  <c r="BJ22" i="5"/>
  <c r="AS67" i="3"/>
  <c r="AS68" i="3" s="1"/>
  <c r="AW147" i="10"/>
  <c r="AW148" i="10" s="1"/>
  <c r="AY57" i="3"/>
  <c r="AY56" i="3"/>
  <c r="BI137" i="10"/>
  <c r="BI136" i="10"/>
  <c r="BB135" i="10"/>
  <c r="BB146" i="10" s="1"/>
  <c r="BE4" i="7"/>
  <c r="BD10" i="7"/>
  <c r="BN4" i="5"/>
  <c r="BM8" i="5"/>
  <c r="BH142" i="10"/>
  <c r="AW66" i="3"/>
  <c r="BI143" i="10"/>
  <c r="BI144" i="10"/>
  <c r="BK117" i="10"/>
  <c r="BJ125" i="10"/>
  <c r="BJ132" i="10" s="1"/>
  <c r="BJ131" i="10" s="1"/>
  <c r="BR118" i="10"/>
  <c r="AY63" i="3"/>
  <c r="AY64" i="3"/>
  <c r="AX55" i="3"/>
  <c r="AX62" i="3"/>
  <c r="AZ46" i="3"/>
  <c r="AZ52" i="3" s="1"/>
  <c r="AZ51" i="3" s="1"/>
  <c r="BB24" i="7" l="1"/>
  <c r="BC22" i="7"/>
  <c r="BC20" i="7" s="1"/>
  <c r="AZ32" i="7" s="1"/>
  <c r="BC14" i="7"/>
  <c r="BC13" i="7" s="1"/>
  <c r="AZ31" i="7" s="1"/>
  <c r="AZ30" i="7"/>
  <c r="BD9" i="7"/>
  <c r="BD15" i="7"/>
  <c r="BK22" i="5"/>
  <c r="BH33" i="5" s="1"/>
  <c r="BM7" i="5"/>
  <c r="BM12" i="5" s="1"/>
  <c r="BM13" i="5"/>
  <c r="BL12" i="5"/>
  <c r="BL11" i="5" s="1"/>
  <c r="BL19" i="5"/>
  <c r="BL18" i="5" s="1"/>
  <c r="BH30" i="5"/>
  <c r="BH31" i="5" s="1"/>
  <c r="AZ57" i="3"/>
  <c r="AZ56" i="3"/>
  <c r="BJ136" i="10"/>
  <c r="BJ137" i="10"/>
  <c r="BF4" i="7"/>
  <c r="BE10" i="7"/>
  <c r="BC135" i="10"/>
  <c r="BC146" i="10" s="1"/>
  <c r="AZ157" i="10" s="1"/>
  <c r="BM19" i="5"/>
  <c r="BO4" i="5"/>
  <c r="BN8" i="5"/>
  <c r="BJ143" i="10"/>
  <c r="BJ144" i="10"/>
  <c r="BL117" i="10"/>
  <c r="BK125" i="10"/>
  <c r="BK132" i="10" s="1"/>
  <c r="BK131" i="10" s="1"/>
  <c r="BH152" i="10" s="1"/>
  <c r="BI142" i="10"/>
  <c r="BS118" i="10"/>
  <c r="AX66" i="3"/>
  <c r="AY62" i="3"/>
  <c r="AV74" i="3" s="1"/>
  <c r="K21" i="6" s="1"/>
  <c r="AZ63" i="3"/>
  <c r="AZ64" i="3"/>
  <c r="AY55" i="3"/>
  <c r="AV73" i="3" s="1"/>
  <c r="BA46" i="3"/>
  <c r="BA52" i="3" s="1"/>
  <c r="BA51" i="3" s="1"/>
  <c r="BC24" i="7" l="1"/>
  <c r="AZ35" i="7" s="1"/>
  <c r="BE9" i="7"/>
  <c r="BE15" i="7"/>
  <c r="AZ33" i="7"/>
  <c r="BD22" i="7"/>
  <c r="BD20" i="7" s="1"/>
  <c r="BD14" i="7"/>
  <c r="BD13" i="7" s="1"/>
  <c r="BM11" i="5"/>
  <c r="BN7" i="5"/>
  <c r="BN19" i="5" s="1"/>
  <c r="BN13" i="5"/>
  <c r="BM20" i="5"/>
  <c r="BM18" i="5" s="1"/>
  <c r="BL22" i="5"/>
  <c r="BI23" i="5" s="1"/>
  <c r="BI24" i="5" s="1"/>
  <c r="AV75" i="3"/>
  <c r="K22" i="6" s="1"/>
  <c r="K20" i="6"/>
  <c r="AZ153" i="10"/>
  <c r="AZ155" i="10" s="1"/>
  <c r="BA57" i="3"/>
  <c r="BA56" i="3"/>
  <c r="BK136" i="10"/>
  <c r="BK137" i="10"/>
  <c r="BD135" i="10"/>
  <c r="BG4" i="7"/>
  <c r="BF10" i="7"/>
  <c r="BP4" i="5"/>
  <c r="BO8" i="5"/>
  <c r="AY66" i="3"/>
  <c r="AV77" i="3" s="1"/>
  <c r="K24" i="6" s="1"/>
  <c r="BK143" i="10"/>
  <c r="BK144" i="10"/>
  <c r="BM117" i="10"/>
  <c r="BL125" i="10"/>
  <c r="BL132" i="10" s="1"/>
  <c r="BL131" i="10" s="1"/>
  <c r="BJ142" i="10"/>
  <c r="BT118" i="10"/>
  <c r="BA63" i="3"/>
  <c r="BA64" i="3"/>
  <c r="AZ55" i="3"/>
  <c r="AZ62" i="3"/>
  <c r="BM46" i="3"/>
  <c r="BM52" i="3" s="1"/>
  <c r="BM51" i="3" s="1"/>
  <c r="BU46" i="3"/>
  <c r="BU52" i="3" s="1"/>
  <c r="BU51" i="3" s="1"/>
  <c r="CC46" i="3"/>
  <c r="CC52" i="3" s="1"/>
  <c r="CC51" i="3" s="1"/>
  <c r="CK46" i="3"/>
  <c r="CK52" i="3" s="1"/>
  <c r="CK51" i="3" s="1"/>
  <c r="BC46" i="3"/>
  <c r="BC52" i="3" s="1"/>
  <c r="BC51" i="3" s="1"/>
  <c r="BL46" i="3"/>
  <c r="BL52" i="3" s="1"/>
  <c r="BL51" i="3" s="1"/>
  <c r="BT46" i="3"/>
  <c r="BT52" i="3" s="1"/>
  <c r="BT51" i="3" s="1"/>
  <c r="CB46" i="3"/>
  <c r="CB52" i="3" s="1"/>
  <c r="CB51" i="3" s="1"/>
  <c r="CJ46" i="3"/>
  <c r="CJ52" i="3" s="1"/>
  <c r="CJ51" i="3" s="1"/>
  <c r="BD46" i="3"/>
  <c r="BD52" i="3" s="1"/>
  <c r="BD51" i="3" s="1"/>
  <c r="BK46" i="3"/>
  <c r="BK52" i="3" s="1"/>
  <c r="BK51" i="3" s="1"/>
  <c r="BS46" i="3"/>
  <c r="BS52" i="3" s="1"/>
  <c r="BS51" i="3" s="1"/>
  <c r="CA46" i="3"/>
  <c r="CA52" i="3" s="1"/>
  <c r="CA51" i="3" s="1"/>
  <c r="CI46" i="3"/>
  <c r="CI52" i="3" s="1"/>
  <c r="CI51" i="3" s="1"/>
  <c r="BE46" i="3"/>
  <c r="BE52" i="3" s="1"/>
  <c r="BE51" i="3" s="1"/>
  <c r="BJ46" i="3"/>
  <c r="BJ52" i="3" s="1"/>
  <c r="BJ51" i="3" s="1"/>
  <c r="BR46" i="3"/>
  <c r="BR52" i="3" s="1"/>
  <c r="BR51" i="3" s="1"/>
  <c r="BZ46" i="3"/>
  <c r="BZ52" i="3" s="1"/>
  <c r="BZ51" i="3" s="1"/>
  <c r="CH46" i="3"/>
  <c r="CH52" i="3" s="1"/>
  <c r="CH51" i="3" s="1"/>
  <c r="BI46" i="3"/>
  <c r="BI52" i="3" s="1"/>
  <c r="BI51" i="3" s="1"/>
  <c r="BQ46" i="3"/>
  <c r="BQ52" i="3" s="1"/>
  <c r="BQ51" i="3" s="1"/>
  <c r="BY46" i="3"/>
  <c r="BY52" i="3" s="1"/>
  <c r="BY51" i="3" s="1"/>
  <c r="CG46" i="3"/>
  <c r="CG52" i="3" s="1"/>
  <c r="CG51" i="3" s="1"/>
  <c r="CO46" i="3"/>
  <c r="CO52" i="3" s="1"/>
  <c r="CO51" i="3" s="1"/>
  <c r="BH46" i="3"/>
  <c r="BH52" i="3" s="1"/>
  <c r="BH51" i="3" s="1"/>
  <c r="BP46" i="3"/>
  <c r="BP52" i="3" s="1"/>
  <c r="BP51" i="3" s="1"/>
  <c r="BX46" i="3"/>
  <c r="BX52" i="3" s="1"/>
  <c r="BX51" i="3" s="1"/>
  <c r="CF46" i="3"/>
  <c r="CF52" i="3" s="1"/>
  <c r="CF51" i="3" s="1"/>
  <c r="CN46" i="3"/>
  <c r="CN52" i="3" s="1"/>
  <c r="CN51" i="3" s="1"/>
  <c r="BG46" i="3"/>
  <c r="BG52" i="3" s="1"/>
  <c r="BG51" i="3" s="1"/>
  <c r="BO46" i="3"/>
  <c r="BO52" i="3" s="1"/>
  <c r="BO51" i="3" s="1"/>
  <c r="BW46" i="3"/>
  <c r="BW52" i="3" s="1"/>
  <c r="BW51" i="3" s="1"/>
  <c r="CE46" i="3"/>
  <c r="CE52" i="3" s="1"/>
  <c r="CE51" i="3" s="1"/>
  <c r="CM46" i="3"/>
  <c r="CM52" i="3" s="1"/>
  <c r="CM51" i="3" s="1"/>
  <c r="BF46" i="3"/>
  <c r="BF52" i="3" s="1"/>
  <c r="BF51" i="3" s="1"/>
  <c r="BN46" i="3"/>
  <c r="BN52" i="3" s="1"/>
  <c r="BN51" i="3" s="1"/>
  <c r="BV46" i="3"/>
  <c r="BV52" i="3" s="1"/>
  <c r="BV51" i="3" s="1"/>
  <c r="CD46" i="3"/>
  <c r="CD52" i="3" s="1"/>
  <c r="CD51" i="3" s="1"/>
  <c r="CL46" i="3"/>
  <c r="CL52" i="3" s="1"/>
  <c r="CL51" i="3" s="1"/>
  <c r="BB46" i="3"/>
  <c r="BB52" i="3" s="1"/>
  <c r="BB51" i="3" s="1"/>
  <c r="BF9" i="7" l="1"/>
  <c r="BF15" i="7"/>
  <c r="BE22" i="7"/>
  <c r="BE20" i="7" s="1"/>
  <c r="BE14" i="7"/>
  <c r="BE13" i="7" s="1"/>
  <c r="BD24" i="7"/>
  <c r="BA25" i="7" s="1"/>
  <c r="BA26" i="7" s="1"/>
  <c r="BM22" i="5"/>
  <c r="BN12" i="5"/>
  <c r="BN11" i="5" s="1"/>
  <c r="BO7" i="5"/>
  <c r="BO12" i="5" s="1"/>
  <c r="BO13" i="5"/>
  <c r="BN20" i="5"/>
  <c r="BN18" i="5" s="1"/>
  <c r="AZ72" i="3"/>
  <c r="L19" i="6" s="1"/>
  <c r="L27" i="6" s="1"/>
  <c r="CF72" i="3"/>
  <c r="BP72" i="3"/>
  <c r="BX72" i="3"/>
  <c r="BH72" i="3"/>
  <c r="BD72" i="3"/>
  <c r="CB72" i="3"/>
  <c r="BL72" i="3"/>
  <c r="CJ72" i="3"/>
  <c r="BT72" i="3"/>
  <c r="BD146" i="10"/>
  <c r="BB57" i="3"/>
  <c r="BB56" i="3"/>
  <c r="CD57" i="3"/>
  <c r="CD56" i="3"/>
  <c r="BN57" i="3"/>
  <c r="BN56" i="3"/>
  <c r="CM57" i="3"/>
  <c r="CM56" i="3"/>
  <c r="BW57" i="3"/>
  <c r="BW56" i="3"/>
  <c r="BG57" i="3"/>
  <c r="BG56" i="3"/>
  <c r="CF57" i="3"/>
  <c r="CF56" i="3"/>
  <c r="BP57" i="3"/>
  <c r="BP56" i="3"/>
  <c r="CO57" i="3"/>
  <c r="CO56" i="3"/>
  <c r="BY57" i="3"/>
  <c r="BY56" i="3"/>
  <c r="BI57" i="3"/>
  <c r="BI56" i="3"/>
  <c r="CH57" i="3"/>
  <c r="CH56" i="3"/>
  <c r="BR57" i="3"/>
  <c r="BR56" i="3"/>
  <c r="BE57" i="3"/>
  <c r="BE56" i="3"/>
  <c r="CA57" i="3"/>
  <c r="CA56" i="3"/>
  <c r="BK57" i="3"/>
  <c r="BK56" i="3"/>
  <c r="CJ57" i="3"/>
  <c r="CJ56" i="3"/>
  <c r="BT57" i="3"/>
  <c r="BT56" i="3"/>
  <c r="BC57" i="3"/>
  <c r="BC56" i="3"/>
  <c r="CC57" i="3"/>
  <c r="CC56" i="3"/>
  <c r="BM57" i="3"/>
  <c r="BM56" i="3"/>
  <c r="CL57" i="3"/>
  <c r="CL56" i="3"/>
  <c r="BV57" i="3"/>
  <c r="BV56" i="3"/>
  <c r="BF57" i="3"/>
  <c r="BF56" i="3"/>
  <c r="CE57" i="3"/>
  <c r="CE56" i="3"/>
  <c r="BO57" i="3"/>
  <c r="BO56" i="3"/>
  <c r="CN57" i="3"/>
  <c r="CN56" i="3"/>
  <c r="BX57" i="3"/>
  <c r="BX56" i="3"/>
  <c r="BH57" i="3"/>
  <c r="BH56" i="3"/>
  <c r="CG57" i="3"/>
  <c r="CG56" i="3"/>
  <c r="BQ57" i="3"/>
  <c r="BQ56" i="3"/>
  <c r="BZ57" i="3"/>
  <c r="BZ56" i="3"/>
  <c r="BJ57" i="3"/>
  <c r="BJ56" i="3"/>
  <c r="CI57" i="3"/>
  <c r="CI56" i="3"/>
  <c r="BS57" i="3"/>
  <c r="BS56" i="3"/>
  <c r="BD57" i="3"/>
  <c r="BD56" i="3"/>
  <c r="CB57" i="3"/>
  <c r="CB56" i="3"/>
  <c r="BL57" i="3"/>
  <c r="BL56" i="3"/>
  <c r="CK57" i="3"/>
  <c r="CK56" i="3"/>
  <c r="BU57" i="3"/>
  <c r="BU56" i="3"/>
  <c r="BL136" i="10"/>
  <c r="BL137" i="10"/>
  <c r="BH4" i="7"/>
  <c r="BG10" i="7"/>
  <c r="BE135" i="10"/>
  <c r="BE146" i="10" s="1"/>
  <c r="BO19" i="5"/>
  <c r="BQ4" i="5"/>
  <c r="BP8" i="5"/>
  <c r="BK142" i="10"/>
  <c r="BH154" i="10" s="1"/>
  <c r="BL144" i="10"/>
  <c r="BL143" i="10"/>
  <c r="BN117" i="10"/>
  <c r="BM125" i="10"/>
  <c r="BM132" i="10" s="1"/>
  <c r="BM131" i="10" s="1"/>
  <c r="BU118" i="10"/>
  <c r="AZ66" i="3"/>
  <c r="BA55" i="3"/>
  <c r="CP46" i="3"/>
  <c r="BB63" i="3"/>
  <c r="BB64" i="3"/>
  <c r="CD63" i="3"/>
  <c r="CD64" i="3"/>
  <c r="BN63" i="3"/>
  <c r="BN64" i="3"/>
  <c r="CM63" i="3"/>
  <c r="CM64" i="3"/>
  <c r="BW63" i="3"/>
  <c r="BW64" i="3"/>
  <c r="BG63" i="3"/>
  <c r="BG64" i="3"/>
  <c r="CF63" i="3"/>
  <c r="CF64" i="3"/>
  <c r="BP63" i="3"/>
  <c r="BP64" i="3"/>
  <c r="CO63" i="3"/>
  <c r="CO64" i="3"/>
  <c r="BY63" i="3"/>
  <c r="BY64" i="3"/>
  <c r="BI63" i="3"/>
  <c r="BI64" i="3"/>
  <c r="CH63" i="3"/>
  <c r="CH64" i="3"/>
  <c r="BR63" i="3"/>
  <c r="BR64" i="3"/>
  <c r="BE63" i="3"/>
  <c r="BE64" i="3"/>
  <c r="CA63" i="3"/>
  <c r="CA64" i="3"/>
  <c r="BK63" i="3"/>
  <c r="BK64" i="3"/>
  <c r="CJ63" i="3"/>
  <c r="CJ64" i="3"/>
  <c r="BT63" i="3"/>
  <c r="BT64" i="3"/>
  <c r="BC63" i="3"/>
  <c r="BC64" i="3"/>
  <c r="CC63" i="3"/>
  <c r="CC64" i="3"/>
  <c r="BM63" i="3"/>
  <c r="BM64" i="3"/>
  <c r="CL63" i="3"/>
  <c r="CL64" i="3"/>
  <c r="BV63" i="3"/>
  <c r="BV64" i="3"/>
  <c r="BF63" i="3"/>
  <c r="BF64" i="3"/>
  <c r="CE63" i="3"/>
  <c r="CE64" i="3"/>
  <c r="BO63" i="3"/>
  <c r="BO64" i="3"/>
  <c r="CN63" i="3"/>
  <c r="CN64" i="3"/>
  <c r="BX63" i="3"/>
  <c r="BX64" i="3"/>
  <c r="BH63" i="3"/>
  <c r="BH64" i="3"/>
  <c r="CG63" i="3"/>
  <c r="CG64" i="3"/>
  <c r="BQ63" i="3"/>
  <c r="BQ64" i="3"/>
  <c r="BZ63" i="3"/>
  <c r="BZ64" i="3"/>
  <c r="BJ63" i="3"/>
  <c r="BJ64" i="3"/>
  <c r="CI63" i="3"/>
  <c r="CI64" i="3"/>
  <c r="BS63" i="3"/>
  <c r="BS64" i="3"/>
  <c r="BD63" i="3"/>
  <c r="BD64" i="3"/>
  <c r="CB63" i="3"/>
  <c r="CB64" i="3"/>
  <c r="BL63" i="3"/>
  <c r="BL64" i="3"/>
  <c r="CK63" i="3"/>
  <c r="CK64" i="3"/>
  <c r="BU63" i="3"/>
  <c r="BU64" i="3"/>
  <c r="BA62" i="3"/>
  <c r="K29" i="3"/>
  <c r="K28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3" i="3"/>
  <c r="BG9" i="7" l="1"/>
  <c r="BD30" i="7" s="1"/>
  <c r="M19" i="6" s="1"/>
  <c r="M27" i="6" s="1"/>
  <c r="BG15" i="7"/>
  <c r="BE24" i="7"/>
  <c r="BF22" i="7"/>
  <c r="BF20" i="7" s="1"/>
  <c r="BF14" i="7"/>
  <c r="BF13" i="7" s="1"/>
  <c r="BO11" i="5"/>
  <c r="BL29" i="5" s="1"/>
  <c r="BP7" i="5"/>
  <c r="BP20" i="5" s="1"/>
  <c r="BP13" i="5"/>
  <c r="BO20" i="5"/>
  <c r="BO18" i="5" s="1"/>
  <c r="BL28" i="5"/>
  <c r="BN22" i="5"/>
  <c r="AW67" i="3"/>
  <c r="AW68" i="3" s="1"/>
  <c r="BA147" i="10"/>
  <c r="BA148" i="10" s="1"/>
  <c r="BM136" i="10"/>
  <c r="BM137" i="10"/>
  <c r="BF135" i="10"/>
  <c r="BF146" i="10" s="1"/>
  <c r="BI4" i="7"/>
  <c r="BH10" i="7"/>
  <c r="BR4" i="5"/>
  <c r="BQ8" i="5"/>
  <c r="BM143" i="10"/>
  <c r="BM144" i="10"/>
  <c r="BL142" i="10"/>
  <c r="BO117" i="10"/>
  <c r="BN125" i="10"/>
  <c r="BN132" i="10" s="1"/>
  <c r="BN131" i="10" s="1"/>
  <c r="BV118" i="10"/>
  <c r="BA66" i="3"/>
  <c r="BU55" i="3"/>
  <c r="BQ55" i="3"/>
  <c r="BM55" i="3"/>
  <c r="BI55" i="3"/>
  <c r="CO55" i="3"/>
  <c r="CK55" i="3"/>
  <c r="CG55" i="3"/>
  <c r="CC55" i="3"/>
  <c r="BE55" i="3"/>
  <c r="BY55" i="3"/>
  <c r="CP52" i="3"/>
  <c r="CQ46" i="3"/>
  <c r="BL62" i="3"/>
  <c r="CB55" i="3"/>
  <c r="CB62" i="3"/>
  <c r="BD55" i="3"/>
  <c r="BD62" i="3"/>
  <c r="BS55" i="3"/>
  <c r="CI55" i="3"/>
  <c r="BJ55" i="3"/>
  <c r="BZ55" i="3"/>
  <c r="BH55" i="3"/>
  <c r="BH62" i="3"/>
  <c r="BX55" i="3"/>
  <c r="BX62" i="3"/>
  <c r="CN55" i="3"/>
  <c r="CN62" i="3"/>
  <c r="BO55" i="3"/>
  <c r="CE55" i="3"/>
  <c r="BF55" i="3"/>
  <c r="BV55" i="3"/>
  <c r="CL55" i="3"/>
  <c r="BC55" i="3"/>
  <c r="BT55" i="3"/>
  <c r="BT62" i="3"/>
  <c r="CJ55" i="3"/>
  <c r="CJ62" i="3"/>
  <c r="BK55" i="3"/>
  <c r="CA55" i="3"/>
  <c r="BR55" i="3"/>
  <c r="CH55" i="3"/>
  <c r="BP55" i="3"/>
  <c r="BP62" i="3"/>
  <c r="CF55" i="3"/>
  <c r="CF62" i="3"/>
  <c r="BG55" i="3"/>
  <c r="BW55" i="3"/>
  <c r="CM55" i="3"/>
  <c r="BN55" i="3"/>
  <c r="CD55" i="3"/>
  <c r="BB55" i="3"/>
  <c r="AZ73" i="3" s="1"/>
  <c r="BU62" i="3"/>
  <c r="CK62" i="3"/>
  <c r="BL55" i="3"/>
  <c r="BS62" i="3"/>
  <c r="CI62" i="3"/>
  <c r="BJ62" i="3"/>
  <c r="BZ62" i="3"/>
  <c r="BQ62" i="3"/>
  <c r="CG62" i="3"/>
  <c r="BO62" i="3"/>
  <c r="CE62" i="3"/>
  <c r="BF62" i="3"/>
  <c r="BV62" i="3"/>
  <c r="CL62" i="3"/>
  <c r="BM62" i="3"/>
  <c r="CC62" i="3"/>
  <c r="BC62" i="3"/>
  <c r="BK62" i="3"/>
  <c r="CA62" i="3"/>
  <c r="BE62" i="3"/>
  <c r="BR62" i="3"/>
  <c r="CH62" i="3"/>
  <c r="BI62" i="3"/>
  <c r="BY62" i="3"/>
  <c r="CO62" i="3"/>
  <c r="BG62" i="3"/>
  <c r="BW62" i="3"/>
  <c r="CM62" i="3"/>
  <c r="BN62" i="3"/>
  <c r="CD62" i="3"/>
  <c r="BB62" i="3"/>
  <c r="AZ74" i="3" s="1"/>
  <c r="L21" i="6" s="1"/>
  <c r="K34" i="3"/>
  <c r="BH9" i="7" l="1"/>
  <c r="BH15" i="7"/>
  <c r="BF24" i="7"/>
  <c r="BG22" i="7"/>
  <c r="BG20" i="7" s="1"/>
  <c r="BD32" i="7" s="1"/>
  <c r="BG14" i="7"/>
  <c r="BG13" i="7" s="1"/>
  <c r="BD31" i="7" s="1"/>
  <c r="BO22" i="5"/>
  <c r="BL33" i="5" s="1"/>
  <c r="BQ7" i="5"/>
  <c r="BQ12" i="5" s="1"/>
  <c r="BQ13" i="5"/>
  <c r="BP12" i="5"/>
  <c r="BP11" i="5" s="1"/>
  <c r="BP19" i="5"/>
  <c r="BP18" i="5" s="1"/>
  <c r="BL30" i="5"/>
  <c r="BL31" i="5" s="1"/>
  <c r="BP73" i="3"/>
  <c r="BL73" i="3"/>
  <c r="CF73" i="3"/>
  <c r="BT73" i="3"/>
  <c r="BX73" i="3"/>
  <c r="AZ75" i="3"/>
  <c r="L22" i="6" s="1"/>
  <c r="L20" i="6"/>
  <c r="CF74" i="3"/>
  <c r="BP74" i="3"/>
  <c r="CJ74" i="3"/>
  <c r="BT74" i="3"/>
  <c r="BX74" i="3"/>
  <c r="BH74" i="3"/>
  <c r="BD74" i="3"/>
  <c r="CB74" i="3"/>
  <c r="BL74" i="3"/>
  <c r="CJ73" i="3"/>
  <c r="BH73" i="3"/>
  <c r="BD73" i="3"/>
  <c r="CB73" i="3"/>
  <c r="BN136" i="10"/>
  <c r="BN137" i="10"/>
  <c r="BJ4" i="7"/>
  <c r="BI10" i="7"/>
  <c r="BG135" i="10"/>
  <c r="BG146" i="10" s="1"/>
  <c r="BD157" i="10" s="1"/>
  <c r="BY66" i="3"/>
  <c r="CK66" i="3"/>
  <c r="BS4" i="5"/>
  <c r="BR8" i="5"/>
  <c r="BQ19" i="5"/>
  <c r="BU66" i="3"/>
  <c r="BN143" i="10"/>
  <c r="BN144" i="10"/>
  <c r="BP117" i="10"/>
  <c r="BO125" i="10"/>
  <c r="BO132" i="10" s="1"/>
  <c r="BO131" i="10" s="1"/>
  <c r="BL152" i="10" s="1"/>
  <c r="BM142" i="10"/>
  <c r="BW118" i="10"/>
  <c r="CO66" i="3"/>
  <c r="BD66" i="3"/>
  <c r="BN66" i="3"/>
  <c r="CH66" i="3"/>
  <c r="BV66" i="3"/>
  <c r="BI66" i="3"/>
  <c r="BR66" i="3"/>
  <c r="CJ66" i="3"/>
  <c r="CC66" i="3"/>
  <c r="BX66" i="3"/>
  <c r="BQ66" i="3"/>
  <c r="BL66" i="3"/>
  <c r="CF66" i="3"/>
  <c r="BP66" i="3"/>
  <c r="BT66" i="3"/>
  <c r="CN66" i="3"/>
  <c r="BH66" i="3"/>
  <c r="BE66" i="3"/>
  <c r="BM66" i="3"/>
  <c r="CG66" i="3"/>
  <c r="CD66" i="3"/>
  <c r="CM66" i="3"/>
  <c r="BG66" i="3"/>
  <c r="BK66" i="3"/>
  <c r="CL66" i="3"/>
  <c r="BF66" i="3"/>
  <c r="BZ66" i="3"/>
  <c r="CP51" i="3"/>
  <c r="CQ52" i="3"/>
  <c r="BB66" i="3"/>
  <c r="BO66" i="3"/>
  <c r="CI66" i="3"/>
  <c r="BJ66" i="3"/>
  <c r="CB66" i="3"/>
  <c r="BW66" i="3"/>
  <c r="CA66" i="3"/>
  <c r="BC66" i="3"/>
  <c r="CE66" i="3"/>
  <c r="BS66" i="3"/>
  <c r="BQ67" i="3" s="1"/>
  <c r="BQ68" i="3" s="1"/>
  <c r="D45" i="2"/>
  <c r="F36" i="2" s="1"/>
  <c r="C45" i="2"/>
  <c r="D36" i="2" s="1"/>
  <c r="B45" i="2"/>
  <c r="B36" i="2" s="1"/>
  <c r="BL75" i="3" l="1"/>
  <c r="BP75" i="3"/>
  <c r="BD33" i="7"/>
  <c r="BI9" i="7"/>
  <c r="BI15" i="7"/>
  <c r="BH22" i="7"/>
  <c r="BH20" i="7" s="1"/>
  <c r="BH14" i="7"/>
  <c r="BH13" i="7" s="1"/>
  <c r="M21" i="6"/>
  <c r="BG24" i="7"/>
  <c r="BQ11" i="5"/>
  <c r="BQ20" i="5"/>
  <c r="BQ18" i="5" s="1"/>
  <c r="BR7" i="5"/>
  <c r="BR20" i="5" s="1"/>
  <c r="BR13" i="5"/>
  <c r="BP22" i="5"/>
  <c r="BM23" i="5" s="1"/>
  <c r="BM24" i="5" s="1"/>
  <c r="BX75" i="3"/>
  <c r="BT75" i="3"/>
  <c r="CF75" i="3"/>
  <c r="AZ77" i="3"/>
  <c r="L24" i="6" s="1"/>
  <c r="BP77" i="3"/>
  <c r="BL77" i="3"/>
  <c r="BD75" i="3"/>
  <c r="CJ75" i="3"/>
  <c r="CB75" i="3"/>
  <c r="BH75" i="3"/>
  <c r="CB77" i="3"/>
  <c r="BX77" i="3"/>
  <c r="CJ77" i="3"/>
  <c r="BD77" i="3"/>
  <c r="BH77" i="3"/>
  <c r="BT77" i="3"/>
  <c r="CF77" i="3"/>
  <c r="BD153" i="10"/>
  <c r="BD155" i="10" s="1"/>
  <c r="CP57" i="3"/>
  <c r="CP56" i="3"/>
  <c r="BO136" i="10"/>
  <c r="BO137" i="10"/>
  <c r="BH135" i="10"/>
  <c r="BK4" i="7"/>
  <c r="BJ10" i="7"/>
  <c r="BT4" i="5"/>
  <c r="BS8" i="5"/>
  <c r="BN142" i="10"/>
  <c r="BO143" i="10"/>
  <c r="BO144" i="10"/>
  <c r="BQ117" i="10"/>
  <c r="BP125" i="10"/>
  <c r="BP132" i="10" s="1"/>
  <c r="BP131" i="10" s="1"/>
  <c r="BX118" i="10"/>
  <c r="BE67" i="3"/>
  <c r="BE68" i="3" s="1"/>
  <c r="BA67" i="3"/>
  <c r="BA68" i="3" s="1"/>
  <c r="BU67" i="3"/>
  <c r="BU68" i="3" s="1"/>
  <c r="BI67" i="3"/>
  <c r="BI68" i="3" s="1"/>
  <c r="CG67" i="3"/>
  <c r="CG68" i="3" s="1"/>
  <c r="CK67" i="3"/>
  <c r="CK68" i="3" s="1"/>
  <c r="BM67" i="3"/>
  <c r="BM68" i="3" s="1"/>
  <c r="CC67" i="3"/>
  <c r="CC68" i="3" s="1"/>
  <c r="BY67" i="3"/>
  <c r="BY68" i="3" s="1"/>
  <c r="CQ51" i="3"/>
  <c r="CN72" i="3" s="1"/>
  <c r="CP64" i="3"/>
  <c r="CQ64" i="3" s="1"/>
  <c r="CQ61" i="3"/>
  <c r="CP63" i="3"/>
  <c r="CQ60" i="3"/>
  <c r="CQ59" i="3"/>
  <c r="C39" i="2"/>
  <c r="D21" i="2"/>
  <c r="F21" i="2" s="1"/>
  <c r="D37" i="2"/>
  <c r="B37" i="2"/>
  <c r="C21" i="2"/>
  <c r="E21" i="2"/>
  <c r="F39" i="2"/>
  <c r="F37" i="2"/>
  <c r="D11" i="1"/>
  <c r="BH24" i="7" l="1"/>
  <c r="BE25" i="7" s="1"/>
  <c r="BE26" i="7" s="1"/>
  <c r="BJ9" i="7"/>
  <c r="BJ15" i="7"/>
  <c r="BI22" i="7"/>
  <c r="BI20" i="7" s="1"/>
  <c r="BI14" i="7"/>
  <c r="BI13" i="7" s="1"/>
  <c r="BD35" i="7"/>
  <c r="M24" i="6" s="1"/>
  <c r="BR19" i="5"/>
  <c r="BQ22" i="5"/>
  <c r="BS7" i="5"/>
  <c r="BS12" i="5" s="1"/>
  <c r="BS13" i="5"/>
  <c r="BR12" i="5"/>
  <c r="BR11" i="5" s="1"/>
  <c r="M22" i="6"/>
  <c r="M20" i="6"/>
  <c r="BH146" i="10"/>
  <c r="BP136" i="10"/>
  <c r="BP137" i="10"/>
  <c r="E30" i="2"/>
  <c r="A55" i="3" s="1"/>
  <c r="E31" i="2"/>
  <c r="BL4" i="7"/>
  <c r="BK10" i="7"/>
  <c r="BI135" i="10"/>
  <c r="BI146" i="10" s="1"/>
  <c r="BR18" i="5"/>
  <c r="BS19" i="5"/>
  <c r="BU4" i="5"/>
  <c r="BT8" i="5"/>
  <c r="BP144" i="10"/>
  <c r="BP143" i="10"/>
  <c r="BR117" i="10"/>
  <c r="BQ125" i="10"/>
  <c r="BQ132" i="10" s="1"/>
  <c r="BQ131" i="10" s="1"/>
  <c r="BO142" i="10"/>
  <c r="BL154" i="10" s="1"/>
  <c r="BY118" i="10"/>
  <c r="CQ56" i="3"/>
  <c r="CQ63" i="3"/>
  <c r="CP62" i="3"/>
  <c r="CQ57" i="3"/>
  <c r="CQ58" i="3"/>
  <c r="E22" i="2"/>
  <c r="D22" i="2"/>
  <c r="BI24" i="7" l="1"/>
  <c r="BJ22" i="7"/>
  <c r="BJ20" i="7" s="1"/>
  <c r="BJ14" i="7"/>
  <c r="BJ13" i="7" s="1"/>
  <c r="BK9" i="7"/>
  <c r="BH30" i="7" s="1"/>
  <c r="N19" i="6" s="1"/>
  <c r="N27" i="6" s="1"/>
  <c r="BK15" i="7"/>
  <c r="BS11" i="5"/>
  <c r="BP29" i="5" s="1"/>
  <c r="BT7" i="5"/>
  <c r="BT19" i="5" s="1"/>
  <c r="BT13" i="5"/>
  <c r="BS20" i="5"/>
  <c r="BS18" i="5" s="1"/>
  <c r="BR22" i="5"/>
  <c r="BP28" i="5"/>
  <c r="CQ62" i="3"/>
  <c r="CN74" i="3" s="1"/>
  <c r="BE147" i="10"/>
  <c r="BE148" i="10" s="1"/>
  <c r="BQ136" i="10"/>
  <c r="BQ137" i="10"/>
  <c r="E28" i="2"/>
  <c r="E29" i="2"/>
  <c r="BJ135" i="10"/>
  <c r="BM4" i="7"/>
  <c r="BL10" i="7"/>
  <c r="BV4" i="5"/>
  <c r="BU8" i="5"/>
  <c r="BQ143" i="10"/>
  <c r="BQ144" i="10"/>
  <c r="BP142" i="10"/>
  <c r="BS117" i="10"/>
  <c r="BR125" i="10"/>
  <c r="BR132" i="10" s="1"/>
  <c r="BR131" i="10" s="1"/>
  <c r="BZ118" i="10"/>
  <c r="CP55" i="3"/>
  <c r="BL9" i="7" l="1"/>
  <c r="BL15" i="7"/>
  <c r="BK22" i="7"/>
  <c r="BK20" i="7" s="1"/>
  <c r="BH32" i="7" s="1"/>
  <c r="N21" i="6" s="1"/>
  <c r="BK14" i="7"/>
  <c r="BK13" i="7" s="1"/>
  <c r="BH31" i="7" s="1"/>
  <c r="BJ24" i="7"/>
  <c r="BS22" i="5"/>
  <c r="BP33" i="5" s="1"/>
  <c r="BT20" i="5"/>
  <c r="BT18" i="5" s="1"/>
  <c r="BU7" i="5"/>
  <c r="BU12" i="5" s="1"/>
  <c r="BU13" i="5"/>
  <c r="BT12" i="5"/>
  <c r="BT11" i="5" s="1"/>
  <c r="BP30" i="5"/>
  <c r="BP31" i="5" s="1"/>
  <c r="BJ146" i="10"/>
  <c r="BR136" i="10"/>
  <c r="BR137" i="10"/>
  <c r="BN4" i="7"/>
  <c r="BM10" i="7"/>
  <c r="BK135" i="10"/>
  <c r="BK146" i="10" s="1"/>
  <c r="BW4" i="5"/>
  <c r="BV8" i="5"/>
  <c r="BR143" i="10"/>
  <c r="BR144" i="10"/>
  <c r="BQ142" i="10"/>
  <c r="BT117" i="10"/>
  <c r="BS125" i="10"/>
  <c r="BS132" i="10" s="1"/>
  <c r="BS131" i="10" s="1"/>
  <c r="BP152" i="10" s="1"/>
  <c r="CA118" i="10"/>
  <c r="CP66" i="3"/>
  <c r="CQ55" i="3"/>
  <c r="CN73" i="3" s="1"/>
  <c r="BH33" i="7" l="1"/>
  <c r="BM9" i="7"/>
  <c r="BM15" i="7"/>
  <c r="BK24" i="7"/>
  <c r="BL22" i="7"/>
  <c r="BL20" i="7" s="1"/>
  <c r="BL14" i="7"/>
  <c r="BL13" i="7" s="1"/>
  <c r="BU11" i="5"/>
  <c r="BU19" i="5"/>
  <c r="BV7" i="5"/>
  <c r="BV13" i="5"/>
  <c r="BU20" i="5"/>
  <c r="BU18" i="5" s="1"/>
  <c r="BU22" i="5" s="1"/>
  <c r="BT22" i="5"/>
  <c r="CN75" i="3"/>
  <c r="BQ23" i="5"/>
  <c r="BQ24" i="5" s="1"/>
  <c r="BH157" i="10"/>
  <c r="BH153" i="10"/>
  <c r="BS136" i="10"/>
  <c r="BS137" i="10"/>
  <c r="BL135" i="10"/>
  <c r="BO4" i="7"/>
  <c r="BN10" i="7"/>
  <c r="BX4" i="5"/>
  <c r="BW8" i="5"/>
  <c r="BV19" i="5"/>
  <c r="BS143" i="10"/>
  <c r="BS144" i="10"/>
  <c r="BR142" i="10"/>
  <c r="BU117" i="10"/>
  <c r="BT125" i="10"/>
  <c r="BT132" i="10" s="1"/>
  <c r="BT131" i="10" s="1"/>
  <c r="CB118" i="10"/>
  <c r="CO67" i="3"/>
  <c r="CO68" i="3" s="1"/>
  <c r="CQ66" i="3"/>
  <c r="CN77" i="3" s="1"/>
  <c r="BL24" i="7" l="1"/>
  <c r="BI25" i="7" s="1"/>
  <c r="BI26" i="7" s="1"/>
  <c r="BN9" i="7"/>
  <c r="BN15" i="7"/>
  <c r="BM22" i="7"/>
  <c r="BM20" i="7" s="1"/>
  <c r="BM14" i="7"/>
  <c r="BM13" i="7" s="1"/>
  <c r="BM24" i="7" s="1"/>
  <c r="BH35" i="7"/>
  <c r="N24" i="6" s="1"/>
  <c r="BV12" i="5"/>
  <c r="BV11" i="5" s="1"/>
  <c r="BV20" i="5"/>
  <c r="BW7" i="5"/>
  <c r="BW12" i="5" s="1"/>
  <c r="BW13" i="5"/>
  <c r="BH155" i="10"/>
  <c r="N22" i="6" s="1"/>
  <c r="N20" i="6"/>
  <c r="BL146" i="10"/>
  <c r="BT136" i="10"/>
  <c r="BT137" i="10"/>
  <c r="BP4" i="7"/>
  <c r="BO10" i="7"/>
  <c r="BM135" i="10"/>
  <c r="BM146" i="10" s="1"/>
  <c r="BV18" i="5"/>
  <c r="BW19" i="5"/>
  <c r="BY4" i="5"/>
  <c r="BX8" i="5"/>
  <c r="BT144" i="10"/>
  <c r="BT143" i="10"/>
  <c r="BV117" i="10"/>
  <c r="BU125" i="10"/>
  <c r="BU132" i="10" s="1"/>
  <c r="BU131" i="10" s="1"/>
  <c r="BS142" i="10"/>
  <c r="BP154" i="10" s="1"/>
  <c r="CC118" i="10"/>
  <c r="CQ68" i="3"/>
  <c r="G69" i="3" s="1"/>
  <c r="B12" i="6" s="1"/>
  <c r="CQ67" i="3"/>
  <c r="B13" i="6" l="1"/>
  <c r="BO9" i="7"/>
  <c r="BO15" i="7"/>
  <c r="BN22" i="7"/>
  <c r="BN20" i="7" s="1"/>
  <c r="BN14" i="7"/>
  <c r="BN13" i="7" s="1"/>
  <c r="BW20" i="5"/>
  <c r="BX7" i="5"/>
  <c r="BX13" i="5"/>
  <c r="BW11" i="5"/>
  <c r="BT29" i="5" s="1"/>
  <c r="BT28" i="5"/>
  <c r="BV22" i="5"/>
  <c r="G70" i="3"/>
  <c r="BI147" i="10"/>
  <c r="BI148" i="10" s="1"/>
  <c r="BU136" i="10"/>
  <c r="BU137" i="10"/>
  <c r="BN135" i="10"/>
  <c r="BN146" i="10" s="1"/>
  <c r="BQ4" i="7"/>
  <c r="BP10" i="7"/>
  <c r="BW18" i="5"/>
  <c r="BX19" i="5"/>
  <c r="BZ4" i="5"/>
  <c r="BY8" i="5"/>
  <c r="BU143" i="10"/>
  <c r="BU144" i="10"/>
  <c r="BT142" i="10"/>
  <c r="BW117" i="10"/>
  <c r="BV125" i="10"/>
  <c r="BV132" i="10" s="1"/>
  <c r="BV131" i="10" s="1"/>
  <c r="CD118" i="10"/>
  <c r="BN24" i="7" l="1"/>
  <c r="BP9" i="7"/>
  <c r="BP15" i="7"/>
  <c r="BO22" i="7"/>
  <c r="BO20" i="7" s="1"/>
  <c r="BL32" i="7" s="1"/>
  <c r="O21" i="6" s="1"/>
  <c r="BO14" i="7"/>
  <c r="BO13" i="7" s="1"/>
  <c r="BL31" i="7" s="1"/>
  <c r="BL30" i="7"/>
  <c r="O19" i="6" s="1"/>
  <c r="O27" i="6" s="1"/>
  <c r="BX12" i="5"/>
  <c r="BX11" i="5" s="1"/>
  <c r="BY7" i="5"/>
  <c r="BY12" i="5" s="1"/>
  <c r="BY13" i="5"/>
  <c r="BX20" i="5"/>
  <c r="BX18" i="5" s="1"/>
  <c r="BW22" i="5"/>
  <c r="BT33" i="5" s="1"/>
  <c r="BT30" i="5"/>
  <c r="BT31" i="5" s="1"/>
  <c r="BV136" i="10"/>
  <c r="BV137" i="10"/>
  <c r="BR4" i="7"/>
  <c r="BQ10" i="7"/>
  <c r="BO135" i="10"/>
  <c r="BO146" i="10" s="1"/>
  <c r="BL157" i="10" s="1"/>
  <c r="CA4" i="5"/>
  <c r="BZ8" i="5"/>
  <c r="BU142" i="10"/>
  <c r="BV143" i="10"/>
  <c r="BV144" i="10"/>
  <c r="BX117" i="10"/>
  <c r="BW125" i="10"/>
  <c r="BW132" i="10" s="1"/>
  <c r="BW131" i="10" s="1"/>
  <c r="BT152" i="10" s="1"/>
  <c r="CE118" i="10"/>
  <c r="BO24" i="7" l="1"/>
  <c r="BL35" i="7" s="1"/>
  <c r="O24" i="6" s="1"/>
  <c r="BQ9" i="7"/>
  <c r="BQ15" i="7"/>
  <c r="BP22" i="7"/>
  <c r="BP20" i="7" s="1"/>
  <c r="BP14" i="7"/>
  <c r="BP13" i="7" s="1"/>
  <c r="BL33" i="7"/>
  <c r="K31" i="1"/>
  <c r="BY11" i="5"/>
  <c r="BY20" i="5"/>
  <c r="BZ7" i="5"/>
  <c r="BZ12" i="5" s="1"/>
  <c r="BZ13" i="5"/>
  <c r="BY19" i="5"/>
  <c r="BX22" i="5"/>
  <c r="B14" i="6"/>
  <c r="BU23" i="5"/>
  <c r="BU24" i="5" s="1"/>
  <c r="BL153" i="10"/>
  <c r="BW136" i="10"/>
  <c r="BW137" i="10"/>
  <c r="BP135" i="10"/>
  <c r="BS4" i="7"/>
  <c r="BR10" i="7"/>
  <c r="CB4" i="5"/>
  <c r="CA8" i="5"/>
  <c r="BW143" i="10"/>
  <c r="BW144" i="10"/>
  <c r="BY117" i="10"/>
  <c r="BX125" i="10"/>
  <c r="BX132" i="10" s="1"/>
  <c r="BX131" i="10" s="1"/>
  <c r="BV142" i="10"/>
  <c r="CF118" i="10"/>
  <c r="BP24" i="7" l="1"/>
  <c r="BM25" i="7" s="1"/>
  <c r="BM26" i="7" s="1"/>
  <c r="BR9" i="7"/>
  <c r="BR15" i="7"/>
  <c r="BQ22" i="7"/>
  <c r="BQ20" i="7" s="1"/>
  <c r="BQ14" i="7"/>
  <c r="BQ13" i="7" s="1"/>
  <c r="BZ19" i="5"/>
  <c r="BY18" i="5"/>
  <c r="BY22" i="5" s="1"/>
  <c r="BZ11" i="5"/>
  <c r="CA7" i="5"/>
  <c r="CA20" i="5" s="1"/>
  <c r="CA13" i="5"/>
  <c r="BZ20" i="5"/>
  <c r="BL155" i="10"/>
  <c r="O22" i="6" s="1"/>
  <c r="O20" i="6"/>
  <c r="BP146" i="10"/>
  <c r="BX136" i="10"/>
  <c r="BX137" i="10"/>
  <c r="BT4" i="7"/>
  <c r="BS10" i="7"/>
  <c r="BQ135" i="10"/>
  <c r="BQ146" i="10" s="1"/>
  <c r="CC4" i="5"/>
  <c r="CB8" i="5"/>
  <c r="CA19" i="5"/>
  <c r="BX144" i="10"/>
  <c r="BX143" i="10"/>
  <c r="BW142" i="10"/>
  <c r="BT154" i="10" s="1"/>
  <c r="BZ117" i="10"/>
  <c r="BY125" i="10"/>
  <c r="BY132" i="10" s="1"/>
  <c r="BY131" i="10" s="1"/>
  <c r="CG118" i="10"/>
  <c r="BQ24" i="7" l="1"/>
  <c r="BR22" i="7"/>
  <c r="BR20" i="7" s="1"/>
  <c r="BR14" i="7"/>
  <c r="BR13" i="7" s="1"/>
  <c r="BR24" i="7" s="1"/>
  <c r="BS9" i="7"/>
  <c r="BS15" i="7"/>
  <c r="BZ18" i="5"/>
  <c r="BZ22" i="5" s="1"/>
  <c r="CB7" i="5"/>
  <c r="CB20" i="5" s="1"/>
  <c r="CB13" i="5"/>
  <c r="CA12" i="5"/>
  <c r="CA11" i="5" s="1"/>
  <c r="BX29" i="5" s="1"/>
  <c r="BX28" i="5"/>
  <c r="BM147" i="10"/>
  <c r="BM148" i="10" s="1"/>
  <c r="BY136" i="10"/>
  <c r="BY137" i="10"/>
  <c r="BR135" i="10"/>
  <c r="BR146" i="10" s="1"/>
  <c r="BU4" i="7"/>
  <c r="BT10" i="7"/>
  <c r="CA18" i="5"/>
  <c r="CD4" i="5"/>
  <c r="CC8" i="5"/>
  <c r="CB19" i="5"/>
  <c r="BX142" i="10"/>
  <c r="BY143" i="10"/>
  <c r="BY144" i="10"/>
  <c r="CA117" i="10"/>
  <c r="BZ125" i="10"/>
  <c r="BZ132" i="10" s="1"/>
  <c r="BZ131" i="10" s="1"/>
  <c r="CH118" i="10"/>
  <c r="BT9" i="7" l="1"/>
  <c r="BT15" i="7"/>
  <c r="BS22" i="7"/>
  <c r="BS20" i="7" s="1"/>
  <c r="BP32" i="7" s="1"/>
  <c r="P21" i="6" s="1"/>
  <c r="BS14" i="7"/>
  <c r="BS13" i="7" s="1"/>
  <c r="BP31" i="7" s="1"/>
  <c r="BP30" i="7"/>
  <c r="P19" i="6" s="1"/>
  <c r="P27" i="6" s="1"/>
  <c r="CA22" i="5"/>
  <c r="BX33" i="5" s="1"/>
  <c r="CC7" i="5"/>
  <c r="CC12" i="5" s="1"/>
  <c r="CC13" i="5"/>
  <c r="CB12" i="5"/>
  <c r="CB11" i="5" s="1"/>
  <c r="BX30" i="5"/>
  <c r="BX31" i="5" s="1"/>
  <c r="BZ136" i="10"/>
  <c r="BZ137" i="10"/>
  <c r="BV4" i="7"/>
  <c r="BU10" i="7"/>
  <c r="BS135" i="10"/>
  <c r="BS146" i="10" s="1"/>
  <c r="BP157" i="10" s="1"/>
  <c r="CC20" i="5"/>
  <c r="CB18" i="5"/>
  <c r="CE4" i="5"/>
  <c r="CD8" i="5"/>
  <c r="BZ143" i="10"/>
  <c r="BZ144" i="10"/>
  <c r="CB117" i="10"/>
  <c r="CA125" i="10"/>
  <c r="CA132" i="10" s="1"/>
  <c r="CA131" i="10" s="1"/>
  <c r="BX152" i="10" s="1"/>
  <c r="BY142" i="10"/>
  <c r="CI118" i="10"/>
  <c r="BS24" i="7" l="1"/>
  <c r="BP35" i="7" s="1"/>
  <c r="P24" i="6" s="1"/>
  <c r="BU9" i="7"/>
  <c r="BU15" i="7"/>
  <c r="BT22" i="7"/>
  <c r="BT20" i="7" s="1"/>
  <c r="BT14" i="7"/>
  <c r="BT13" i="7" s="1"/>
  <c r="BP33" i="7"/>
  <c r="CC11" i="5"/>
  <c r="CC19" i="5"/>
  <c r="CC18" i="5" s="1"/>
  <c r="CD7" i="5"/>
  <c r="CD13" i="5"/>
  <c r="CB22" i="5"/>
  <c r="BY23" i="5" s="1"/>
  <c r="BY24" i="5" s="1"/>
  <c r="BP153" i="10"/>
  <c r="CA136" i="10"/>
  <c r="CA137" i="10"/>
  <c r="BT135" i="10"/>
  <c r="BW4" i="7"/>
  <c r="BV10" i="7"/>
  <c r="CD19" i="5"/>
  <c r="CD20" i="5"/>
  <c r="CF4" i="5"/>
  <c r="CE8" i="5"/>
  <c r="CA143" i="10"/>
  <c r="CA144" i="10"/>
  <c r="CC117" i="10"/>
  <c r="CB125" i="10"/>
  <c r="CB132" i="10" s="1"/>
  <c r="CB131" i="10" s="1"/>
  <c r="BZ142" i="10"/>
  <c r="CJ118" i="10"/>
  <c r="BT24" i="7" l="1"/>
  <c r="BQ25" i="7" s="1"/>
  <c r="BQ26" i="7" s="1"/>
  <c r="BU22" i="7"/>
  <c r="BU20" i="7" s="1"/>
  <c r="BU14" i="7"/>
  <c r="BU13" i="7" s="1"/>
  <c r="BV9" i="7"/>
  <c r="BV15" i="7"/>
  <c r="CC22" i="5"/>
  <c r="CE7" i="5"/>
  <c r="CE12" i="5" s="1"/>
  <c r="CE13" i="5"/>
  <c r="CD12" i="5"/>
  <c r="CD11" i="5" s="1"/>
  <c r="BP155" i="10"/>
  <c r="P22" i="6" s="1"/>
  <c r="P20" i="6"/>
  <c r="BT146" i="10"/>
  <c r="CB136" i="10"/>
  <c r="CB137" i="10"/>
  <c r="BX4" i="7"/>
  <c r="BW10" i="7"/>
  <c r="BU135" i="10"/>
  <c r="BU146" i="10" s="1"/>
  <c r="CD18" i="5"/>
  <c r="CG4" i="5"/>
  <c r="CF8" i="5"/>
  <c r="CA142" i="10"/>
  <c r="BX154" i="10" s="1"/>
  <c r="CB144" i="10"/>
  <c r="CB143" i="10"/>
  <c r="CD117" i="10"/>
  <c r="CC125" i="10"/>
  <c r="CC132" i="10" s="1"/>
  <c r="CC131" i="10" s="1"/>
  <c r="CK118" i="10"/>
  <c r="BU24" i="7" l="1"/>
  <c r="BV22" i="7"/>
  <c r="BV20" i="7" s="1"/>
  <c r="BV14" i="7"/>
  <c r="BV13" i="7" s="1"/>
  <c r="BW9" i="7"/>
  <c r="BW15" i="7"/>
  <c r="CE11" i="5"/>
  <c r="CE19" i="5"/>
  <c r="CB29" i="5"/>
  <c r="CF7" i="5"/>
  <c r="CF20" i="5" s="1"/>
  <c r="CF13" i="5"/>
  <c r="CE20" i="5"/>
  <c r="CB28" i="5"/>
  <c r="CD22" i="5"/>
  <c r="BQ147" i="10"/>
  <c r="BQ148" i="10" s="1"/>
  <c r="CC136" i="10"/>
  <c r="CC137" i="10"/>
  <c r="BV135" i="10"/>
  <c r="BY4" i="7"/>
  <c r="BX10" i="7"/>
  <c r="CF19" i="5"/>
  <c r="CH4" i="5"/>
  <c r="CG8" i="5"/>
  <c r="CE18" i="5"/>
  <c r="CC143" i="10"/>
  <c r="CC144" i="10"/>
  <c r="CB142" i="10"/>
  <c r="CE117" i="10"/>
  <c r="CD125" i="10"/>
  <c r="CD132" i="10" s="1"/>
  <c r="CD131" i="10" s="1"/>
  <c r="CL118" i="10"/>
  <c r="CE22" i="5" l="1"/>
  <c r="BV24" i="7"/>
  <c r="CB33" i="5"/>
  <c r="BX9" i="7"/>
  <c r="BX15" i="7"/>
  <c r="BW22" i="7"/>
  <c r="BW20" i="7" s="1"/>
  <c r="BT32" i="7" s="1"/>
  <c r="Q21" i="6" s="1"/>
  <c r="BW14" i="7"/>
  <c r="BW13" i="7" s="1"/>
  <c r="BT31" i="7" s="1"/>
  <c r="BT30" i="7"/>
  <c r="Q19" i="6" s="1"/>
  <c r="Q27" i="6" s="1"/>
  <c r="CF12" i="5"/>
  <c r="CF11" i="5" s="1"/>
  <c r="CG7" i="5"/>
  <c r="CG12" i="5" s="1"/>
  <c r="CG13" i="5"/>
  <c r="CB30" i="5"/>
  <c r="CB31" i="5" s="1"/>
  <c r="BV146" i="10"/>
  <c r="CD136" i="10"/>
  <c r="CD137" i="10"/>
  <c r="BZ4" i="7"/>
  <c r="BY10" i="7"/>
  <c r="BW135" i="10"/>
  <c r="BW146" i="10" s="1"/>
  <c r="CF18" i="5"/>
  <c r="CG19" i="5"/>
  <c r="CG20" i="5"/>
  <c r="CI4" i="5"/>
  <c r="CH8" i="5"/>
  <c r="CC142" i="10"/>
  <c r="CD143" i="10"/>
  <c r="CD144" i="10"/>
  <c r="CF117" i="10"/>
  <c r="CE125" i="10"/>
  <c r="CE132" i="10" s="1"/>
  <c r="CE131" i="10" s="1"/>
  <c r="CB152" i="10" s="1"/>
  <c r="CM118" i="10"/>
  <c r="BT33" i="7" l="1"/>
  <c r="BY9" i="7"/>
  <c r="BY15" i="7"/>
  <c r="BW24" i="7"/>
  <c r="BX22" i="7"/>
  <c r="BX20" i="7" s="1"/>
  <c r="BX14" i="7"/>
  <c r="BX13" i="7" s="1"/>
  <c r="CG11" i="5"/>
  <c r="CH7" i="5"/>
  <c r="CH12" i="5" s="1"/>
  <c r="CH13" i="5"/>
  <c r="CF22" i="5"/>
  <c r="CC23" i="5" s="1"/>
  <c r="CC24" i="5" s="1"/>
  <c r="BT153" i="10"/>
  <c r="BT157" i="10"/>
  <c r="CE136" i="10"/>
  <c r="CE137" i="10"/>
  <c r="BX135" i="10"/>
  <c r="CA4" i="7"/>
  <c r="BZ10" i="7"/>
  <c r="CJ4" i="5"/>
  <c r="CI8" i="5"/>
  <c r="CG18" i="5"/>
  <c r="CE143" i="10"/>
  <c r="CE144" i="10"/>
  <c r="CG117" i="10"/>
  <c r="CF125" i="10"/>
  <c r="CF132" i="10" s="1"/>
  <c r="CF131" i="10" s="1"/>
  <c r="CD142" i="10"/>
  <c r="CN118" i="10"/>
  <c r="BX24" i="7" l="1"/>
  <c r="CG22" i="5"/>
  <c r="BZ9" i="7"/>
  <c r="BZ15" i="7"/>
  <c r="CH11" i="5"/>
  <c r="BT35" i="7"/>
  <c r="Q24" i="6" s="1"/>
  <c r="BU25" i="7"/>
  <c r="BU26" i="7" s="1"/>
  <c r="BY22" i="7"/>
  <c r="BY20" i="7" s="1"/>
  <c r="BY14" i="7"/>
  <c r="BY13" i="7" s="1"/>
  <c r="CH20" i="5"/>
  <c r="CH19" i="5"/>
  <c r="CI7" i="5"/>
  <c r="CI20" i="5" s="1"/>
  <c r="CI13" i="5"/>
  <c r="BT155" i="10"/>
  <c r="Q22" i="6" s="1"/>
  <c r="Q20" i="6"/>
  <c r="BX146" i="10"/>
  <c r="CF136" i="10"/>
  <c r="CF137" i="10"/>
  <c r="CB4" i="7"/>
  <c r="CA10" i="7"/>
  <c r="BY135" i="10"/>
  <c r="BY146" i="10" s="1"/>
  <c r="CK4" i="5"/>
  <c r="CJ8" i="5"/>
  <c r="CF144" i="10"/>
  <c r="CF143" i="10"/>
  <c r="CE142" i="10"/>
  <c r="CB154" i="10" s="1"/>
  <c r="CH117" i="10"/>
  <c r="CG125" i="10"/>
  <c r="CG132" i="10" s="1"/>
  <c r="CG131" i="10" s="1"/>
  <c r="CO118" i="10"/>
  <c r="BY24" i="7" l="1"/>
  <c r="CA9" i="7"/>
  <c r="CA15" i="7"/>
  <c r="BZ22" i="7"/>
  <c r="BZ20" i="7" s="1"/>
  <c r="BZ14" i="7"/>
  <c r="BZ13" i="7" s="1"/>
  <c r="BX30" i="7"/>
  <c r="R19" i="6" s="1"/>
  <c r="R27" i="6" s="1"/>
  <c r="CI19" i="5"/>
  <c r="CH18" i="5"/>
  <c r="CH22" i="5" s="1"/>
  <c r="CJ7" i="5"/>
  <c r="CJ20" i="5" s="1"/>
  <c r="CJ13" i="5"/>
  <c r="CI12" i="5"/>
  <c r="CI11" i="5" s="1"/>
  <c r="CF29" i="5" s="1"/>
  <c r="CF28" i="5"/>
  <c r="BU147" i="10"/>
  <c r="BU148" i="10" s="1"/>
  <c r="CG136" i="10"/>
  <c r="CG137" i="10"/>
  <c r="BZ135" i="10"/>
  <c r="BZ146" i="10" s="1"/>
  <c r="CC4" i="7"/>
  <c r="CB10" i="7"/>
  <c r="CI18" i="5"/>
  <c r="CJ19" i="5"/>
  <c r="CL4" i="5"/>
  <c r="CK8" i="5"/>
  <c r="CF142" i="10"/>
  <c r="CG143" i="10"/>
  <c r="CG144" i="10"/>
  <c r="CI117" i="10"/>
  <c r="CH125" i="10"/>
  <c r="CH132" i="10" s="1"/>
  <c r="CH131" i="10" s="1"/>
  <c r="CP118" i="10"/>
  <c r="BZ24" i="7" l="1"/>
  <c r="CB9" i="7"/>
  <c r="CB15" i="7"/>
  <c r="CA22" i="7"/>
  <c r="CA20" i="7" s="1"/>
  <c r="BX32" i="7" s="1"/>
  <c r="R21" i="6" s="1"/>
  <c r="CA14" i="7"/>
  <c r="CA13" i="7" s="1"/>
  <c r="BX31" i="7" s="1"/>
  <c r="CI22" i="5"/>
  <c r="CF33" i="5" s="1"/>
  <c r="CK7" i="5"/>
  <c r="CK12" i="5" s="1"/>
  <c r="CK13" i="5"/>
  <c r="CJ12" i="5"/>
  <c r="CJ11" i="5" s="1"/>
  <c r="CF30" i="5"/>
  <c r="CF31" i="5" s="1"/>
  <c r="CH136" i="10"/>
  <c r="CH137" i="10"/>
  <c r="CD4" i="7"/>
  <c r="CC10" i="7"/>
  <c r="CA135" i="10"/>
  <c r="CA146" i="10" s="1"/>
  <c r="BX157" i="10" s="1"/>
  <c r="CK20" i="5"/>
  <c r="CJ18" i="5"/>
  <c r="CM4" i="5"/>
  <c r="CL8" i="5"/>
  <c r="CH143" i="10"/>
  <c r="CH144" i="10"/>
  <c r="CQ118" i="10"/>
  <c r="CR118" i="10" s="1"/>
  <c r="CS118" i="10" s="1"/>
  <c r="CT118" i="10" s="1"/>
  <c r="CU118" i="10" s="1"/>
  <c r="CV118" i="10" s="1"/>
  <c r="CW118" i="10" s="1"/>
  <c r="CX118" i="10" s="1"/>
  <c r="CY118" i="10" s="1"/>
  <c r="CZ118" i="10" s="1"/>
  <c r="DA118" i="10" s="1"/>
  <c r="DB118" i="10" s="1"/>
  <c r="DC118" i="10" s="1"/>
  <c r="DD118" i="10" s="1"/>
  <c r="DE118" i="10" s="1"/>
  <c r="DF118" i="10" s="1"/>
  <c r="DG118" i="10" s="1"/>
  <c r="DH118" i="10" s="1"/>
  <c r="DI118" i="10" s="1"/>
  <c r="DJ118" i="10" s="1"/>
  <c r="DK118" i="10" s="1"/>
  <c r="DL118" i="10" s="1"/>
  <c r="DM118" i="10" s="1"/>
  <c r="DN118" i="10" s="1"/>
  <c r="DO118" i="10" s="1"/>
  <c r="DP118" i="10" s="1"/>
  <c r="DQ118" i="10" s="1"/>
  <c r="DR118" i="10" s="1"/>
  <c r="DS118" i="10" s="1"/>
  <c r="DT118" i="10" s="1"/>
  <c r="DU118" i="10" s="1"/>
  <c r="DV118" i="10" s="1"/>
  <c r="DW118" i="10" s="1"/>
  <c r="DX118" i="10" s="1"/>
  <c r="DY118" i="10" s="1"/>
  <c r="DZ118" i="10" s="1"/>
  <c r="EA118" i="10" s="1"/>
  <c r="EB118" i="10" s="1"/>
  <c r="EC118" i="10" s="1"/>
  <c r="ED118" i="10" s="1"/>
  <c r="EE118" i="10" s="1"/>
  <c r="CJ117" i="10"/>
  <c r="CI125" i="10"/>
  <c r="CI132" i="10" s="1"/>
  <c r="CI131" i="10" s="1"/>
  <c r="CF152" i="10" s="1"/>
  <c r="CG142" i="10"/>
  <c r="CA24" i="7" l="1"/>
  <c r="BX35" i="7" s="1"/>
  <c r="R24" i="6" s="1"/>
  <c r="CB22" i="7"/>
  <c r="CB20" i="7" s="1"/>
  <c r="CB14" i="7"/>
  <c r="CB13" i="7" s="1"/>
  <c r="CB24" i="7" s="1"/>
  <c r="CC9" i="7"/>
  <c r="CC15" i="7"/>
  <c r="BX33" i="7"/>
  <c r="CK19" i="5"/>
  <c r="CL7" i="5"/>
  <c r="CL20" i="5" s="1"/>
  <c r="CL13" i="5"/>
  <c r="CK11" i="5"/>
  <c r="CJ22" i="5"/>
  <c r="CG23" i="5" s="1"/>
  <c r="CG24" i="5" s="1"/>
  <c r="BX153" i="10"/>
  <c r="CI136" i="10"/>
  <c r="CI137" i="10"/>
  <c r="CB135" i="10"/>
  <c r="CE4" i="7"/>
  <c r="CD10" i="7"/>
  <c r="CK18" i="5"/>
  <c r="CL19" i="5"/>
  <c r="CN4" i="5"/>
  <c r="CM8" i="5"/>
  <c r="CI143" i="10"/>
  <c r="CI144" i="10"/>
  <c r="CK117" i="10"/>
  <c r="CJ125" i="10"/>
  <c r="CJ132" i="10" s="1"/>
  <c r="CJ131" i="10" s="1"/>
  <c r="CH142" i="10"/>
  <c r="BY25" i="7" l="1"/>
  <c r="BY26" i="7" s="1"/>
  <c r="CD9" i="7"/>
  <c r="CD15" i="7"/>
  <c r="CC22" i="7"/>
  <c r="CC20" i="7" s="1"/>
  <c r="CC14" i="7"/>
  <c r="CC13" i="7" s="1"/>
  <c r="CK22" i="5"/>
  <c r="CM7" i="5"/>
  <c r="CM12" i="5" s="1"/>
  <c r="CM13" i="5"/>
  <c r="CL12" i="5"/>
  <c r="CL11" i="5" s="1"/>
  <c r="BX155" i="10"/>
  <c r="R22" i="6" s="1"/>
  <c r="R20" i="6"/>
  <c r="CB146" i="10"/>
  <c r="CJ136" i="10"/>
  <c r="CJ137" i="10"/>
  <c r="CF4" i="7"/>
  <c r="CE10" i="7"/>
  <c r="CC135" i="10"/>
  <c r="CC146" i="10" s="1"/>
  <c r="CO4" i="5"/>
  <c r="CN8" i="5"/>
  <c r="CM20" i="5"/>
  <c r="CL18" i="5"/>
  <c r="CJ144" i="10"/>
  <c r="CJ143" i="10"/>
  <c r="CI142" i="10"/>
  <c r="CF154" i="10" s="1"/>
  <c r="CL117" i="10"/>
  <c r="CK125" i="10"/>
  <c r="CK132" i="10" s="1"/>
  <c r="CK131" i="10" s="1"/>
  <c r="CC24" i="7" l="1"/>
  <c r="CE9" i="7"/>
  <c r="CE15" i="7"/>
  <c r="CD22" i="7"/>
  <c r="CD20" i="7" s="1"/>
  <c r="CD14" i="7"/>
  <c r="CD13" i="7" s="1"/>
  <c r="CD24" i="7" s="1"/>
  <c r="CB30" i="7"/>
  <c r="S19" i="6" s="1"/>
  <c r="S27" i="6" s="1"/>
  <c r="CM19" i="5"/>
  <c r="CM18" i="5" s="1"/>
  <c r="CJ28" i="5"/>
  <c r="CN7" i="5"/>
  <c r="CN20" i="5" s="1"/>
  <c r="CN13" i="5"/>
  <c r="CM11" i="5"/>
  <c r="CJ29" i="5" s="1"/>
  <c r="CL22" i="5"/>
  <c r="BY147" i="10"/>
  <c r="BY148" i="10" s="1"/>
  <c r="CK136" i="10"/>
  <c r="CK137" i="10"/>
  <c r="CD135" i="10"/>
  <c r="CG4" i="7"/>
  <c r="CF10" i="7"/>
  <c r="CN19" i="5"/>
  <c r="CP4" i="5"/>
  <c r="CO8" i="5"/>
  <c r="CJ142" i="10"/>
  <c r="CK143" i="10"/>
  <c r="CK144" i="10"/>
  <c r="CM117" i="10"/>
  <c r="CL125" i="10"/>
  <c r="CL132" i="10" s="1"/>
  <c r="CL131" i="10" s="1"/>
  <c r="CE22" i="7" l="1"/>
  <c r="CE20" i="7" s="1"/>
  <c r="CB32" i="7" s="1"/>
  <c r="S21" i="6" s="1"/>
  <c r="CE14" i="7"/>
  <c r="CE13" i="7" s="1"/>
  <c r="CB31" i="7" s="1"/>
  <c r="CF9" i="7"/>
  <c r="CF15" i="7"/>
  <c r="CM22" i="5"/>
  <c r="CJ33" i="5" s="1"/>
  <c r="CO7" i="5"/>
  <c r="CO12" i="5" s="1"/>
  <c r="CO13" i="5"/>
  <c r="CN12" i="5"/>
  <c r="CN11" i="5" s="1"/>
  <c r="CJ30" i="5"/>
  <c r="CJ31" i="5" s="1"/>
  <c r="CD146" i="10"/>
  <c r="CL136" i="10"/>
  <c r="CL137" i="10"/>
  <c r="CH4" i="7"/>
  <c r="CG10" i="7"/>
  <c r="CE135" i="10"/>
  <c r="CE146" i="10" s="1"/>
  <c r="CO19" i="5"/>
  <c r="CQ4" i="5"/>
  <c r="CP8" i="5"/>
  <c r="CN18" i="5"/>
  <c r="CK142" i="10"/>
  <c r="CL143" i="10"/>
  <c r="CL144" i="10"/>
  <c r="CN117" i="10"/>
  <c r="CM125" i="10"/>
  <c r="CM132" i="10" s="1"/>
  <c r="CM131" i="10" s="1"/>
  <c r="CJ152" i="10" s="1"/>
  <c r="CE24" i="7" l="1"/>
  <c r="CB35" i="7" s="1"/>
  <c r="CG9" i="7"/>
  <c r="CG15" i="7"/>
  <c r="CF22" i="7"/>
  <c r="CF20" i="7" s="1"/>
  <c r="CF14" i="7"/>
  <c r="CF13" i="7" s="1"/>
  <c r="CB33" i="7"/>
  <c r="CO20" i="5"/>
  <c r="CP7" i="5"/>
  <c r="CP19" i="5" s="1"/>
  <c r="CP13" i="5"/>
  <c r="CO11" i="5"/>
  <c r="CN22" i="5"/>
  <c r="CK23" i="5" s="1"/>
  <c r="CK24" i="5" s="1"/>
  <c r="CB153" i="10"/>
  <c r="CB157" i="10"/>
  <c r="CM136" i="10"/>
  <c r="CM137" i="10"/>
  <c r="CF135" i="10"/>
  <c r="CI4" i="7"/>
  <c r="CH10" i="7"/>
  <c r="CO18" i="5"/>
  <c r="CR4" i="5"/>
  <c r="CQ8" i="5"/>
  <c r="CM143" i="10"/>
  <c r="CM144" i="10"/>
  <c r="CL142" i="10"/>
  <c r="CO117" i="10"/>
  <c r="CN125" i="10"/>
  <c r="CN132" i="10" s="1"/>
  <c r="CN131" i="10" s="1"/>
  <c r="CF24" i="7" l="1"/>
  <c r="CC25" i="7" s="1"/>
  <c r="CC26" i="7" s="1"/>
  <c r="CO22" i="5"/>
  <c r="CG22" i="7"/>
  <c r="CG20" i="7" s="1"/>
  <c r="CG14" i="7"/>
  <c r="CG13" i="7" s="1"/>
  <c r="CH9" i="7"/>
  <c r="CH15" i="7"/>
  <c r="S24" i="6"/>
  <c r="CP20" i="5"/>
  <c r="CQ7" i="5"/>
  <c r="CQ12" i="5" s="1"/>
  <c r="CQ13" i="5"/>
  <c r="CP12" i="5"/>
  <c r="CP11" i="5" s="1"/>
  <c r="CN28" i="5"/>
  <c r="CB155" i="10"/>
  <c r="S22" i="6" s="1"/>
  <c r="S20" i="6"/>
  <c r="CF146" i="10"/>
  <c r="CN136" i="10"/>
  <c r="CN137" i="10"/>
  <c r="CJ4" i="7"/>
  <c r="CI10" i="7"/>
  <c r="CG135" i="10"/>
  <c r="CG146" i="10" s="1"/>
  <c r="CP18" i="5"/>
  <c r="CP22" i="5" s="1"/>
  <c r="CQ19" i="5"/>
  <c r="CQ20" i="5"/>
  <c r="CS4" i="5"/>
  <c r="CR8" i="5"/>
  <c r="CN144" i="10"/>
  <c r="CN143" i="10"/>
  <c r="CM142" i="10"/>
  <c r="CJ154" i="10" s="1"/>
  <c r="CP117" i="10"/>
  <c r="CO125" i="10"/>
  <c r="CO132" i="10" s="1"/>
  <c r="CO131" i="10" s="1"/>
  <c r="CG24" i="7" l="1"/>
  <c r="CH22" i="7"/>
  <c r="CH20" i="7" s="1"/>
  <c r="CH14" i="7"/>
  <c r="CH13" i="7" s="1"/>
  <c r="CI9" i="7"/>
  <c r="CI15" i="7"/>
  <c r="CR7" i="5"/>
  <c r="CR12" i="5" s="1"/>
  <c r="CR13" i="5"/>
  <c r="CQ11" i="5"/>
  <c r="CN29" i="5" s="1"/>
  <c r="CC147" i="10"/>
  <c r="CC148" i="10" s="1"/>
  <c r="CO136" i="10"/>
  <c r="CO137" i="10"/>
  <c r="CH135" i="10"/>
  <c r="CK4" i="7"/>
  <c r="CJ10" i="7"/>
  <c r="CR19" i="5"/>
  <c r="CT4" i="5"/>
  <c r="CS8" i="5"/>
  <c r="CQ18" i="5"/>
  <c r="CQ22" i="5" s="1"/>
  <c r="CN33" i="5" s="1"/>
  <c r="CO143" i="10"/>
  <c r="CO144" i="10"/>
  <c r="CN142" i="10"/>
  <c r="CQ117" i="10"/>
  <c r="CP125" i="10"/>
  <c r="CP132" i="10" s="1"/>
  <c r="CP131" i="10" s="1"/>
  <c r="CH24" i="7" l="1"/>
  <c r="CJ9" i="7"/>
  <c r="CJ15" i="7"/>
  <c r="CI22" i="7"/>
  <c r="CI20" i="7" s="1"/>
  <c r="CF32" i="7" s="1"/>
  <c r="T21" i="6" s="1"/>
  <c r="CI14" i="7"/>
  <c r="CI13" i="7" s="1"/>
  <c r="CF31" i="7" s="1"/>
  <c r="CF30" i="7"/>
  <c r="T19" i="6" s="1"/>
  <c r="T27" i="6" s="1"/>
  <c r="CR20" i="5"/>
  <c r="CS7" i="5"/>
  <c r="CS12" i="5" s="1"/>
  <c r="CS13" i="5"/>
  <c r="CR11" i="5"/>
  <c r="CN30" i="5"/>
  <c r="CN31" i="5" s="1"/>
  <c r="CH146" i="10"/>
  <c r="CP136" i="10"/>
  <c r="CP137" i="10"/>
  <c r="CL4" i="7"/>
  <c r="CK10" i="7"/>
  <c r="CI135" i="10"/>
  <c r="CI146" i="10" s="1"/>
  <c r="CS19" i="5"/>
  <c r="CU4" i="5"/>
  <c r="CT8" i="5"/>
  <c r="CR18" i="5"/>
  <c r="CO142" i="10"/>
  <c r="CP143" i="10"/>
  <c r="CP144" i="10"/>
  <c r="CR117" i="10"/>
  <c r="CQ125" i="10"/>
  <c r="CQ132" i="10" s="1"/>
  <c r="CQ131" i="10" s="1"/>
  <c r="CN152" i="10" s="1"/>
  <c r="CI24" i="7" l="1"/>
  <c r="CF35" i="7" s="1"/>
  <c r="CJ22" i="7"/>
  <c r="CJ20" i="7" s="1"/>
  <c r="CJ14" i="7"/>
  <c r="CJ13" i="7" s="1"/>
  <c r="CR22" i="5"/>
  <c r="CO23" i="5" s="1"/>
  <c r="CO24" i="5" s="1"/>
  <c r="CK9" i="7"/>
  <c r="CK15" i="7"/>
  <c r="CF33" i="7"/>
  <c r="CS20" i="5"/>
  <c r="CT7" i="5"/>
  <c r="CT12" i="5" s="1"/>
  <c r="CT13" i="5"/>
  <c r="CS11" i="5"/>
  <c r="CF153" i="10"/>
  <c r="CF157" i="10"/>
  <c r="T24" i="6" s="1"/>
  <c r="CQ136" i="10"/>
  <c r="CQ137" i="10"/>
  <c r="CJ135" i="10"/>
  <c r="CM4" i="7"/>
  <c r="CL10" i="7"/>
  <c r="CV4" i="5"/>
  <c r="CU8" i="5"/>
  <c r="CS18" i="5"/>
  <c r="CQ143" i="10"/>
  <c r="CQ144" i="10"/>
  <c r="CS117" i="10"/>
  <c r="CR125" i="10"/>
  <c r="CR132" i="10" s="1"/>
  <c r="CR131" i="10" s="1"/>
  <c r="CJ24" i="7" l="1"/>
  <c r="CG25" i="7" s="1"/>
  <c r="CG26" i="7" s="1"/>
  <c r="CL9" i="7"/>
  <c r="CL15" i="7"/>
  <c r="CK22" i="7"/>
  <c r="CK20" i="7" s="1"/>
  <c r="CK14" i="7"/>
  <c r="CK13" i="7" s="1"/>
  <c r="CT20" i="5"/>
  <c r="CS22" i="5"/>
  <c r="CT19" i="5"/>
  <c r="CT18" i="5" s="1"/>
  <c r="CU7" i="5"/>
  <c r="CU12" i="5" s="1"/>
  <c r="CU13" i="5"/>
  <c r="CT11" i="5"/>
  <c r="CF155" i="10"/>
  <c r="T22" i="6" s="1"/>
  <c r="T20" i="6"/>
  <c r="CJ146" i="10"/>
  <c r="CR136" i="10"/>
  <c r="CR137" i="10"/>
  <c r="CN4" i="7"/>
  <c r="CM10" i="7"/>
  <c r="CK135" i="10"/>
  <c r="CK146" i="10" s="1"/>
  <c r="CU20" i="5"/>
  <c r="CW4" i="5"/>
  <c r="CV8" i="5"/>
  <c r="CR144" i="10"/>
  <c r="CR143" i="10"/>
  <c r="CQ142" i="10"/>
  <c r="CP142" i="10"/>
  <c r="CT117" i="10"/>
  <c r="CS125" i="10"/>
  <c r="CS132" i="10" s="1"/>
  <c r="CS131" i="10" s="1"/>
  <c r="CK24" i="7" l="1"/>
  <c r="CM9" i="7"/>
  <c r="CM15" i="7"/>
  <c r="CL22" i="7"/>
  <c r="CL20" i="7" s="1"/>
  <c r="CL14" i="7"/>
  <c r="CL13" i="7" s="1"/>
  <c r="CJ30" i="7"/>
  <c r="U19" i="6" s="1"/>
  <c r="U27" i="6" s="1"/>
  <c r="CT22" i="5"/>
  <c r="CU19" i="5"/>
  <c r="CV7" i="5"/>
  <c r="CV12" i="5" s="1"/>
  <c r="CV13" i="5"/>
  <c r="CU11" i="5"/>
  <c r="CN154" i="10"/>
  <c r="CG147" i="10"/>
  <c r="CG148" i="10" s="1"/>
  <c r="CS136" i="10"/>
  <c r="CS137" i="10"/>
  <c r="CL135" i="10"/>
  <c r="CO4" i="7"/>
  <c r="CN10" i="7"/>
  <c r="CU18" i="5"/>
  <c r="CV19" i="5"/>
  <c r="CX4" i="5"/>
  <c r="CW8" i="5"/>
  <c r="CR142" i="10"/>
  <c r="CS143" i="10"/>
  <c r="CS144" i="10"/>
  <c r="CU117" i="10"/>
  <c r="CT125" i="10"/>
  <c r="CT132" i="10" s="1"/>
  <c r="CT131" i="10" s="1"/>
  <c r="CL24" i="7" l="1"/>
  <c r="CN9" i="7"/>
  <c r="CN15" i="7"/>
  <c r="CM22" i="7"/>
  <c r="CM20" i="7" s="1"/>
  <c r="CJ32" i="7" s="1"/>
  <c r="U21" i="6" s="1"/>
  <c r="CM14" i="7"/>
  <c r="CM13" i="7" s="1"/>
  <c r="CJ31" i="7" s="1"/>
  <c r="CV20" i="5"/>
  <c r="CV18" i="5" s="1"/>
  <c r="CU22" i="5"/>
  <c r="CW7" i="5"/>
  <c r="CW12" i="5" s="1"/>
  <c r="CW13" i="5"/>
  <c r="CV11" i="5"/>
  <c r="CL146" i="10"/>
  <c r="CT136" i="10"/>
  <c r="CT137" i="10"/>
  <c r="CP4" i="7"/>
  <c r="CO10" i="7"/>
  <c r="CM135" i="10"/>
  <c r="CM146" i="10" s="1"/>
  <c r="CY4" i="5"/>
  <c r="CX8" i="5"/>
  <c r="CT143" i="10"/>
  <c r="CT144" i="10"/>
  <c r="CS142" i="10"/>
  <c r="CU125" i="10"/>
  <c r="CU132" i="10" s="1"/>
  <c r="CU131" i="10" s="1"/>
  <c r="CV117" i="10"/>
  <c r="CJ33" i="7" l="1"/>
  <c r="CO9" i="7"/>
  <c r="CO15" i="7"/>
  <c r="CM24" i="7"/>
  <c r="CN22" i="7"/>
  <c r="CN20" i="7" s="1"/>
  <c r="CN14" i="7"/>
  <c r="CN13" i="7" s="1"/>
  <c r="CW20" i="5"/>
  <c r="CV22" i="5"/>
  <c r="CS23" i="5" s="1"/>
  <c r="CS24" i="5" s="1"/>
  <c r="CW19" i="5"/>
  <c r="CX7" i="5"/>
  <c r="CX12" i="5" s="1"/>
  <c r="CX13" i="5"/>
  <c r="CW11" i="5"/>
  <c r="CJ153" i="10"/>
  <c r="CJ157" i="10"/>
  <c r="CU136" i="10"/>
  <c r="CU137" i="10"/>
  <c r="CN135" i="10"/>
  <c r="CP10" i="7"/>
  <c r="CX19" i="5"/>
  <c r="CZ4" i="5"/>
  <c r="CY8" i="5"/>
  <c r="CW18" i="5"/>
  <c r="CU143" i="10"/>
  <c r="CU144" i="10"/>
  <c r="CT142" i="10"/>
  <c r="CV125" i="10"/>
  <c r="CV132" i="10" s="1"/>
  <c r="CV131" i="10" s="1"/>
  <c r="CW117" i="10"/>
  <c r="CN24" i="7" l="1"/>
  <c r="CP9" i="7"/>
  <c r="CP15" i="7"/>
  <c r="CJ35" i="7"/>
  <c r="U24" i="6" s="1"/>
  <c r="CK25" i="7"/>
  <c r="CK26" i="7" s="1"/>
  <c r="CO22" i="7"/>
  <c r="CO20" i="7" s="1"/>
  <c r="CO14" i="7"/>
  <c r="CO13" i="7" s="1"/>
  <c r="CW22" i="5"/>
  <c r="CX20" i="5"/>
  <c r="CX18" i="5" s="1"/>
  <c r="CY7" i="5"/>
  <c r="CY12" i="5" s="1"/>
  <c r="CY13" i="5"/>
  <c r="CX11" i="5"/>
  <c r="CJ155" i="10"/>
  <c r="U22" i="6" s="1"/>
  <c r="U20" i="6"/>
  <c r="CN146" i="10"/>
  <c r="CV136" i="10"/>
  <c r="CV137" i="10"/>
  <c r="CR4" i="7"/>
  <c r="CQ10" i="7"/>
  <c r="CQ15" i="7" s="1"/>
  <c r="CO135" i="10"/>
  <c r="CO146" i="10" s="1"/>
  <c r="CY20" i="5"/>
  <c r="DA4" i="5"/>
  <c r="CZ8" i="5"/>
  <c r="CV144" i="10"/>
  <c r="CV143" i="10"/>
  <c r="CU142" i="10"/>
  <c r="CW125" i="10"/>
  <c r="CW132" i="10" s="1"/>
  <c r="CW131" i="10" s="1"/>
  <c r="CX117" i="10"/>
  <c r="CO24" i="7" l="1"/>
  <c r="CQ9" i="7"/>
  <c r="CQ14" i="7" s="1"/>
  <c r="CP22" i="7"/>
  <c r="CP20" i="7" s="1"/>
  <c r="CP14" i="7"/>
  <c r="CP13" i="7" s="1"/>
  <c r="CX22" i="5"/>
  <c r="CY19" i="5"/>
  <c r="CY18" i="5" s="1"/>
  <c r="CZ7" i="5"/>
  <c r="CZ12" i="5" s="1"/>
  <c r="CZ13" i="5"/>
  <c r="CY11" i="5"/>
  <c r="CK147" i="10"/>
  <c r="CK148" i="10" s="1"/>
  <c r="CW136" i="10"/>
  <c r="CW137" i="10"/>
  <c r="CP135" i="10"/>
  <c r="CS4" i="7"/>
  <c r="CR10" i="7"/>
  <c r="CZ20" i="5"/>
  <c r="DB4" i="5"/>
  <c r="DA8" i="5"/>
  <c r="CV142" i="10"/>
  <c r="CW143" i="10"/>
  <c r="CW144" i="10"/>
  <c r="CX125" i="10"/>
  <c r="CX132" i="10" s="1"/>
  <c r="CX131" i="10" s="1"/>
  <c r="CY117" i="10"/>
  <c r="CP24" i="7" l="1"/>
  <c r="CR9" i="7"/>
  <c r="CR15" i="7"/>
  <c r="CQ22" i="7"/>
  <c r="CQ20" i="7" s="1"/>
  <c r="CN30" i="7"/>
  <c r="V19" i="6" s="1"/>
  <c r="CY22" i="5"/>
  <c r="CZ19" i="5"/>
  <c r="CZ18" i="5" s="1"/>
  <c r="DA7" i="5"/>
  <c r="DA12" i="5" s="1"/>
  <c r="DA13" i="5"/>
  <c r="CZ11" i="5"/>
  <c r="CP146" i="10"/>
  <c r="CX136" i="10"/>
  <c r="CX137" i="10"/>
  <c r="CT4" i="7"/>
  <c r="CS10" i="7"/>
  <c r="CQ135" i="10"/>
  <c r="CQ146" i="10" s="1"/>
  <c r="DA20" i="5"/>
  <c r="DC4" i="5"/>
  <c r="DB8" i="5"/>
  <c r="CX143" i="10"/>
  <c r="CX144" i="10"/>
  <c r="CW142" i="10"/>
  <c r="CY125" i="10"/>
  <c r="CY132" i="10" s="1"/>
  <c r="CY131" i="10" s="1"/>
  <c r="CZ117" i="10"/>
  <c r="CQ13" i="7" l="1"/>
  <c r="CN31" i="7" s="1"/>
  <c r="CR22" i="7"/>
  <c r="CR20" i="7" s="1"/>
  <c r="CR14" i="7"/>
  <c r="CR13" i="7" s="1"/>
  <c r="CS9" i="7"/>
  <c r="CS15" i="7"/>
  <c r="CN32" i="7"/>
  <c r="V21" i="6" s="1"/>
  <c r="CZ22" i="5"/>
  <c r="CW23" i="5" s="1"/>
  <c r="CW24" i="5" s="1"/>
  <c r="DA19" i="5"/>
  <c r="DB7" i="5"/>
  <c r="DB12" i="5" s="1"/>
  <c r="DB13" i="5"/>
  <c r="DA11" i="5"/>
  <c r="CN153" i="10"/>
  <c r="CN155" i="10" s="1"/>
  <c r="CN157" i="10"/>
  <c r="CY136" i="10"/>
  <c r="CY137" i="10"/>
  <c r="CR135" i="10"/>
  <c r="CR146" i="10" s="1"/>
  <c r="CO147" i="10" s="1"/>
  <c r="CO148" i="10" s="1"/>
  <c r="CU4" i="7"/>
  <c r="CT10" i="7"/>
  <c r="DB19" i="5"/>
  <c r="DD4" i="5"/>
  <c r="DC8" i="5"/>
  <c r="DA18" i="5"/>
  <c r="CY143" i="10"/>
  <c r="CY144" i="10"/>
  <c r="CX142" i="10"/>
  <c r="DA117" i="10"/>
  <c r="CZ125" i="10"/>
  <c r="CZ132" i="10" s="1"/>
  <c r="CZ131" i="10" s="1"/>
  <c r="DA22" i="5" l="1"/>
  <c r="CQ24" i="7"/>
  <c r="CN35" i="7" s="1"/>
  <c r="CR24" i="7"/>
  <c r="CT9" i="7"/>
  <c r="CT15" i="7"/>
  <c r="CS22" i="7"/>
  <c r="CS20" i="7" s="1"/>
  <c r="CS14" i="7"/>
  <c r="V24" i="6"/>
  <c r="CN33" i="7"/>
  <c r="V22" i="6" s="1"/>
  <c r="DB20" i="5"/>
  <c r="DC7" i="5"/>
  <c r="DC12" i="5" s="1"/>
  <c r="DC13" i="5"/>
  <c r="DB11" i="5"/>
  <c r="V20" i="6"/>
  <c r="CZ136" i="10"/>
  <c r="CZ137" i="10"/>
  <c r="CV4" i="7"/>
  <c r="CU10" i="7"/>
  <c r="CS135" i="10"/>
  <c r="CS146" i="10" s="1"/>
  <c r="DB18" i="5"/>
  <c r="DC19" i="5"/>
  <c r="DE4" i="5"/>
  <c r="DD8" i="5"/>
  <c r="CZ144" i="10"/>
  <c r="CZ143" i="10"/>
  <c r="CY142" i="10"/>
  <c r="DA125" i="10"/>
  <c r="DA132" i="10" s="1"/>
  <c r="DA131" i="10" s="1"/>
  <c r="DB117" i="10"/>
  <c r="CO25" i="7" l="1"/>
  <c r="CO26" i="7" s="1"/>
  <c r="CU9" i="7"/>
  <c r="CU15" i="7"/>
  <c r="CS13" i="7"/>
  <c r="CS24" i="7" s="1"/>
  <c r="CT22" i="7"/>
  <c r="CT20" i="7" s="1"/>
  <c r="CT14" i="7"/>
  <c r="CT13" i="7" s="1"/>
  <c r="DC20" i="5"/>
  <c r="DC18" i="5" s="1"/>
  <c r="DB22" i="5"/>
  <c r="DD7" i="5"/>
  <c r="DD12" i="5" s="1"/>
  <c r="DD13" i="5"/>
  <c r="DC11" i="5"/>
  <c r="DA136" i="10"/>
  <c r="DA137" i="10"/>
  <c r="CT135" i="10"/>
  <c r="CT146" i="10" s="1"/>
  <c r="CW4" i="7"/>
  <c r="CV10" i="7"/>
  <c r="DD19" i="5"/>
  <c r="DF4" i="5"/>
  <c r="DE8" i="5"/>
  <c r="CZ142" i="10"/>
  <c r="DA143" i="10"/>
  <c r="DA144" i="10"/>
  <c r="DC117" i="10"/>
  <c r="DB125" i="10"/>
  <c r="DB132" i="10" s="1"/>
  <c r="DB131" i="10" s="1"/>
  <c r="CV9" i="7" l="1"/>
  <c r="CV15" i="7"/>
  <c r="CT24" i="7"/>
  <c r="CU22" i="7"/>
  <c r="CU20" i="7" s="1"/>
  <c r="CU14" i="7"/>
  <c r="CU13" i="7" s="1"/>
  <c r="DC22" i="5"/>
  <c r="DD20" i="5"/>
  <c r="DD18" i="5" s="1"/>
  <c r="DE7" i="5"/>
  <c r="DE12" i="5" s="1"/>
  <c r="DE13" i="5"/>
  <c r="DD11" i="5"/>
  <c r="DB136" i="10"/>
  <c r="DB137" i="10"/>
  <c r="CX4" i="7"/>
  <c r="CW10" i="7"/>
  <c r="CU135" i="10"/>
  <c r="CU146" i="10" s="1"/>
  <c r="DE19" i="5"/>
  <c r="DG4" i="5"/>
  <c r="DF8" i="5"/>
  <c r="DA142" i="10"/>
  <c r="DB143" i="10"/>
  <c r="DB144" i="10"/>
  <c r="DD117" i="10"/>
  <c r="DC125" i="10"/>
  <c r="DC132" i="10" s="1"/>
  <c r="DC131" i="10" s="1"/>
  <c r="CW9" i="7" l="1"/>
  <c r="CW15" i="7"/>
  <c r="CU24" i="7"/>
  <c r="CV22" i="7"/>
  <c r="CV20" i="7" s="1"/>
  <c r="CV14" i="7"/>
  <c r="CV13" i="7" s="1"/>
  <c r="DE20" i="5"/>
  <c r="DD22" i="5"/>
  <c r="DA23" i="5" s="1"/>
  <c r="DA24" i="5" s="1"/>
  <c r="DF7" i="5"/>
  <c r="DF12" i="5" s="1"/>
  <c r="DF13" i="5"/>
  <c r="DE11" i="5"/>
  <c r="DC136" i="10"/>
  <c r="DC137" i="10"/>
  <c r="CV135" i="10"/>
  <c r="CV146" i="10" s="1"/>
  <c r="CS147" i="10" s="1"/>
  <c r="CS148" i="10" s="1"/>
  <c r="CY4" i="7"/>
  <c r="CX10" i="7"/>
  <c r="DF19" i="5"/>
  <c r="DH4" i="5"/>
  <c r="DG8" i="5"/>
  <c r="DE18" i="5"/>
  <c r="DC143" i="10"/>
  <c r="DC144" i="10"/>
  <c r="DB142" i="10"/>
  <c r="DE117" i="10"/>
  <c r="DD125" i="10"/>
  <c r="DD132" i="10" s="1"/>
  <c r="DD131" i="10" s="1"/>
  <c r="DE22" i="5" l="1"/>
  <c r="CX9" i="7"/>
  <c r="CX15" i="7"/>
  <c r="CW22" i="7"/>
  <c r="CW20" i="7" s="1"/>
  <c r="CW14" i="7"/>
  <c r="CW13" i="7" s="1"/>
  <c r="CV24" i="7"/>
  <c r="CS25" i="7" s="1"/>
  <c r="CS26" i="7" s="1"/>
  <c r="DF20" i="5"/>
  <c r="DF18" i="5" s="1"/>
  <c r="DF11" i="5"/>
  <c r="DG7" i="5"/>
  <c r="DG12" i="5" s="1"/>
  <c r="DG13" i="5"/>
  <c r="DD136" i="10"/>
  <c r="DD137" i="10"/>
  <c r="CZ4" i="7"/>
  <c r="CY10" i="7"/>
  <c r="CW135" i="10"/>
  <c r="CW146" i="10" s="1"/>
  <c r="DI4" i="5"/>
  <c r="DH8" i="5"/>
  <c r="DC142" i="10"/>
  <c r="DD144" i="10"/>
  <c r="DD143" i="10"/>
  <c r="DF117" i="10"/>
  <c r="DE125" i="10"/>
  <c r="DE132" i="10" s="1"/>
  <c r="DE131" i="10" s="1"/>
  <c r="CW24" i="7" l="1"/>
  <c r="CX22" i="7"/>
  <c r="CX20" i="7" s="1"/>
  <c r="CX14" i="7"/>
  <c r="CX13" i="7" s="1"/>
  <c r="CY9" i="7"/>
  <c r="CY15" i="7"/>
  <c r="DF22" i="5"/>
  <c r="DG20" i="5"/>
  <c r="DG19" i="5"/>
  <c r="DH7" i="5"/>
  <c r="DH12" i="5" s="1"/>
  <c r="DH13" i="5"/>
  <c r="DG11" i="5"/>
  <c r="DE136" i="10"/>
  <c r="DE137" i="10"/>
  <c r="CX135" i="10"/>
  <c r="CX146" i="10" s="1"/>
  <c r="DA4" i="7"/>
  <c r="CZ10" i="7"/>
  <c r="DH19" i="5"/>
  <c r="DJ4" i="5"/>
  <c r="DI8" i="5"/>
  <c r="DG18" i="5"/>
  <c r="DE143" i="10"/>
  <c r="DE144" i="10"/>
  <c r="DD142" i="10"/>
  <c r="DF125" i="10"/>
  <c r="DF132" i="10" s="1"/>
  <c r="DF131" i="10" s="1"/>
  <c r="DG117" i="10"/>
  <c r="CX24" i="7" l="1"/>
  <c r="CZ9" i="7"/>
  <c r="CZ15" i="7"/>
  <c r="CY22" i="7"/>
  <c r="CY20" i="7" s="1"/>
  <c r="CY14" i="7"/>
  <c r="CY13" i="7" s="1"/>
  <c r="DG22" i="5"/>
  <c r="DH11" i="5"/>
  <c r="DI7" i="5"/>
  <c r="DI12" i="5" s="1"/>
  <c r="DI13" i="5"/>
  <c r="DH20" i="5"/>
  <c r="DH18" i="5" s="1"/>
  <c r="DF136" i="10"/>
  <c r="DF137" i="10"/>
  <c r="DB4" i="7"/>
  <c r="DA10" i="7"/>
  <c r="CY135" i="10"/>
  <c r="CY146" i="10" s="1"/>
  <c r="DI19" i="5"/>
  <c r="DK4" i="5"/>
  <c r="DJ8" i="5"/>
  <c r="DF143" i="10"/>
  <c r="DF144" i="10"/>
  <c r="DE142" i="10"/>
  <c r="DG125" i="10"/>
  <c r="DG132" i="10" s="1"/>
  <c r="DG131" i="10" s="1"/>
  <c r="DH117" i="10"/>
  <c r="DA9" i="7" l="1"/>
  <c r="DA15" i="7"/>
  <c r="CY24" i="7"/>
  <c r="CZ22" i="7"/>
  <c r="CZ20" i="7" s="1"/>
  <c r="CZ14" i="7"/>
  <c r="CZ13" i="7" s="1"/>
  <c r="DH22" i="5"/>
  <c r="DE23" i="5" s="1"/>
  <c r="DE24" i="5" s="1"/>
  <c r="DI11" i="5"/>
  <c r="DJ7" i="5"/>
  <c r="DJ12" i="5" s="1"/>
  <c r="DJ13" i="5"/>
  <c r="DI20" i="5"/>
  <c r="DI18" i="5" s="1"/>
  <c r="DG136" i="10"/>
  <c r="DG137" i="10"/>
  <c r="CZ135" i="10"/>
  <c r="CZ146" i="10" s="1"/>
  <c r="CW147" i="10" s="1"/>
  <c r="CW148" i="10" s="1"/>
  <c r="DC4" i="7"/>
  <c r="DB10" i="7"/>
  <c r="DJ19" i="5"/>
  <c r="DL4" i="5"/>
  <c r="DK8" i="5"/>
  <c r="DG143" i="10"/>
  <c r="DG144" i="10"/>
  <c r="DF142" i="10"/>
  <c r="DI117" i="10"/>
  <c r="DH125" i="10"/>
  <c r="DH132" i="10" s="1"/>
  <c r="DH131" i="10" s="1"/>
  <c r="CZ24" i="7" l="1"/>
  <c r="CW25" i="7" s="1"/>
  <c r="CW26" i="7" s="1"/>
  <c r="DA22" i="7"/>
  <c r="DA20" i="7" s="1"/>
  <c r="DA14" i="7"/>
  <c r="DA13" i="7" s="1"/>
  <c r="DB9" i="7"/>
  <c r="DB15" i="7"/>
  <c r="DI22" i="5"/>
  <c r="DJ11" i="5"/>
  <c r="DK7" i="5"/>
  <c r="DK12" i="5" s="1"/>
  <c r="DK13" i="5"/>
  <c r="DJ20" i="5"/>
  <c r="DH136" i="10"/>
  <c r="DH137" i="10"/>
  <c r="DD4" i="7"/>
  <c r="DC10" i="7"/>
  <c r="DA135" i="10"/>
  <c r="DA146" i="10" s="1"/>
  <c r="DJ18" i="5"/>
  <c r="DM4" i="5"/>
  <c r="DL8" i="5"/>
  <c r="DH144" i="10"/>
  <c r="DH143" i="10"/>
  <c r="DG142" i="10"/>
  <c r="DI125" i="10"/>
  <c r="DI132" i="10" s="1"/>
  <c r="DI131" i="10" s="1"/>
  <c r="DJ117" i="10"/>
  <c r="DA24" i="7" l="1"/>
  <c r="DC9" i="7"/>
  <c r="DC15" i="7"/>
  <c r="DB22" i="7"/>
  <c r="DB20" i="7" s="1"/>
  <c r="DB14" i="7"/>
  <c r="DB13" i="7" s="1"/>
  <c r="DK20" i="5"/>
  <c r="DJ22" i="5"/>
  <c r="DK11" i="5"/>
  <c r="DL7" i="5"/>
  <c r="DL12" i="5" s="1"/>
  <c r="DL13" i="5"/>
  <c r="DK19" i="5"/>
  <c r="DI136" i="10"/>
  <c r="DI137" i="10"/>
  <c r="DB135" i="10"/>
  <c r="DB146" i="10" s="1"/>
  <c r="DE4" i="7"/>
  <c r="DD10" i="7"/>
  <c r="DL20" i="5"/>
  <c r="DN4" i="5"/>
  <c r="DM8" i="5"/>
  <c r="DH142" i="10"/>
  <c r="DI143" i="10"/>
  <c r="DI144" i="10"/>
  <c r="DK117" i="10"/>
  <c r="DJ125" i="10"/>
  <c r="DJ132" i="10" s="1"/>
  <c r="DJ131" i="10" s="1"/>
  <c r="DD9" i="7" l="1"/>
  <c r="DD15" i="7"/>
  <c r="DB24" i="7"/>
  <c r="DC22" i="7"/>
  <c r="DC20" i="7" s="1"/>
  <c r="DC14" i="7"/>
  <c r="DC13" i="7" s="1"/>
  <c r="DK18" i="5"/>
  <c r="DK22" i="5" s="1"/>
  <c r="DL11" i="5"/>
  <c r="DM7" i="5"/>
  <c r="DM12" i="5" s="1"/>
  <c r="DM13" i="5"/>
  <c r="DL19" i="5"/>
  <c r="DL18" i="5" s="1"/>
  <c r="DJ136" i="10"/>
  <c r="DJ137" i="10"/>
  <c r="DF4" i="7"/>
  <c r="DE10" i="7"/>
  <c r="DC135" i="10"/>
  <c r="DC146" i="10" s="1"/>
  <c r="DM19" i="5"/>
  <c r="DO4" i="5"/>
  <c r="DN8" i="5"/>
  <c r="DI142" i="10"/>
  <c r="DJ143" i="10"/>
  <c r="DJ144" i="10"/>
  <c r="DK125" i="10"/>
  <c r="DK132" i="10" s="1"/>
  <c r="DK131" i="10" s="1"/>
  <c r="DL117" i="10"/>
  <c r="DD22" i="7" l="1"/>
  <c r="DD20" i="7" s="1"/>
  <c r="DD14" i="7"/>
  <c r="DD13" i="7" s="1"/>
  <c r="DE9" i="7"/>
  <c r="DE15" i="7"/>
  <c r="DC24" i="7"/>
  <c r="DL22" i="5"/>
  <c r="DI23" i="5" s="1"/>
  <c r="DI24" i="5" s="1"/>
  <c r="DM11" i="5"/>
  <c r="DN7" i="5"/>
  <c r="DN12" i="5" s="1"/>
  <c r="DN13" i="5"/>
  <c r="DM20" i="5"/>
  <c r="DM18" i="5" s="1"/>
  <c r="DK136" i="10"/>
  <c r="DK137" i="10"/>
  <c r="DD135" i="10"/>
  <c r="DD146" i="10" s="1"/>
  <c r="DA147" i="10" s="1"/>
  <c r="DA148" i="10" s="1"/>
  <c r="DG4" i="7"/>
  <c r="DF10" i="7"/>
  <c r="DN19" i="5"/>
  <c r="DP4" i="5"/>
  <c r="DO8" i="5"/>
  <c r="DJ142" i="10"/>
  <c r="DK143" i="10"/>
  <c r="DK144" i="10"/>
  <c r="DM117" i="10"/>
  <c r="DL125" i="10"/>
  <c r="DL132" i="10" s="1"/>
  <c r="DL131" i="10" s="1"/>
  <c r="DD24" i="7" l="1"/>
  <c r="DA25" i="7" s="1"/>
  <c r="DA26" i="7" s="1"/>
  <c r="DF9" i="7"/>
  <c r="DF15" i="7"/>
  <c r="DE22" i="7"/>
  <c r="DE20" i="7" s="1"/>
  <c r="DE14" i="7"/>
  <c r="DE13" i="7" s="1"/>
  <c r="DM22" i="5"/>
  <c r="DN11" i="5"/>
  <c r="DO7" i="5"/>
  <c r="DO12" i="5" s="1"/>
  <c r="DO13" i="5"/>
  <c r="DN20" i="5"/>
  <c r="DN18" i="5" s="1"/>
  <c r="DL136" i="10"/>
  <c r="DL137" i="10"/>
  <c r="DH4" i="7"/>
  <c r="DG10" i="7"/>
  <c r="DE135" i="10"/>
  <c r="DE146" i="10" s="1"/>
  <c r="DQ4" i="5"/>
  <c r="DP8" i="5"/>
  <c r="DL144" i="10"/>
  <c r="DL143" i="10"/>
  <c r="DK142" i="10"/>
  <c r="DM125" i="10"/>
  <c r="DM132" i="10" s="1"/>
  <c r="DM131" i="10" s="1"/>
  <c r="DN117" i="10"/>
  <c r="DG9" i="7" l="1"/>
  <c r="DG15" i="7"/>
  <c r="DE24" i="7"/>
  <c r="DF22" i="7"/>
  <c r="DF20" i="7" s="1"/>
  <c r="DF14" i="7"/>
  <c r="DF13" i="7" s="1"/>
  <c r="DO20" i="5"/>
  <c r="DN22" i="5"/>
  <c r="DO11" i="5"/>
  <c r="DP7" i="5"/>
  <c r="DP12" i="5" s="1"/>
  <c r="DP13" i="5"/>
  <c r="DO19" i="5"/>
  <c r="DM136" i="10"/>
  <c r="DM137" i="10"/>
  <c r="DF135" i="10"/>
  <c r="DF146" i="10" s="1"/>
  <c r="DI4" i="7"/>
  <c r="DH10" i="7"/>
  <c r="DP20" i="5"/>
  <c r="DR4" i="5"/>
  <c r="DQ8" i="5"/>
  <c r="DL142" i="10"/>
  <c r="DM143" i="10"/>
  <c r="DM144" i="10"/>
  <c r="DO117" i="10"/>
  <c r="DN125" i="10"/>
  <c r="DN132" i="10" s="1"/>
  <c r="DN131" i="10" s="1"/>
  <c r="DG22" i="7" l="1"/>
  <c r="DG20" i="7" s="1"/>
  <c r="DG14" i="7"/>
  <c r="DG13" i="7" s="1"/>
  <c r="DH9" i="7"/>
  <c r="DH15" i="7"/>
  <c r="DF24" i="7"/>
  <c r="DO18" i="5"/>
  <c r="DO22" i="5" s="1"/>
  <c r="DP11" i="5"/>
  <c r="DQ7" i="5"/>
  <c r="DQ12" i="5" s="1"/>
  <c r="DQ13" i="5"/>
  <c r="DP19" i="5"/>
  <c r="DP18" i="5" s="1"/>
  <c r="DN136" i="10"/>
  <c r="DN137" i="10"/>
  <c r="DJ4" i="7"/>
  <c r="DI10" i="7"/>
  <c r="DG135" i="10"/>
  <c r="DG146" i="10" s="1"/>
  <c r="DQ19" i="5"/>
  <c r="DS4" i="5"/>
  <c r="DR8" i="5"/>
  <c r="DN143" i="10"/>
  <c r="DN144" i="10"/>
  <c r="DM142" i="10"/>
  <c r="DP117" i="10"/>
  <c r="DO125" i="10"/>
  <c r="DO132" i="10" s="1"/>
  <c r="DO131" i="10" s="1"/>
  <c r="DI9" i="7" l="1"/>
  <c r="DI15" i="7"/>
  <c r="DH22" i="7"/>
  <c r="DH20" i="7" s="1"/>
  <c r="DH14" i="7"/>
  <c r="DH13" i="7" s="1"/>
  <c r="DG24" i="7"/>
  <c r="DP22" i="5"/>
  <c r="DM23" i="5" s="1"/>
  <c r="DM24" i="5" s="1"/>
  <c r="DQ11" i="5"/>
  <c r="DR7" i="5"/>
  <c r="DR12" i="5" s="1"/>
  <c r="DR13" i="5"/>
  <c r="DQ20" i="5"/>
  <c r="DO136" i="10"/>
  <c r="DO137" i="10"/>
  <c r="DH135" i="10"/>
  <c r="DH146" i="10" s="1"/>
  <c r="DE147" i="10" s="1"/>
  <c r="DE148" i="10" s="1"/>
  <c r="DK4" i="7"/>
  <c r="DJ10" i="7"/>
  <c r="DQ18" i="5"/>
  <c r="DT4" i="5"/>
  <c r="DS8" i="5"/>
  <c r="DO143" i="10"/>
  <c r="DO144" i="10"/>
  <c r="DN142" i="10"/>
  <c r="DP125" i="10"/>
  <c r="DP132" i="10" s="1"/>
  <c r="DP131" i="10" s="1"/>
  <c r="DQ117" i="10"/>
  <c r="DQ22" i="5" l="1"/>
  <c r="DI22" i="7"/>
  <c r="DI20" i="7" s="1"/>
  <c r="DI14" i="7"/>
  <c r="DI13" i="7" s="1"/>
  <c r="DJ9" i="7"/>
  <c r="DJ15" i="7"/>
  <c r="DH24" i="7"/>
  <c r="DE25" i="7" s="1"/>
  <c r="DE26" i="7" s="1"/>
  <c r="DR20" i="5"/>
  <c r="DR11" i="5"/>
  <c r="DS7" i="5"/>
  <c r="DS12" i="5" s="1"/>
  <c r="DS13" i="5"/>
  <c r="DR19" i="5"/>
  <c r="DR18" i="5" s="1"/>
  <c r="DP136" i="10"/>
  <c r="DP137" i="10"/>
  <c r="DL4" i="7"/>
  <c r="DK10" i="7"/>
  <c r="DI135" i="10"/>
  <c r="DI146" i="10" s="1"/>
  <c r="DS19" i="5"/>
  <c r="DU4" i="5"/>
  <c r="DT8" i="5"/>
  <c r="DP144" i="10"/>
  <c r="DP143" i="10"/>
  <c r="DO142" i="10"/>
  <c r="DQ125" i="10"/>
  <c r="DQ132" i="10" s="1"/>
  <c r="DQ131" i="10" s="1"/>
  <c r="DR117" i="10"/>
  <c r="DI24" i="7" l="1"/>
  <c r="DJ22" i="7"/>
  <c r="DJ20" i="7" s="1"/>
  <c r="DJ14" i="7"/>
  <c r="DJ13" i="7" s="1"/>
  <c r="DK9" i="7"/>
  <c r="DK15" i="7"/>
  <c r="DR22" i="5"/>
  <c r="DS11" i="5"/>
  <c r="DT7" i="5"/>
  <c r="DT12" i="5" s="1"/>
  <c r="DT13" i="5"/>
  <c r="DS20" i="5"/>
  <c r="DS18" i="5" s="1"/>
  <c r="DQ136" i="10"/>
  <c r="DQ137" i="10"/>
  <c r="DJ135" i="10"/>
  <c r="DJ146" i="10" s="1"/>
  <c r="DM4" i="7"/>
  <c r="DL10" i="7"/>
  <c r="DT19" i="5"/>
  <c r="DV4" i="5"/>
  <c r="DU8" i="5"/>
  <c r="DQ143" i="10"/>
  <c r="DQ144" i="10"/>
  <c r="DP142" i="10"/>
  <c r="DR125" i="10"/>
  <c r="DR132" i="10" s="1"/>
  <c r="DR131" i="10" s="1"/>
  <c r="DS117" i="10"/>
  <c r="DL9" i="7" l="1"/>
  <c r="DL15" i="7"/>
  <c r="DK22" i="7"/>
  <c r="DK20" i="7" s="1"/>
  <c r="DK14" i="7"/>
  <c r="DK13" i="7" s="1"/>
  <c r="DJ24" i="7"/>
  <c r="DS22" i="5"/>
  <c r="DT11" i="5"/>
  <c r="DU7" i="5"/>
  <c r="DU12" i="5" s="1"/>
  <c r="DU13" i="5"/>
  <c r="DT20" i="5"/>
  <c r="DT18" i="5" s="1"/>
  <c r="DR136" i="10"/>
  <c r="DR137" i="10"/>
  <c r="DN4" i="7"/>
  <c r="DM10" i="7"/>
  <c r="DK135" i="10"/>
  <c r="DK146" i="10" s="1"/>
  <c r="DU19" i="5"/>
  <c r="DW4" i="5"/>
  <c r="DV8" i="5"/>
  <c r="DR143" i="10"/>
  <c r="DR144" i="10"/>
  <c r="DQ142" i="10"/>
  <c r="DS125" i="10"/>
  <c r="DS132" i="10" s="1"/>
  <c r="DS131" i="10" s="1"/>
  <c r="DT117" i="10"/>
  <c r="DK24" i="7" l="1"/>
  <c r="DL22" i="7"/>
  <c r="DL20" i="7" s="1"/>
  <c r="DL14" i="7"/>
  <c r="DL13" i="7" s="1"/>
  <c r="DM9" i="7"/>
  <c r="DM15" i="7"/>
  <c r="DT22" i="5"/>
  <c r="DQ23" i="5" s="1"/>
  <c r="DQ24" i="5" s="1"/>
  <c r="DU11" i="5"/>
  <c r="DV7" i="5"/>
  <c r="DV12" i="5" s="1"/>
  <c r="DV13" i="5"/>
  <c r="DU20" i="5"/>
  <c r="DU18" i="5" s="1"/>
  <c r="DS136" i="10"/>
  <c r="DS137" i="10"/>
  <c r="DL135" i="10"/>
  <c r="DL146" i="10" s="1"/>
  <c r="DI147" i="10" s="1"/>
  <c r="DI148" i="10" s="1"/>
  <c r="DO4" i="7"/>
  <c r="DN10" i="7"/>
  <c r="DV19" i="5"/>
  <c r="DX4" i="5"/>
  <c r="DW8" i="5"/>
  <c r="DS143" i="10"/>
  <c r="DS144" i="10"/>
  <c r="DR142" i="10"/>
  <c r="DU117" i="10"/>
  <c r="DT125" i="10"/>
  <c r="DT132" i="10" s="1"/>
  <c r="DT131" i="10" s="1"/>
  <c r="DU22" i="5" l="1"/>
  <c r="DL24" i="7"/>
  <c r="DI25" i="7" s="1"/>
  <c r="DI26" i="7" s="1"/>
  <c r="DM22" i="7"/>
  <c r="DM20" i="7" s="1"/>
  <c r="DM14" i="7"/>
  <c r="DM13" i="7" s="1"/>
  <c r="DN9" i="7"/>
  <c r="DN15" i="7"/>
  <c r="DV11" i="5"/>
  <c r="DW7" i="5"/>
  <c r="DW12" i="5" s="1"/>
  <c r="DW13" i="5"/>
  <c r="DV20" i="5"/>
  <c r="DT136" i="10"/>
  <c r="DT137" i="10"/>
  <c r="DP4" i="7"/>
  <c r="DO10" i="7"/>
  <c r="DM135" i="10"/>
  <c r="DM146" i="10" s="1"/>
  <c r="DV18" i="5"/>
  <c r="DY4" i="5"/>
  <c r="DX8" i="5"/>
  <c r="DS142" i="10"/>
  <c r="DT144" i="10"/>
  <c r="DT143" i="10"/>
  <c r="DU125" i="10"/>
  <c r="DU132" i="10" s="1"/>
  <c r="DU131" i="10" s="1"/>
  <c r="DV117" i="10"/>
  <c r="DO9" i="7" l="1"/>
  <c r="DO15" i="7"/>
  <c r="DN22" i="7"/>
  <c r="DN20" i="7" s="1"/>
  <c r="DN14" i="7"/>
  <c r="DN13" i="7" s="1"/>
  <c r="DM24" i="7"/>
  <c r="DV22" i="5"/>
  <c r="DW11" i="5"/>
  <c r="DW20" i="5"/>
  <c r="DX7" i="5"/>
  <c r="DX12" i="5" s="1"/>
  <c r="DX13" i="5"/>
  <c r="DW19" i="5"/>
  <c r="DU136" i="10"/>
  <c r="DU137" i="10"/>
  <c r="DN135" i="10"/>
  <c r="DN146" i="10" s="1"/>
  <c r="DQ4" i="7"/>
  <c r="DP10" i="7"/>
  <c r="DX19" i="5"/>
  <c r="DZ4" i="5"/>
  <c r="DY8" i="5"/>
  <c r="DT142" i="10"/>
  <c r="DU143" i="10"/>
  <c r="DU144" i="10"/>
  <c r="DW117" i="10"/>
  <c r="DV125" i="10"/>
  <c r="DV132" i="10" s="1"/>
  <c r="DV131" i="10" s="1"/>
  <c r="DN24" i="7" l="1"/>
  <c r="DO22" i="7"/>
  <c r="DO20" i="7" s="1"/>
  <c r="DO14" i="7"/>
  <c r="DO13" i="7" s="1"/>
  <c r="DP9" i="7"/>
  <c r="DP15" i="7"/>
  <c r="DW18" i="5"/>
  <c r="DW22" i="5" s="1"/>
  <c r="DX11" i="5"/>
  <c r="DY7" i="5"/>
  <c r="DY12" i="5" s="1"/>
  <c r="DY13" i="5"/>
  <c r="DX20" i="5"/>
  <c r="DX18" i="5" s="1"/>
  <c r="DV136" i="10"/>
  <c r="DV137" i="10"/>
  <c r="DR4" i="7"/>
  <c r="DQ10" i="7"/>
  <c r="DO135" i="10"/>
  <c r="DO146" i="10" s="1"/>
  <c r="EA4" i="5"/>
  <c r="DZ8" i="5"/>
  <c r="DV143" i="10"/>
  <c r="DV144" i="10"/>
  <c r="DU142" i="10"/>
  <c r="DW125" i="10"/>
  <c r="DW132" i="10" s="1"/>
  <c r="DW131" i="10" s="1"/>
  <c r="DX117" i="10"/>
  <c r="DQ9" i="7" l="1"/>
  <c r="DQ15" i="7"/>
  <c r="DP22" i="7"/>
  <c r="DP20" i="7" s="1"/>
  <c r="DP14" i="7"/>
  <c r="DP13" i="7" s="1"/>
  <c r="DO24" i="7"/>
  <c r="DX22" i="5"/>
  <c r="DU23" i="5" s="1"/>
  <c r="DU24" i="5" s="1"/>
  <c r="DY11" i="5"/>
  <c r="DY20" i="5"/>
  <c r="DZ7" i="5"/>
  <c r="DZ12" i="5" s="1"/>
  <c r="DZ13" i="5"/>
  <c r="DY19" i="5"/>
  <c r="DW136" i="10"/>
  <c r="DW137" i="10"/>
  <c r="DP135" i="10"/>
  <c r="DP146" i="10" s="1"/>
  <c r="DM147" i="10" s="1"/>
  <c r="DM148" i="10" s="1"/>
  <c r="DS4" i="7"/>
  <c r="DR10" i="7"/>
  <c r="DZ19" i="5"/>
  <c r="EB4" i="5"/>
  <c r="EA8" i="5"/>
  <c r="DY18" i="5"/>
  <c r="DW143" i="10"/>
  <c r="DW144" i="10"/>
  <c r="DV142" i="10"/>
  <c r="DY117" i="10"/>
  <c r="DX125" i="10"/>
  <c r="DX132" i="10" s="1"/>
  <c r="DX131" i="10" s="1"/>
  <c r="DY22" i="5" l="1"/>
  <c r="DR9" i="7"/>
  <c r="DR15" i="7"/>
  <c r="DQ22" i="7"/>
  <c r="DQ20" i="7" s="1"/>
  <c r="DQ14" i="7"/>
  <c r="DQ13" i="7" s="1"/>
  <c r="DP24" i="7"/>
  <c r="DM25" i="7" s="1"/>
  <c r="DM26" i="7" s="1"/>
  <c r="DZ11" i="5"/>
  <c r="EA7" i="5"/>
  <c r="EA12" i="5" s="1"/>
  <c r="EA13" i="5"/>
  <c r="DZ20" i="5"/>
  <c r="DZ18" i="5" s="1"/>
  <c r="DX136" i="10"/>
  <c r="DX137" i="10"/>
  <c r="DT4" i="7"/>
  <c r="DS10" i="7"/>
  <c r="DQ135" i="10"/>
  <c r="DQ146" i="10" s="1"/>
  <c r="EA19" i="5"/>
  <c r="EC4" i="5"/>
  <c r="EB8" i="5"/>
  <c r="DW142" i="10"/>
  <c r="DX144" i="10"/>
  <c r="DX143" i="10"/>
  <c r="DY125" i="10"/>
  <c r="DY132" i="10" s="1"/>
  <c r="DY131" i="10" s="1"/>
  <c r="DZ117" i="10"/>
  <c r="DZ22" i="5" l="1"/>
  <c r="DQ24" i="7"/>
  <c r="DS9" i="7"/>
  <c r="DS15" i="7"/>
  <c r="DR22" i="7"/>
  <c r="DR20" i="7" s="1"/>
  <c r="DR14" i="7"/>
  <c r="DR13" i="7" s="1"/>
  <c r="EA11" i="5"/>
  <c r="EB7" i="5"/>
  <c r="EB12" i="5" s="1"/>
  <c r="EB13" i="5"/>
  <c r="EA20" i="5"/>
  <c r="EA18" i="5" s="1"/>
  <c r="DY136" i="10"/>
  <c r="DY137" i="10"/>
  <c r="DR135" i="10"/>
  <c r="DR146" i="10" s="1"/>
  <c r="DU4" i="7"/>
  <c r="DT10" i="7"/>
  <c r="ED4" i="5"/>
  <c r="EC8" i="5"/>
  <c r="EB19" i="5"/>
  <c r="DX142" i="10"/>
  <c r="DY143" i="10"/>
  <c r="DY144" i="10"/>
  <c r="EA117" i="10"/>
  <c r="DZ125" i="10"/>
  <c r="DZ132" i="10" s="1"/>
  <c r="DZ131" i="10" s="1"/>
  <c r="DT9" i="7" l="1"/>
  <c r="DT15" i="7"/>
  <c r="DR24" i="7"/>
  <c r="DS22" i="7"/>
  <c r="DS20" i="7" s="1"/>
  <c r="DS14" i="7"/>
  <c r="DS13" i="7" s="1"/>
  <c r="EA22" i="5"/>
  <c r="EB11" i="5"/>
  <c r="EB20" i="5"/>
  <c r="EB18" i="5" s="1"/>
  <c r="EC7" i="5"/>
  <c r="EC12" i="5" s="1"/>
  <c r="EC13" i="5"/>
  <c r="DZ136" i="10"/>
  <c r="DZ137" i="10"/>
  <c r="DV4" i="7"/>
  <c r="DU10" i="7"/>
  <c r="DS135" i="10"/>
  <c r="DS146" i="10" s="1"/>
  <c r="ED8" i="5"/>
  <c r="ED13" i="5" s="1"/>
  <c r="EE13" i="5" s="1"/>
  <c r="EE4" i="5"/>
  <c r="DZ143" i="10"/>
  <c r="DZ144" i="10"/>
  <c r="DY142" i="10"/>
  <c r="EB117" i="10"/>
  <c r="EA125" i="10"/>
  <c r="EA132" i="10" s="1"/>
  <c r="EA131" i="10" s="1"/>
  <c r="DT22" i="7" l="1"/>
  <c r="DT20" i="7" s="1"/>
  <c r="DT14" i="7"/>
  <c r="DT13" i="7" s="1"/>
  <c r="DU9" i="7"/>
  <c r="DU15" i="7"/>
  <c r="DS24" i="7"/>
  <c r="EC20" i="5"/>
  <c r="EB22" i="5"/>
  <c r="EC19" i="5"/>
  <c r="EC11" i="5"/>
  <c r="EA136" i="10"/>
  <c r="EA137" i="10"/>
  <c r="DT135" i="10"/>
  <c r="DT146" i="10" s="1"/>
  <c r="DQ147" i="10" s="1"/>
  <c r="DQ148" i="10" s="1"/>
  <c r="DW4" i="7"/>
  <c r="DV10" i="7"/>
  <c r="DY23" i="5"/>
  <c r="DY24" i="5" s="1"/>
  <c r="ED7" i="5"/>
  <c r="ED12" i="5" s="1"/>
  <c r="EE8" i="5"/>
  <c r="EC18" i="5"/>
  <c r="EA143" i="10"/>
  <c r="EA144" i="10"/>
  <c r="DZ142" i="10"/>
  <c r="EB125" i="10"/>
  <c r="EB132" i="10" s="1"/>
  <c r="EB131" i="10" s="1"/>
  <c r="EC117" i="10"/>
  <c r="DT24" i="7" l="1"/>
  <c r="DQ25" i="7" s="1"/>
  <c r="DQ26" i="7" s="1"/>
  <c r="DU22" i="7"/>
  <c r="DU20" i="7" s="1"/>
  <c r="DU14" i="7"/>
  <c r="DU13" i="7" s="1"/>
  <c r="EC22" i="5"/>
  <c r="DV9" i="7"/>
  <c r="DV15" i="7"/>
  <c r="ED11" i="5"/>
  <c r="EE12" i="5"/>
  <c r="EE11" i="5"/>
  <c r="EB136" i="10"/>
  <c r="EB137" i="10"/>
  <c r="DX4" i="7"/>
  <c r="DW10" i="7"/>
  <c r="DW15" i="7" s="1"/>
  <c r="DU135" i="10"/>
  <c r="DU146" i="10" s="1"/>
  <c r="ED19" i="5"/>
  <c r="ED20" i="5"/>
  <c r="EE20" i="5" s="1"/>
  <c r="EE7" i="5"/>
  <c r="EB144" i="10"/>
  <c r="EB143" i="10"/>
  <c r="EA142" i="10"/>
  <c r="EC125" i="10"/>
  <c r="EC132" i="10" s="1"/>
  <c r="EC131" i="10" s="1"/>
  <c r="ED117" i="10"/>
  <c r="DV22" i="7" l="1"/>
  <c r="DV14" i="7"/>
  <c r="DV13" i="7" s="1"/>
  <c r="DU24" i="7"/>
  <c r="EC136" i="10"/>
  <c r="EC137" i="10"/>
  <c r="DW9" i="7"/>
  <c r="DV135" i="10"/>
  <c r="DV146" i="10" s="1"/>
  <c r="DY4" i="7"/>
  <c r="DX10" i="7"/>
  <c r="EE21" i="7"/>
  <c r="ED18" i="5"/>
  <c r="EE19" i="5"/>
  <c r="ED125" i="10"/>
  <c r="EE117" i="10"/>
  <c r="EC143" i="10"/>
  <c r="EC144" i="10"/>
  <c r="EB142" i="10"/>
  <c r="DW22" i="7" l="1"/>
  <c r="DW20" i="7" s="1"/>
  <c r="DW14" i="7"/>
  <c r="DW13" i="7" s="1"/>
  <c r="DX9" i="7"/>
  <c r="DX15" i="7"/>
  <c r="DV20" i="7"/>
  <c r="DV24" i="7" s="1"/>
  <c r="DZ4" i="7"/>
  <c r="DY10" i="7"/>
  <c r="DW135" i="10"/>
  <c r="DW146" i="10" s="1"/>
  <c r="EE18" i="5"/>
  <c r="ED22" i="5"/>
  <c r="ED132" i="10"/>
  <c r="EE125" i="10"/>
  <c r="EC142" i="10"/>
  <c r="DW24" i="7" l="1"/>
  <c r="DX22" i="7"/>
  <c r="DX20" i="7" s="1"/>
  <c r="DX14" i="7"/>
  <c r="DX13" i="7" s="1"/>
  <c r="DY9" i="7"/>
  <c r="DY15" i="7"/>
  <c r="DX135" i="10"/>
  <c r="DX146" i="10" s="1"/>
  <c r="DU147" i="10" s="1"/>
  <c r="DU148" i="10" s="1"/>
  <c r="EA4" i="7"/>
  <c r="DZ10" i="7"/>
  <c r="EE22" i="5"/>
  <c r="EC23" i="5"/>
  <c r="EC24" i="5" s="1"/>
  <c r="ED131" i="10"/>
  <c r="EE132" i="10"/>
  <c r="DZ9" i="7" l="1"/>
  <c r="DZ15" i="7"/>
  <c r="DY22" i="7"/>
  <c r="DY14" i="7"/>
  <c r="DY13" i="7" s="1"/>
  <c r="DX24" i="7"/>
  <c r="DU25" i="7" s="1"/>
  <c r="DU26" i="7" s="1"/>
  <c r="ED136" i="10"/>
  <c r="ED137" i="10"/>
  <c r="EB4" i="7"/>
  <c r="EA10" i="7"/>
  <c r="DY135" i="10"/>
  <c r="DY146" i="10" s="1"/>
  <c r="EE24" i="5"/>
  <c r="G25" i="5" s="1"/>
  <c r="EE23" i="5"/>
  <c r="EE131" i="10"/>
  <c r="ED143" i="10"/>
  <c r="ED144" i="10"/>
  <c r="EE144" i="10" s="1"/>
  <c r="DY20" i="7" l="1"/>
  <c r="DZ22" i="7"/>
  <c r="DZ20" i="7" s="1"/>
  <c r="DZ14" i="7"/>
  <c r="DZ13" i="7" s="1"/>
  <c r="EA9" i="7"/>
  <c r="EA15" i="7"/>
  <c r="D12" i="6"/>
  <c r="DZ135" i="10"/>
  <c r="DZ146" i="10" s="1"/>
  <c r="EC4" i="7"/>
  <c r="EB10" i="7"/>
  <c r="ED142" i="10"/>
  <c r="EE143" i="10"/>
  <c r="DZ24" i="7" l="1"/>
  <c r="EA22" i="7"/>
  <c r="EA20" i="7" s="1"/>
  <c r="EA14" i="7"/>
  <c r="EA13" i="7" s="1"/>
  <c r="DY24" i="7"/>
  <c r="EB9" i="7"/>
  <c r="EB15" i="7"/>
  <c r="D14" i="6"/>
  <c r="D13" i="6"/>
  <c r="ED4" i="7"/>
  <c r="EC10" i="7"/>
  <c r="EA135" i="10"/>
  <c r="EA146" i="10" s="1"/>
  <c r="EE142" i="10"/>
  <c r="EC9" i="7" l="1"/>
  <c r="EC15" i="7"/>
  <c r="EB22" i="7"/>
  <c r="EB14" i="7"/>
  <c r="EB13" i="7" s="1"/>
  <c r="EA24" i="7"/>
  <c r="EB135" i="10"/>
  <c r="EB146" i="10" s="1"/>
  <c r="DY147" i="10" s="1"/>
  <c r="DY148" i="10" s="1"/>
  <c r="EE4" i="7"/>
  <c r="ED10" i="7"/>
  <c r="ED15" i="7" s="1"/>
  <c r="EE15" i="7" s="1"/>
  <c r="EE137" i="10"/>
  <c r="EB20" i="7" l="1"/>
  <c r="EC22" i="7"/>
  <c r="EC20" i="7" s="1"/>
  <c r="EC14" i="7"/>
  <c r="EC13" i="7" s="1"/>
  <c r="ED9" i="7"/>
  <c r="EE10" i="7"/>
  <c r="EC135" i="10"/>
  <c r="EC146" i="10" s="1"/>
  <c r="ED22" i="7" l="1"/>
  <c r="ED14" i="7"/>
  <c r="EC24" i="7"/>
  <c r="EB24" i="7"/>
  <c r="DY25" i="7" s="1"/>
  <c r="DY26" i="7" s="1"/>
  <c r="EE136" i="10"/>
  <c r="ED135" i="10"/>
  <c r="EE9" i="7"/>
  <c r="ED13" i="7" l="1"/>
  <c r="EE14" i="7"/>
  <c r="ED20" i="7"/>
  <c r="EE20" i="7" s="1"/>
  <c r="EE22" i="7"/>
  <c r="ED146" i="10"/>
  <c r="EE135" i="10"/>
  <c r="EE13" i="7" l="1"/>
  <c r="ED24" i="7"/>
  <c r="EC25" i="7" s="1"/>
  <c r="EC26" i="7" s="1"/>
  <c r="EE26" i="7" s="1"/>
  <c r="EC147" i="10"/>
  <c r="EE146" i="10"/>
  <c r="EE24" i="7" l="1"/>
  <c r="EC148" i="10"/>
  <c r="EE148" i="10" s="1"/>
  <c r="G149" i="10" s="1"/>
  <c r="EE147" i="10"/>
  <c r="G27" i="7" l="1"/>
  <c r="H13" i="6" s="1"/>
  <c r="K9" i="6" s="1"/>
  <c r="EE25" i="7"/>
  <c r="G150" i="10"/>
  <c r="F10" i="6" l="1"/>
  <c r="F12" i="6" s="1"/>
  <c r="F13" i="6" s="1"/>
  <c r="I13" i="6" s="1"/>
  <c r="N88" i="3" l="1"/>
</calcChain>
</file>

<file path=xl/comments1.xml><?xml version="1.0" encoding="utf-8"?>
<comments xmlns="http://schemas.openxmlformats.org/spreadsheetml/2006/main">
  <authors>
    <author>作者</author>
  </authors>
  <commentList>
    <comment ref="I4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按餐厅税后销售额4%</t>
        </r>
      </text>
    </comment>
  </commentList>
</comments>
</file>

<file path=xl/sharedStrings.xml><?xml version="1.0" encoding="utf-8"?>
<sst xmlns="http://schemas.openxmlformats.org/spreadsheetml/2006/main" count="1963" uniqueCount="691">
  <si>
    <t>商业</t>
  </si>
  <si>
    <t>车库</t>
  </si>
  <si>
    <t>写字楼</t>
  </si>
  <si>
    <t>1层夹层小计</t>
  </si>
  <si>
    <t>1层22个商铺小计</t>
  </si>
  <si>
    <t>2层18个商铺小计</t>
  </si>
  <si>
    <t>3层合计</t>
  </si>
  <si>
    <t>4层45个商铺小计</t>
  </si>
  <si>
    <t>5层2个商铺小计</t>
  </si>
  <si>
    <t>6层小计</t>
  </si>
  <si>
    <t>7层4个商铺小计</t>
  </si>
  <si>
    <t>合计</t>
  </si>
  <si>
    <t>合计</t>
    <phoneticPr fontId="2" type="noConversion"/>
  </si>
  <si>
    <t>负一层商业小计</t>
    <phoneticPr fontId="2" type="noConversion"/>
  </si>
  <si>
    <t>套数</t>
    <phoneticPr fontId="2" type="noConversion"/>
  </si>
  <si>
    <t>建筑面积</t>
    <phoneticPr fontId="2" type="noConversion"/>
  </si>
  <si>
    <t>-1、-3层</t>
    <phoneticPr fontId="2" type="noConversion"/>
  </si>
  <si>
    <t>9-11、13-14、16-17、19-21、23-25、27-33、34-36层部分</t>
    <phoneticPr fontId="2" type="noConversion"/>
  </si>
  <si>
    <t>2017年</t>
  </si>
  <si>
    <t>2015年</t>
  </si>
  <si>
    <t>2016年</t>
  </si>
  <si>
    <t>2018年1-3月</t>
  </si>
  <si>
    <t>物业管理费收入</t>
  </si>
  <si>
    <t>商铺物业收入</t>
  </si>
  <si>
    <t>写字楼物业收入</t>
  </si>
  <si>
    <t>车位费收入</t>
  </si>
  <si>
    <t>有偿服务收入</t>
  </si>
  <si>
    <t>场地使用收入</t>
  </si>
  <si>
    <t>广告位出租</t>
  </si>
  <si>
    <t>转售电收入</t>
  </si>
  <si>
    <t>转售水收入</t>
  </si>
  <si>
    <t>其他收入</t>
  </si>
  <si>
    <t>管理费用</t>
  </si>
  <si>
    <t>营业成本</t>
  </si>
  <si>
    <t>维修费</t>
  </si>
  <si>
    <t>清洁、推广、劳务费</t>
  </si>
  <si>
    <t>能源费</t>
  </si>
  <si>
    <t>改造费</t>
  </si>
  <si>
    <t>物业公司收入支出统计</t>
    <phoneticPr fontId="2" type="noConversion"/>
  </si>
  <si>
    <t>2015-2017年租金收入统计表</t>
  </si>
  <si>
    <t>租金收入</t>
  </si>
  <si>
    <t>管理费</t>
  </si>
  <si>
    <t>总价</t>
  </si>
  <si>
    <t>增长率</t>
  </si>
  <si>
    <t>商铺统计</t>
  </si>
  <si>
    <t>剔除18号楼</t>
  </si>
  <si>
    <t>合计剔除</t>
  </si>
  <si>
    <t>02</t>
    <phoneticPr fontId="2" type="noConversion"/>
  </si>
  <si>
    <t>全家便利店</t>
  </si>
  <si>
    <t>商业</t>
    <phoneticPr fontId="2" type="noConversion"/>
  </si>
  <si>
    <t>1</t>
    <phoneticPr fontId="2" type="noConversion"/>
  </si>
  <si>
    <t>夹层、107</t>
    <phoneticPr fontId="2" type="noConversion"/>
  </si>
  <si>
    <t>麦当劳</t>
  </si>
  <si>
    <t>101、108</t>
    <phoneticPr fontId="2" type="noConversion"/>
  </si>
  <si>
    <t>阿玛施服装</t>
  </si>
  <si>
    <t>111、112、113、115、116</t>
  </si>
  <si>
    <t>麦的师咖啡</t>
  </si>
  <si>
    <t>117、118、119</t>
    <phoneticPr fontId="2" type="noConversion"/>
  </si>
  <si>
    <t>C.T台北</t>
  </si>
  <si>
    <t>125</t>
    <phoneticPr fontId="2" type="noConversion"/>
  </si>
  <si>
    <t>OK便利店</t>
  </si>
  <si>
    <t>A101、A103、A104、A105-2</t>
  </si>
  <si>
    <t>完美</t>
  </si>
  <si>
    <t>A102、A105-1、A107-1、A108、A109</t>
  </si>
  <si>
    <t>网咖</t>
  </si>
  <si>
    <t>A106、A107-2</t>
  </si>
  <si>
    <t>多特瑞</t>
  </si>
  <si>
    <t>2</t>
    <phoneticPr fontId="2" type="noConversion"/>
  </si>
  <si>
    <t>203</t>
    <phoneticPr fontId="2" type="noConversion"/>
  </si>
  <si>
    <t>铂登</t>
  </si>
  <si>
    <t>206</t>
    <phoneticPr fontId="2" type="noConversion"/>
  </si>
  <si>
    <t>阿玛施眼科</t>
  </si>
  <si>
    <t>221、225</t>
    <phoneticPr fontId="2" type="noConversion"/>
  </si>
  <si>
    <t>眼科医疗</t>
  </si>
  <si>
    <t>227</t>
    <phoneticPr fontId="2" type="noConversion"/>
  </si>
  <si>
    <t>228</t>
    <phoneticPr fontId="2" type="noConversion"/>
  </si>
  <si>
    <t>哥弟真的好</t>
  </si>
  <si>
    <t>229</t>
    <phoneticPr fontId="2" type="noConversion"/>
  </si>
  <si>
    <t>230</t>
    <phoneticPr fontId="2" type="noConversion"/>
  </si>
  <si>
    <t>A201-A208</t>
  </si>
  <si>
    <t>爱来美容</t>
  </si>
  <si>
    <t>3</t>
    <phoneticPr fontId="2" type="noConversion"/>
  </si>
  <si>
    <t>377</t>
  </si>
  <si>
    <t>毛家饭庄</t>
  </si>
  <si>
    <t>309、313、313A、315、317</t>
  </si>
  <si>
    <t>343、343A、347-351、353A、355、363A-367</t>
  </si>
  <si>
    <t>铂登公司</t>
  </si>
  <si>
    <t>335、368、369、370</t>
  </si>
  <si>
    <t>A301、A302、A303、A304-1、A305</t>
  </si>
  <si>
    <t>礼服</t>
  </si>
  <si>
    <t>A304-2、A307-2、A308、A309</t>
  </si>
  <si>
    <t>美容美发培训</t>
  </si>
  <si>
    <t>A306、A307-1</t>
  </si>
  <si>
    <t>LIMIL时装</t>
  </si>
  <si>
    <t>4、5、6、7</t>
    <phoneticPr fontId="2" type="noConversion"/>
  </si>
  <si>
    <t>4层、5层、603、702</t>
    <phoneticPr fontId="2" type="noConversion"/>
  </si>
  <si>
    <t>九号行馆</t>
  </si>
  <si>
    <t>4</t>
    <phoneticPr fontId="2" type="noConversion"/>
  </si>
  <si>
    <t>472、477-1</t>
    <phoneticPr fontId="2" type="noConversion"/>
  </si>
  <si>
    <t>素食馆</t>
  </si>
  <si>
    <t>5</t>
    <phoneticPr fontId="2" type="noConversion"/>
  </si>
  <si>
    <t>501-6、502</t>
    <phoneticPr fontId="2" type="noConversion"/>
  </si>
  <si>
    <t>爱康国宾</t>
  </si>
  <si>
    <t>6</t>
    <phoneticPr fontId="2" type="noConversion"/>
  </si>
  <si>
    <t>602</t>
    <phoneticPr fontId="2" type="noConversion"/>
  </si>
  <si>
    <t>酒店</t>
  </si>
  <si>
    <t>6层605</t>
    <phoneticPr fontId="2" type="noConversion"/>
  </si>
  <si>
    <t>餐厅</t>
  </si>
  <si>
    <t>3、8</t>
    <phoneticPr fontId="2" type="noConversion"/>
  </si>
  <si>
    <t>8楼、3楼</t>
  </si>
  <si>
    <t>都城快餐</t>
  </si>
  <si>
    <t>B901</t>
  </si>
  <si>
    <t>B905-1</t>
  </si>
  <si>
    <t>B905-2</t>
  </si>
  <si>
    <t>B909</t>
  </si>
  <si>
    <t>A1001</t>
  </si>
  <si>
    <t>A1002</t>
  </si>
  <si>
    <t>A1003</t>
  </si>
  <si>
    <t>B1003</t>
  </si>
  <si>
    <t>B1105</t>
  </si>
  <si>
    <t>B1106</t>
  </si>
  <si>
    <t>B1107</t>
  </si>
  <si>
    <t>B1109</t>
  </si>
  <si>
    <t>A1301</t>
  </si>
  <si>
    <t>A1305</t>
  </si>
  <si>
    <t>A1308</t>
  </si>
  <si>
    <t>B1406</t>
  </si>
  <si>
    <t>B1407</t>
  </si>
  <si>
    <t>B1408</t>
  </si>
  <si>
    <t>B1409</t>
  </si>
  <si>
    <t>A1601</t>
  </si>
  <si>
    <t>A1701</t>
  </si>
  <si>
    <t>A1709</t>
  </si>
  <si>
    <t>A2102</t>
  </si>
  <si>
    <t>A2103</t>
  </si>
  <si>
    <t>中泰国际广场商业</t>
    <phoneticPr fontId="2" type="noConversion"/>
  </si>
  <si>
    <t>所在层数</t>
    <phoneticPr fontId="2" type="noConversion"/>
  </si>
  <si>
    <t>房号</t>
    <phoneticPr fontId="2" type="noConversion"/>
  </si>
  <si>
    <t>承租方</t>
    <phoneticPr fontId="2" type="noConversion"/>
  </si>
  <si>
    <t>出租建筑面积（平方米）</t>
    <phoneticPr fontId="2" type="noConversion"/>
  </si>
  <si>
    <t>起租日期</t>
  </si>
  <si>
    <t>截止日期</t>
  </si>
  <si>
    <t>单价（元/日/M2）</t>
  </si>
  <si>
    <t>递增</t>
  </si>
  <si>
    <t>保证金/押金</t>
    <phoneticPr fontId="2" type="noConversion"/>
  </si>
  <si>
    <r>
      <t>2018</t>
    </r>
    <r>
      <rPr>
        <sz val="10"/>
        <color theme="1"/>
        <rFont val="等线"/>
        <family val="2"/>
      </rPr>
      <t>年</t>
    </r>
    <phoneticPr fontId="2" type="noConversion"/>
  </si>
  <si>
    <r>
      <t>2020</t>
    </r>
    <r>
      <rPr>
        <sz val="10"/>
        <color theme="1"/>
        <rFont val="等线"/>
        <family val="2"/>
      </rPr>
      <t>年</t>
    </r>
    <phoneticPr fontId="2" type="noConversion"/>
  </si>
  <si>
    <r>
      <t>2021</t>
    </r>
    <r>
      <rPr>
        <sz val="10"/>
        <color theme="1"/>
        <rFont val="等线"/>
        <family val="2"/>
      </rPr>
      <t>年</t>
    </r>
    <phoneticPr fontId="2" type="noConversion"/>
  </si>
  <si>
    <r>
      <t>2022</t>
    </r>
    <r>
      <rPr>
        <sz val="10"/>
        <color theme="1"/>
        <rFont val="等线"/>
        <family val="2"/>
      </rPr>
      <t>年</t>
    </r>
    <phoneticPr fontId="2" type="noConversion"/>
  </si>
  <si>
    <r>
      <t>2023</t>
    </r>
    <r>
      <rPr>
        <sz val="10"/>
        <color theme="1"/>
        <rFont val="等线"/>
        <family val="2"/>
      </rPr>
      <t>年</t>
    </r>
    <phoneticPr fontId="2" type="noConversion"/>
  </si>
  <si>
    <r>
      <t>2024</t>
    </r>
    <r>
      <rPr>
        <sz val="10"/>
        <color theme="1"/>
        <rFont val="等线"/>
        <family val="2"/>
      </rPr>
      <t>年</t>
    </r>
    <phoneticPr fontId="2" type="noConversion"/>
  </si>
  <si>
    <r>
      <t>2025</t>
    </r>
    <r>
      <rPr>
        <sz val="10"/>
        <color theme="1"/>
        <rFont val="等线"/>
        <family val="2"/>
      </rPr>
      <t>年</t>
    </r>
    <phoneticPr fontId="2" type="noConversion"/>
  </si>
  <si>
    <r>
      <t>2026</t>
    </r>
    <r>
      <rPr>
        <sz val="10"/>
        <color theme="1"/>
        <rFont val="等线"/>
        <family val="2"/>
      </rPr>
      <t>年</t>
    </r>
    <phoneticPr fontId="2" type="noConversion"/>
  </si>
  <si>
    <r>
      <t>2027</t>
    </r>
    <r>
      <rPr>
        <sz val="10"/>
        <color theme="1"/>
        <rFont val="等线"/>
        <family val="2"/>
      </rPr>
      <t>年</t>
    </r>
    <phoneticPr fontId="2" type="noConversion"/>
  </si>
  <si>
    <r>
      <t>2028</t>
    </r>
    <r>
      <rPr>
        <sz val="10"/>
        <color theme="1"/>
        <rFont val="等线"/>
        <family val="2"/>
      </rPr>
      <t>年</t>
    </r>
    <phoneticPr fontId="2" type="noConversion"/>
  </si>
  <si>
    <r>
      <t>2029</t>
    </r>
    <r>
      <rPr>
        <sz val="10"/>
        <color theme="1"/>
        <rFont val="等线"/>
        <family val="2"/>
      </rPr>
      <t>年</t>
    </r>
    <phoneticPr fontId="2" type="noConversion"/>
  </si>
  <si>
    <r>
      <t>2030</t>
    </r>
    <r>
      <rPr>
        <sz val="10"/>
        <color theme="1"/>
        <rFont val="等线"/>
        <family val="2"/>
      </rPr>
      <t>年</t>
    </r>
    <phoneticPr fontId="2" type="noConversion"/>
  </si>
  <si>
    <r>
      <t>2031</t>
    </r>
    <r>
      <rPr>
        <sz val="10"/>
        <color theme="1"/>
        <rFont val="等线"/>
        <family val="2"/>
      </rPr>
      <t>年</t>
    </r>
    <phoneticPr fontId="2" type="noConversion"/>
  </si>
  <si>
    <r>
      <t>2032</t>
    </r>
    <r>
      <rPr>
        <sz val="10"/>
        <color theme="1"/>
        <rFont val="等线"/>
        <family val="2"/>
      </rPr>
      <t>年</t>
    </r>
    <phoneticPr fontId="2" type="noConversion"/>
  </si>
  <si>
    <r>
      <t>2033</t>
    </r>
    <r>
      <rPr>
        <sz val="10"/>
        <color theme="1"/>
        <rFont val="等线"/>
        <family val="2"/>
      </rPr>
      <t>年</t>
    </r>
    <phoneticPr fontId="2" type="noConversion"/>
  </si>
  <si>
    <r>
      <t>2036</t>
    </r>
    <r>
      <rPr>
        <sz val="10"/>
        <color theme="1"/>
        <rFont val="等线"/>
        <family val="2"/>
      </rPr>
      <t>年</t>
    </r>
    <phoneticPr fontId="2" type="noConversion"/>
  </si>
  <si>
    <r>
      <t>2037</t>
    </r>
    <r>
      <rPr>
        <sz val="10"/>
        <color theme="1"/>
        <rFont val="等线"/>
        <family val="2"/>
      </rPr>
      <t>年</t>
    </r>
    <phoneticPr fontId="2" type="noConversion"/>
  </si>
  <si>
    <r>
      <t>2038</t>
    </r>
    <r>
      <rPr>
        <sz val="10"/>
        <color theme="1"/>
        <rFont val="等线"/>
        <family val="2"/>
      </rPr>
      <t>年</t>
    </r>
    <phoneticPr fontId="2" type="noConversion"/>
  </si>
  <si>
    <r>
      <t>2018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</si>
  <si>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2019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</si>
  <si>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2019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</si>
  <si>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</si>
  <si>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</si>
  <si>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</si>
  <si>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</si>
  <si>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</si>
  <si>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</si>
  <si>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</si>
  <si>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</si>
  <si>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</si>
  <si>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</si>
  <si>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</si>
  <si>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</si>
  <si>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</si>
  <si>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</si>
  <si>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</si>
  <si>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</si>
  <si>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</si>
  <si>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</si>
  <si>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</si>
  <si>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</si>
  <si>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</si>
  <si>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</si>
  <si>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</si>
  <si>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</si>
  <si>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</si>
  <si>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</si>
  <si>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</si>
  <si>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</si>
  <si>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2031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</si>
  <si>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</si>
  <si>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</si>
  <si>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2032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</si>
  <si>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</si>
  <si>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</si>
  <si>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2033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</si>
  <si>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2033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</si>
  <si>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</si>
  <si>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</si>
  <si>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2034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</si>
  <si>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</si>
  <si>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2035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</si>
  <si>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2035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</si>
  <si>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</si>
  <si>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</si>
  <si>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2036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</si>
  <si>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2036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</si>
  <si>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</si>
  <si>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</si>
  <si>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2037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</si>
  <si>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2037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</si>
  <si>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</si>
  <si>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</si>
  <si>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2038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</si>
  <si>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</si>
  <si>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</si>
  <si>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2019</t>
    </r>
    <r>
      <rPr>
        <sz val="10"/>
        <color theme="1"/>
        <rFont val="等线"/>
        <family val="2"/>
      </rPr>
      <t>年</t>
    </r>
    <phoneticPr fontId="2" type="noConversion"/>
  </si>
  <si>
    <r>
      <t>2034</t>
    </r>
    <r>
      <rPr>
        <sz val="10"/>
        <color theme="1"/>
        <rFont val="等线"/>
        <family val="2"/>
      </rPr>
      <t>年</t>
    </r>
    <phoneticPr fontId="2" type="noConversion"/>
  </si>
  <si>
    <r>
      <t>2035</t>
    </r>
    <r>
      <rPr>
        <sz val="10"/>
        <color theme="1"/>
        <rFont val="等线"/>
        <family val="2"/>
      </rPr>
      <t>年</t>
    </r>
    <phoneticPr fontId="2" type="noConversion"/>
  </si>
  <si>
    <r>
      <t>2018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</si>
  <si>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2018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</si>
  <si>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2019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</si>
  <si>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2019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</si>
  <si>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</si>
  <si>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</si>
  <si>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</si>
  <si>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</si>
  <si>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</si>
  <si>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</si>
  <si>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</si>
  <si>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</si>
  <si>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</si>
  <si>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</si>
  <si>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2027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</si>
  <si>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</si>
  <si>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2028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</si>
  <si>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2029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</si>
  <si>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2029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</si>
  <si>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2030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</si>
  <si>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2031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</si>
  <si>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2032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</si>
  <si>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2033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</si>
  <si>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2034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</si>
  <si>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</si>
  <si>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t>租约至2018年6月</t>
    <phoneticPr fontId="2" type="noConversion"/>
  </si>
  <si>
    <t>-1层出租</t>
    <phoneticPr fontId="2" type="noConversion"/>
  </si>
  <si>
    <t>1层出租</t>
    <phoneticPr fontId="2" type="noConversion"/>
  </si>
  <si>
    <t>2层出租</t>
    <phoneticPr fontId="2" type="noConversion"/>
  </si>
  <si>
    <t>3层出租</t>
    <phoneticPr fontId="2" type="noConversion"/>
  </si>
  <si>
    <t>4层出租</t>
    <phoneticPr fontId="2" type="noConversion"/>
  </si>
  <si>
    <t>5层出租</t>
    <phoneticPr fontId="2" type="noConversion"/>
  </si>
  <si>
    <t>6层出租</t>
    <phoneticPr fontId="2" type="noConversion"/>
  </si>
  <si>
    <t>7层出租</t>
    <phoneticPr fontId="2" type="noConversion"/>
  </si>
  <si>
    <t>-1层未出租</t>
    <phoneticPr fontId="2" type="noConversion"/>
  </si>
  <si>
    <t>1层未出租</t>
    <phoneticPr fontId="2" type="noConversion"/>
  </si>
  <si>
    <t>2层未出租</t>
  </si>
  <si>
    <t>3层未出租</t>
  </si>
  <si>
    <t>4层未出租</t>
  </si>
  <si>
    <t>5层未出租</t>
  </si>
  <si>
    <t>6层未出租</t>
  </si>
  <si>
    <t>7层未出租</t>
  </si>
  <si>
    <t>系数</t>
    <phoneticPr fontId="2" type="noConversion"/>
  </si>
  <si>
    <t>建筑面积</t>
    <phoneticPr fontId="2" type="noConversion"/>
  </si>
  <si>
    <t>租金单价</t>
    <phoneticPr fontId="2" type="noConversion"/>
  </si>
  <si>
    <t>租金建面系数</t>
    <phoneticPr fontId="2" type="noConversion"/>
  </si>
  <si>
    <t>未出租部分</t>
    <phoneticPr fontId="2" type="noConversion"/>
  </si>
  <si>
    <t>市场租金</t>
    <phoneticPr fontId="2" type="noConversion"/>
  </si>
  <si>
    <t>序号</t>
    <phoneticPr fontId="2" type="noConversion"/>
  </si>
  <si>
    <t>空置率</t>
    <phoneticPr fontId="2" type="noConversion"/>
  </si>
  <si>
    <t>办公</t>
    <phoneticPr fontId="2" type="noConversion"/>
  </si>
  <si>
    <t>车库</t>
    <phoneticPr fontId="2" type="noConversion"/>
  </si>
  <si>
    <t>2024-2029</t>
    <phoneticPr fontId="2" type="noConversion"/>
  </si>
  <si>
    <t>2030年以后</t>
    <phoneticPr fontId="2" type="noConversion"/>
  </si>
  <si>
    <t>正常商业</t>
    <phoneticPr fontId="2" type="noConversion"/>
  </si>
  <si>
    <t>5%-8%</t>
    <phoneticPr fontId="2" type="noConversion"/>
  </si>
  <si>
    <t>3%-5%</t>
    <phoneticPr fontId="2" type="noConversion"/>
  </si>
  <si>
    <t>车库</t>
    <phoneticPr fontId="2" type="noConversion"/>
  </si>
  <si>
    <t>租金增长率</t>
    <phoneticPr fontId="2" type="noConversion"/>
  </si>
  <si>
    <t>2019年3季度前到期</t>
    <phoneticPr fontId="2" type="noConversion"/>
  </si>
  <si>
    <t>2020年3季度前到期</t>
    <phoneticPr fontId="2" type="noConversion"/>
  </si>
  <si>
    <t>2021年3季度前到期</t>
    <phoneticPr fontId="2" type="noConversion"/>
  </si>
  <si>
    <t>2022年3季度前到期</t>
    <phoneticPr fontId="2" type="noConversion"/>
  </si>
  <si>
    <t>未出租</t>
    <phoneticPr fontId="2" type="noConversion"/>
  </si>
  <si>
    <t>2018年3季度前到期</t>
    <phoneticPr fontId="2" type="noConversion"/>
  </si>
  <si>
    <t>2024-2028</t>
    <phoneticPr fontId="2" type="noConversion"/>
  </si>
  <si>
    <t>2029年以后</t>
    <phoneticPr fontId="2" type="noConversion"/>
  </si>
  <si>
    <r>
      <rPr>
        <b/>
        <sz val="9"/>
        <rFont val="宋体"/>
        <family val="3"/>
        <charset val="134"/>
      </rPr>
      <t>项目</t>
    </r>
    <r>
      <rPr>
        <b/>
        <sz val="9"/>
        <rFont val="Anial"/>
        <family val="2"/>
      </rPr>
      <t xml:space="preserve">         </t>
    </r>
    <r>
      <rPr>
        <b/>
        <sz val="9"/>
        <rFont val="宋体"/>
        <family val="3"/>
        <charset val="134"/>
      </rPr>
      <t>年份</t>
    </r>
    <phoneticPr fontId="7" type="noConversion"/>
  </si>
  <si>
    <r>
      <rPr>
        <b/>
        <sz val="9"/>
        <rFont val="宋体"/>
        <family val="3"/>
        <charset val="134"/>
      </rPr>
      <t>（一）、经营活动现金流入</t>
    </r>
    <phoneticPr fontId="7" type="noConversion"/>
  </si>
  <si>
    <r>
      <t>1</t>
    </r>
    <r>
      <rPr>
        <b/>
        <sz val="9"/>
        <rFont val="宋体"/>
        <family val="3"/>
        <charset val="134"/>
      </rPr>
      <t>、固定租金收入</t>
    </r>
    <phoneticPr fontId="7" type="noConversion"/>
  </si>
  <si>
    <r>
      <t>1</t>
    </r>
    <r>
      <rPr>
        <b/>
        <sz val="9"/>
        <rFont val="宋体"/>
        <family val="3"/>
        <charset val="134"/>
      </rPr>
      <t>、房产税</t>
    </r>
    <phoneticPr fontId="7" type="noConversion"/>
  </si>
  <si>
    <r>
      <t>2</t>
    </r>
    <r>
      <rPr>
        <b/>
        <sz val="9"/>
        <rFont val="宋体"/>
        <family val="3"/>
        <charset val="134"/>
      </rPr>
      <t>、增值税</t>
    </r>
    <phoneticPr fontId="7" type="noConversion"/>
  </si>
  <si>
    <r>
      <rPr>
        <b/>
        <sz val="9"/>
        <rFont val="宋体"/>
        <family val="3"/>
        <charset val="134"/>
      </rPr>
      <t>年度净收益</t>
    </r>
    <phoneticPr fontId="7" type="noConversion"/>
  </si>
  <si>
    <r>
      <t>3</t>
    </r>
    <r>
      <rPr>
        <b/>
        <sz val="9"/>
        <rFont val="宋体"/>
        <family val="3"/>
        <charset val="134"/>
      </rPr>
      <t>、</t>
    </r>
    <phoneticPr fontId="7" type="noConversion"/>
  </si>
  <si>
    <t>3年平均值</t>
    <phoneticPr fontId="2" type="noConversion"/>
  </si>
  <si>
    <t>物业管理收入</t>
    <phoneticPr fontId="2" type="noConversion"/>
  </si>
  <si>
    <t>管理费用</t>
    <phoneticPr fontId="2" type="noConversion"/>
  </si>
  <si>
    <t>营业成本</t>
    <phoneticPr fontId="2" type="noConversion"/>
  </si>
  <si>
    <t>总收入</t>
    <phoneticPr fontId="2" type="noConversion"/>
  </si>
  <si>
    <t>三年平均</t>
    <phoneticPr fontId="2" type="noConversion"/>
  </si>
  <si>
    <t>车库</t>
    <phoneticPr fontId="2" type="noConversion"/>
  </si>
  <si>
    <t>占比</t>
    <phoneticPr fontId="2" type="noConversion"/>
  </si>
  <si>
    <t>物业</t>
    <phoneticPr fontId="2" type="noConversion"/>
  </si>
  <si>
    <t>（四）、房地产纯收益</t>
    <phoneticPr fontId="7" type="noConversion"/>
  </si>
  <si>
    <r>
      <t>3</t>
    </r>
    <r>
      <rPr>
        <b/>
        <sz val="9"/>
        <rFont val="宋体"/>
        <family val="3"/>
        <charset val="134"/>
      </rPr>
      <t>、土地使用税</t>
    </r>
    <phoneticPr fontId="13" type="noConversion"/>
  </si>
  <si>
    <t>（三）、相关税收</t>
    <phoneticPr fontId="2" type="noConversion"/>
  </si>
  <si>
    <t>（二）、经营活动费用</t>
    <phoneticPr fontId="7" type="noConversion"/>
  </si>
  <si>
    <t>1、管理费用</t>
    <phoneticPr fontId="2" type="noConversion"/>
  </si>
  <si>
    <t>2、 经营成本</t>
    <phoneticPr fontId="2" type="noConversion"/>
  </si>
  <si>
    <t>租约期内租金水平</t>
    <phoneticPr fontId="2" type="noConversion"/>
  </si>
  <si>
    <t>正常租金水平</t>
    <phoneticPr fontId="2" type="noConversion"/>
  </si>
  <si>
    <t>租约到期正常租金</t>
    <phoneticPr fontId="2" type="noConversion"/>
  </si>
  <si>
    <r>
      <t>2</t>
    </r>
    <r>
      <rPr>
        <b/>
        <sz val="9"/>
        <rFont val="宋体"/>
        <family val="3"/>
        <charset val="134"/>
      </rPr>
      <t>、</t>
    </r>
    <phoneticPr fontId="7" type="noConversion"/>
  </si>
  <si>
    <t>三年平均</t>
    <phoneticPr fontId="2" type="noConversion"/>
  </si>
  <si>
    <t>比例</t>
    <phoneticPr fontId="2" type="noConversion"/>
  </si>
  <si>
    <t>商业</t>
    <phoneticPr fontId="2" type="noConversion"/>
  </si>
  <si>
    <t>办公</t>
    <phoneticPr fontId="2" type="noConversion"/>
  </si>
  <si>
    <t>车库</t>
    <phoneticPr fontId="2" type="noConversion"/>
  </si>
  <si>
    <t>折现值</t>
    <phoneticPr fontId="2" type="noConversion"/>
  </si>
  <si>
    <t>总价</t>
    <phoneticPr fontId="2" type="noConversion"/>
  </si>
  <si>
    <t>单价</t>
    <phoneticPr fontId="2" type="noConversion"/>
  </si>
  <si>
    <t>楼号</t>
    <phoneticPr fontId="2" type="noConversion"/>
  </si>
  <si>
    <t>合同到期日</t>
  </si>
  <si>
    <t>中泰国际广场</t>
    <phoneticPr fontId="2" type="noConversion"/>
  </si>
  <si>
    <t>9</t>
    <phoneticPr fontId="2" type="noConversion"/>
  </si>
  <si>
    <t>广州市歌蕊医疗投资有限公司</t>
    <phoneticPr fontId="7" type="noConversion"/>
  </si>
  <si>
    <t>B902</t>
  </si>
  <si>
    <t>广东澳美家投资咨询有限公司广州分公司</t>
    <phoneticPr fontId="7" type="noConversion"/>
  </si>
  <si>
    <t>B903</t>
  </si>
  <si>
    <t>广东融爱投资管理有限公司</t>
    <phoneticPr fontId="7" type="noConversion"/>
  </si>
  <si>
    <t>沃尔沃（中国）投资有限公司</t>
    <phoneticPr fontId="7" type="noConversion"/>
  </si>
  <si>
    <t>京瓷（天津）商贸有限公司上海分公司</t>
  </si>
  <si>
    <t>10</t>
    <phoneticPr fontId="2" type="noConversion"/>
  </si>
  <si>
    <t>AMEFA INTERNATIONAL LIMITED</t>
    <phoneticPr fontId="7" type="noConversion"/>
  </si>
  <si>
    <t>广州博瞻恒腾信息技术有限公司</t>
    <phoneticPr fontId="7" type="noConversion"/>
  </si>
  <si>
    <t>帝肯（上海）贸易有限公司</t>
    <phoneticPr fontId="7" type="noConversion"/>
  </si>
  <si>
    <t>广州柳橙信息科技有限公司</t>
    <phoneticPr fontId="7" type="noConversion"/>
  </si>
  <si>
    <t>11</t>
    <phoneticPr fontId="2" type="noConversion"/>
  </si>
  <si>
    <t>A1106\07</t>
  </si>
  <si>
    <t>华特迪士尼（中国）有限公司广州分公司</t>
    <phoneticPr fontId="7" type="noConversion"/>
  </si>
  <si>
    <t>深圳市前海众仁共创投资有限公司</t>
    <phoneticPr fontId="7" type="noConversion"/>
  </si>
  <si>
    <t>11</t>
    <phoneticPr fontId="2" type="noConversion"/>
  </si>
  <si>
    <t>航达票务代理（上海）有限公司广州分公司</t>
    <phoneticPr fontId="7" type="noConversion"/>
  </si>
  <si>
    <t>香港伯东企业有限公司广州代表处</t>
  </si>
  <si>
    <t>北京猎豹网络科技有限公司</t>
    <phoneticPr fontId="7" type="noConversion"/>
  </si>
  <si>
    <t>13</t>
    <phoneticPr fontId="2" type="noConversion"/>
  </si>
  <si>
    <t>奥雅纳工程咨询（上海）有限公司广州分公司</t>
    <phoneticPr fontId="7" type="noConversion"/>
  </si>
  <si>
    <t>13</t>
    <phoneticPr fontId="2" type="noConversion"/>
  </si>
  <si>
    <t>A1302</t>
  </si>
  <si>
    <t>奥雅纳工程咨询（上海）有限公司广州分公司</t>
    <phoneticPr fontId="7" type="noConversion"/>
  </si>
  <si>
    <t>A1303</t>
  </si>
  <si>
    <t>京瓷办公信息系统（中国）有限公司</t>
    <phoneticPr fontId="7" type="noConversion"/>
  </si>
  <si>
    <t>A1306</t>
  </si>
  <si>
    <t>日烟商务管理有限公司广州分公司</t>
  </si>
  <si>
    <t>A1307</t>
  </si>
  <si>
    <t>13</t>
    <phoneticPr fontId="2" type="noConversion"/>
  </si>
  <si>
    <t>广州羊泰电子商务有限公司</t>
    <phoneticPr fontId="7" type="noConversion"/>
  </si>
  <si>
    <t>B1303</t>
  </si>
  <si>
    <t>英智人才服务（上海）有限公司</t>
    <phoneticPr fontId="7" type="noConversion"/>
  </si>
  <si>
    <r>
      <t>B1305（</t>
    </r>
    <r>
      <rPr>
        <b/>
        <sz val="8"/>
        <rFont val="宋体"/>
        <family val="3"/>
        <charset val="134"/>
      </rPr>
      <t>+B1303-1)</t>
    </r>
    <phoneticPr fontId="7" type="noConversion"/>
  </si>
  <si>
    <t>广州息旺能源咨询有限公司</t>
    <phoneticPr fontId="7" type="noConversion"/>
  </si>
  <si>
    <t>14</t>
    <phoneticPr fontId="2" type="noConversion"/>
  </si>
  <si>
    <t>B1405</t>
    <phoneticPr fontId="7" type="noConversion"/>
  </si>
  <si>
    <t>东南亚电信</t>
    <phoneticPr fontId="7" type="noConversion"/>
  </si>
  <si>
    <t>东南亚电信</t>
    <phoneticPr fontId="7" type="noConversion"/>
  </si>
  <si>
    <t>14</t>
    <phoneticPr fontId="2" type="noConversion"/>
  </si>
  <si>
    <t>香港加耀国际有限公司广州代表处</t>
    <phoneticPr fontId="7" type="noConversion"/>
  </si>
  <si>
    <t>快美特汽车精品（深圳）有限公司</t>
  </si>
  <si>
    <t>广州泓展网络科技有限公司</t>
  </si>
  <si>
    <t>16</t>
    <phoneticPr fontId="2" type="noConversion"/>
  </si>
  <si>
    <t>上海联蔚信息科技有限公司</t>
    <phoneticPr fontId="7" type="noConversion"/>
  </si>
  <si>
    <r>
      <t>A1602、</t>
    </r>
    <r>
      <rPr>
        <b/>
        <sz val="8"/>
        <rFont val="宋体"/>
        <family val="3"/>
        <charset val="134"/>
      </rPr>
      <t>03、05、06、07、08-1</t>
    </r>
    <phoneticPr fontId="7" type="noConversion"/>
  </si>
  <si>
    <t>雨果博斯广东商贸有限公司</t>
    <phoneticPr fontId="7" type="noConversion"/>
  </si>
  <si>
    <r>
      <t>A</t>
    </r>
    <r>
      <rPr>
        <b/>
        <sz val="8"/>
        <rFont val="宋体"/>
        <family val="3"/>
        <charset val="134"/>
      </rPr>
      <t>1608-2、09</t>
    </r>
    <phoneticPr fontId="7" type="noConversion"/>
  </si>
  <si>
    <t>广东诚信商汇新能源科技有限公司</t>
    <phoneticPr fontId="7" type="noConversion"/>
  </si>
  <si>
    <t>17</t>
    <phoneticPr fontId="2" type="noConversion"/>
  </si>
  <si>
    <t>易路顺科技（广州）有限公司</t>
    <phoneticPr fontId="7" type="noConversion"/>
  </si>
  <si>
    <t>17</t>
    <phoneticPr fontId="2" type="noConversion"/>
  </si>
  <si>
    <t>A1703</t>
  </si>
  <si>
    <t>广州创晟网络科技有限公司</t>
    <phoneticPr fontId="7" type="noConversion"/>
  </si>
  <si>
    <t>A1705\06</t>
  </si>
  <si>
    <t>广州麦的师食品有限公司</t>
    <phoneticPr fontId="7" type="noConversion"/>
  </si>
  <si>
    <t>魏德米勒电联接（上海）有限公司</t>
    <phoneticPr fontId="7" type="noConversion"/>
  </si>
  <si>
    <t>B1706</t>
  </si>
  <si>
    <t>现代商船（中国）有限公司广州分公司</t>
    <phoneticPr fontId="7" type="noConversion"/>
  </si>
  <si>
    <t>B1707</t>
  </si>
  <si>
    <t>现代商船（中国）有限公司广州分公司</t>
    <phoneticPr fontId="7" type="noConversion"/>
  </si>
  <si>
    <t>B1708</t>
  </si>
  <si>
    <t>科医国际贸易（上海）有限公司</t>
    <phoneticPr fontId="7" type="noConversion"/>
  </si>
  <si>
    <t>B1709</t>
  </si>
  <si>
    <t>19</t>
    <phoneticPr fontId="2" type="noConversion"/>
  </si>
  <si>
    <t>A1906</t>
    <phoneticPr fontId="7" type="noConversion"/>
  </si>
  <si>
    <t>阿尔卑斯（中国）有限公司广州分公司</t>
  </si>
  <si>
    <t>19</t>
    <phoneticPr fontId="2" type="noConversion"/>
  </si>
  <si>
    <t>A1907</t>
    <phoneticPr fontId="7" type="noConversion"/>
  </si>
  <si>
    <t>宜信博诚保险销售服务（北京）有限公司</t>
    <phoneticPr fontId="7" type="noConversion"/>
  </si>
  <si>
    <t>21</t>
    <phoneticPr fontId="2" type="noConversion"/>
  </si>
  <si>
    <r>
      <t>A210</t>
    </r>
    <r>
      <rPr>
        <b/>
        <sz val="8"/>
        <rFont val="宋体"/>
        <family val="3"/>
        <charset val="134"/>
      </rPr>
      <t>1、05、06、07、08、09</t>
    </r>
    <phoneticPr fontId="7" type="noConversion"/>
  </si>
  <si>
    <t>华特迪士尼（中国）有限公司广州分公司</t>
    <phoneticPr fontId="7" type="noConversion"/>
  </si>
  <si>
    <t>21</t>
    <phoneticPr fontId="2" type="noConversion"/>
  </si>
  <si>
    <t>尤尼克斯（上海）体育用品有限公司</t>
    <phoneticPr fontId="7" type="noConversion"/>
  </si>
  <si>
    <t xml:space="preserve"> 2016/12/2</t>
    <phoneticPr fontId="7" type="noConversion"/>
  </si>
  <si>
    <t>广州市鸿鑫保险代理有限公司</t>
    <phoneticPr fontId="7" type="noConversion"/>
  </si>
  <si>
    <t>23</t>
    <phoneticPr fontId="2" type="noConversion"/>
  </si>
  <si>
    <t>2301/02/08/09</t>
    <phoneticPr fontId="7" type="noConversion"/>
  </si>
  <si>
    <t>广州环企咨询服务有限公司</t>
  </si>
  <si>
    <t>23</t>
    <phoneticPr fontId="2" type="noConversion"/>
  </si>
  <si>
    <t>2303</t>
  </si>
  <si>
    <t>美商天睿信息系统（北京）有限公司</t>
  </si>
  <si>
    <t>2305</t>
  </si>
  <si>
    <t>北京铸成律师事务所广州分所</t>
  </si>
  <si>
    <t>2306</t>
  </si>
  <si>
    <t>安迅（广州）科技有限公司</t>
  </si>
  <si>
    <t>2307</t>
  </si>
  <si>
    <t>安迅（北京）金融设备系统有限公司</t>
  </si>
  <si>
    <t>24</t>
    <phoneticPr fontId="2" type="noConversion"/>
  </si>
  <si>
    <t>2401</t>
  </si>
  <si>
    <t>北京五八信息技术有限公司广州分公司</t>
    <phoneticPr fontId="7" type="noConversion"/>
  </si>
  <si>
    <t>24</t>
    <phoneticPr fontId="2" type="noConversion"/>
  </si>
  <si>
    <t>2402\08</t>
  </si>
  <si>
    <t>北京五八信息技术有限公司广州分公司</t>
    <phoneticPr fontId="7" type="noConversion"/>
  </si>
  <si>
    <t>2403</t>
  </si>
  <si>
    <t>瑞庭网络技术（上海）有限公司广州分公司</t>
    <phoneticPr fontId="7" type="noConversion"/>
  </si>
  <si>
    <t>2405</t>
  </si>
  <si>
    <t>深圳市前海融脉科技有限公司</t>
    <phoneticPr fontId="7" type="noConversion"/>
  </si>
  <si>
    <t>2406</t>
    <phoneticPr fontId="7" type="noConversion"/>
  </si>
  <si>
    <t>瑞庭网络技术（上海）有限公司广州分公司</t>
    <phoneticPr fontId="7" type="noConversion"/>
  </si>
  <si>
    <t>2407</t>
  </si>
  <si>
    <t>2409</t>
  </si>
  <si>
    <t>25</t>
    <phoneticPr fontId="2" type="noConversion"/>
  </si>
  <si>
    <t>2501</t>
  </si>
  <si>
    <t>广州迪提斯数码影院系统有限公司</t>
  </si>
  <si>
    <t>25</t>
    <phoneticPr fontId="2" type="noConversion"/>
  </si>
  <si>
    <t>2502</t>
  </si>
  <si>
    <t>华泰保险销售有限公司广东分公司</t>
    <phoneticPr fontId="7" type="noConversion"/>
  </si>
  <si>
    <t>2503</t>
  </si>
  <si>
    <t>华泰财产保险有限公司广东省分公司</t>
    <phoneticPr fontId="7" type="noConversion"/>
  </si>
  <si>
    <t>2505</t>
  </si>
  <si>
    <t>2506</t>
  </si>
  <si>
    <t>2507</t>
  </si>
  <si>
    <t>韬睿惠悦企业管理咨询（深圳）有限公司</t>
  </si>
  <si>
    <t>2508</t>
  </si>
  <si>
    <t>2509</t>
  </si>
  <si>
    <t>2510</t>
  </si>
  <si>
    <t>联智科技（北京）有限公司</t>
    <phoneticPr fontId="7" type="noConversion"/>
  </si>
  <si>
    <t>2511</t>
  </si>
  <si>
    <t>广州市建明信息科技有限公司</t>
    <phoneticPr fontId="7" type="noConversion"/>
  </si>
  <si>
    <t>2512</t>
  </si>
  <si>
    <t>2513</t>
  </si>
  <si>
    <t>广西贵港市振威船务运输有限公司广州分公司</t>
    <phoneticPr fontId="7" type="noConversion"/>
  </si>
  <si>
    <t>2515</t>
  </si>
  <si>
    <t>港创纪建筑设计咨询（北京）有限公司广州分公司</t>
    <phoneticPr fontId="7" type="noConversion"/>
  </si>
  <si>
    <t>2516</t>
  </si>
  <si>
    <t>2517</t>
  </si>
  <si>
    <t>2518</t>
  </si>
  <si>
    <t>分众晶视广告有限公司</t>
    <phoneticPr fontId="7" type="noConversion"/>
  </si>
  <si>
    <t>2519</t>
  </si>
  <si>
    <t>2520</t>
  </si>
  <si>
    <t>panasonic avionics corporation</t>
    <phoneticPr fontId="7" type="noConversion"/>
  </si>
  <si>
    <t>2521</t>
  </si>
  <si>
    <t>2522</t>
  </si>
  <si>
    <t>林美妮</t>
    <phoneticPr fontId="7" type="noConversion"/>
  </si>
  <si>
    <t>27</t>
    <phoneticPr fontId="2" type="noConversion"/>
  </si>
  <si>
    <t>2701-03、2705-09</t>
  </si>
  <si>
    <t>28</t>
    <phoneticPr fontId="2" type="noConversion"/>
  </si>
  <si>
    <t>2801-03、05、06</t>
    <phoneticPr fontId="7" type="noConversion"/>
  </si>
  <si>
    <t>上海中梁地产集团有限公司</t>
    <phoneticPr fontId="7" type="noConversion"/>
  </si>
  <si>
    <t>2801-01、02、15、16、17</t>
    <phoneticPr fontId="7" type="noConversion"/>
  </si>
  <si>
    <t>广州艾罗伯特机器人技术咨询有限公司</t>
    <phoneticPr fontId="7" type="noConversion"/>
  </si>
  <si>
    <t>29</t>
    <phoneticPr fontId="2" type="noConversion"/>
  </si>
  <si>
    <t>2901-03、05、06、07</t>
    <phoneticPr fontId="7" type="noConversion"/>
  </si>
  <si>
    <t>平安普惠投资咨询有限公司广州天河东路分公司</t>
    <phoneticPr fontId="7" type="noConversion"/>
  </si>
  <si>
    <t>2901-15、16、17</t>
    <phoneticPr fontId="7" type="noConversion"/>
  </si>
  <si>
    <t>广州伯娱传媒有限公司</t>
    <phoneticPr fontId="7" type="noConversion"/>
  </si>
  <si>
    <t>2901-06</t>
    <phoneticPr fontId="7" type="noConversion"/>
  </si>
  <si>
    <t>大溪地诺丽饮料（中国）有限公司广东分公司</t>
    <phoneticPr fontId="7" type="noConversion"/>
  </si>
  <si>
    <t>30</t>
    <phoneticPr fontId="2" type="noConversion"/>
  </si>
  <si>
    <t>3001-01</t>
    <phoneticPr fontId="7" type="noConversion"/>
  </si>
  <si>
    <t>威尔德（北京）香精有限公司</t>
    <phoneticPr fontId="7" type="noConversion"/>
  </si>
  <si>
    <t>3001-02、03</t>
    <phoneticPr fontId="7" type="noConversion"/>
  </si>
  <si>
    <t>天津畅达广告有限公司</t>
    <phoneticPr fontId="7" type="noConversion"/>
  </si>
  <si>
    <t>3001-05、06</t>
    <phoneticPr fontId="7" type="noConversion"/>
  </si>
  <si>
    <t>德莎国际货运代理（深圳）有限公司广州分公司</t>
    <phoneticPr fontId="7" type="noConversion"/>
  </si>
  <si>
    <t>3001-07、08、09</t>
    <phoneticPr fontId="7" type="noConversion"/>
  </si>
  <si>
    <t>科勒（中国）投资有限公司</t>
    <phoneticPr fontId="7" type="noConversion"/>
  </si>
  <si>
    <t>3001-10</t>
    <phoneticPr fontId="7" type="noConversion"/>
  </si>
  <si>
    <t>丰田汽车金融（中国）有限公司</t>
    <phoneticPr fontId="7" type="noConversion"/>
  </si>
  <si>
    <t>3001-11</t>
    <phoneticPr fontId="7" type="noConversion"/>
  </si>
  <si>
    <t>广州铂明投资在咨询有限公司</t>
    <phoneticPr fontId="7" type="noConversion"/>
  </si>
  <si>
    <t>3001-12</t>
    <phoneticPr fontId="7" type="noConversion"/>
  </si>
  <si>
    <t>广州斯泳思贸易有限公司</t>
    <phoneticPr fontId="7" type="noConversion"/>
  </si>
  <si>
    <t>3001-13</t>
    <phoneticPr fontId="7" type="noConversion"/>
  </si>
  <si>
    <t>3001-15、16</t>
    <phoneticPr fontId="7" type="noConversion"/>
  </si>
  <si>
    <t>华泰财产保险有限公司广州中心支公司</t>
    <phoneticPr fontId="7" type="noConversion"/>
  </si>
  <si>
    <t>3001-17</t>
    <phoneticPr fontId="7" type="noConversion"/>
  </si>
  <si>
    <t>斯道拉恩索投资管理（上海）有限公司</t>
    <phoneticPr fontId="7" type="noConversion"/>
  </si>
  <si>
    <t>31</t>
    <phoneticPr fontId="2" type="noConversion"/>
  </si>
  <si>
    <t>3101-03、05</t>
    <phoneticPr fontId="7" type="noConversion"/>
  </si>
  <si>
    <t>安朗杰安防技术（中国）有限公司</t>
    <phoneticPr fontId="7" type="noConversion"/>
  </si>
  <si>
    <t>3101-06</t>
    <phoneticPr fontId="7" type="noConversion"/>
  </si>
  <si>
    <t>广州宝供投资有限公司</t>
    <phoneticPr fontId="7" type="noConversion"/>
  </si>
  <si>
    <t>3101-07</t>
    <phoneticPr fontId="7" type="noConversion"/>
  </si>
  <si>
    <t>广州微粤信息科技有限公司</t>
    <phoneticPr fontId="7" type="noConversion"/>
  </si>
  <si>
    <t>3101-01、02、15、16、17</t>
    <phoneticPr fontId="7" type="noConversion"/>
  </si>
  <si>
    <t>广州市璟滔企业管理服务有限公司</t>
    <phoneticPr fontId="7" type="noConversion"/>
  </si>
  <si>
    <t>3101-01、02</t>
    <phoneticPr fontId="7" type="noConversion"/>
  </si>
  <si>
    <t>32</t>
    <phoneticPr fontId="2" type="noConversion"/>
  </si>
  <si>
    <t>3201-03、3205-09</t>
  </si>
  <si>
    <t>广州摩拉贸易有限公司</t>
    <phoneticPr fontId="7" type="noConversion"/>
  </si>
  <si>
    <t>33</t>
    <phoneticPr fontId="2" type="noConversion"/>
  </si>
  <si>
    <t>3301-01</t>
    <phoneticPr fontId="7" type="noConversion"/>
  </si>
  <si>
    <t>北京国双科技有限公司</t>
    <phoneticPr fontId="7" type="noConversion"/>
  </si>
  <si>
    <t>3301-02</t>
    <phoneticPr fontId="7" type="noConversion"/>
  </si>
  <si>
    <t>北京千里日成广告有限公司</t>
    <phoneticPr fontId="7" type="noConversion"/>
  </si>
  <si>
    <t>3301-08</t>
    <phoneticPr fontId="7" type="noConversion"/>
  </si>
  <si>
    <t>国信君和（北京）科技有限公司</t>
    <phoneticPr fontId="7" type="noConversion"/>
  </si>
  <si>
    <t>3301B</t>
    <phoneticPr fontId="7" type="noConversion"/>
  </si>
  <si>
    <t>广州粤数大数据有限公司</t>
    <phoneticPr fontId="7" type="noConversion"/>
  </si>
  <si>
    <t>35</t>
    <phoneticPr fontId="2" type="noConversion"/>
  </si>
  <si>
    <t>3501、3502-1、3508-2、3509</t>
    <phoneticPr fontId="7" type="noConversion"/>
  </si>
  <si>
    <t>3503-2、3505</t>
    <phoneticPr fontId="7" type="noConversion"/>
  </si>
  <si>
    <t>宜信普惠信息咨询（北京）有限公司</t>
    <phoneticPr fontId="7" type="noConversion"/>
  </si>
  <si>
    <t>3502-2、3503-1、3508-2</t>
    <phoneticPr fontId="7" type="noConversion"/>
  </si>
  <si>
    <t>德州仪器半导体技术（上海）有限公司</t>
    <phoneticPr fontId="7" type="noConversion"/>
  </si>
  <si>
    <t>3506</t>
  </si>
  <si>
    <t>瑞银证券有限责任公司</t>
    <phoneticPr fontId="7" type="noConversion"/>
  </si>
  <si>
    <t>3507</t>
  </si>
  <si>
    <t>36</t>
    <phoneticPr fontId="2" type="noConversion"/>
  </si>
  <si>
    <t>36层</t>
  </si>
  <si>
    <t>广州赫基信息科技有限公司</t>
    <phoneticPr fontId="7" type="noConversion"/>
  </si>
  <si>
    <t>138/140/145</t>
    <phoneticPr fontId="2" type="noConversion"/>
  </si>
  <si>
    <t>首二年：142元；  第三年：148元</t>
    <phoneticPr fontId="2" type="noConversion"/>
  </si>
  <si>
    <t>首二年135元，次三年145元</t>
    <phoneticPr fontId="2" type="noConversion"/>
  </si>
  <si>
    <t>首二年：135元，三四年：142元，第五年149元</t>
    <phoneticPr fontId="2" type="noConversion"/>
  </si>
  <si>
    <t>一、二：145；三：152</t>
    <phoneticPr fontId="2" type="noConversion"/>
  </si>
  <si>
    <t>前三年135，后二年145</t>
    <phoneticPr fontId="2" type="noConversion"/>
  </si>
  <si>
    <t>首三年134元，次二年147元</t>
    <phoneticPr fontId="2" type="noConversion"/>
  </si>
  <si>
    <t>128/133/140</t>
    <phoneticPr fontId="2" type="noConversion"/>
  </si>
  <si>
    <t>2年135，3、4年141.75，5、6年148.84，7、8年156.28</t>
    <phoneticPr fontId="2" type="noConversion"/>
  </si>
  <si>
    <r>
      <t>2039</t>
    </r>
    <r>
      <rPr>
        <sz val="10"/>
        <color theme="1"/>
        <rFont val="等线"/>
        <family val="2"/>
      </rPr>
      <t>年</t>
    </r>
    <phoneticPr fontId="2" type="noConversion"/>
  </si>
  <si>
    <r>
      <t>2039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</si>
  <si>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2039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</si>
  <si>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2039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</si>
  <si>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2039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</si>
  <si>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2040</t>
    </r>
    <r>
      <rPr>
        <sz val="10"/>
        <color theme="1"/>
        <rFont val="等线"/>
        <family val="2"/>
      </rPr>
      <t>年</t>
    </r>
    <phoneticPr fontId="2" type="noConversion"/>
  </si>
  <si>
    <r>
      <t>2040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</si>
  <si>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2040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</si>
  <si>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2040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</si>
  <si>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2040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</si>
  <si>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2041</t>
    </r>
    <r>
      <rPr>
        <sz val="10"/>
        <color theme="1"/>
        <rFont val="宋体"/>
        <family val="3"/>
        <charset val="134"/>
      </rPr>
      <t>年</t>
    </r>
    <phoneticPr fontId="2" type="noConversion"/>
  </si>
  <si>
    <r>
      <t>2041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</si>
  <si>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2041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</si>
  <si>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2041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</si>
  <si>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2041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</si>
  <si>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2042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</si>
  <si>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2042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</si>
  <si>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2042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</si>
  <si>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2042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</si>
  <si>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2043</t>
    </r>
    <r>
      <rPr>
        <sz val="10"/>
        <color theme="1"/>
        <rFont val="等线"/>
        <family val="2"/>
      </rPr>
      <t>年</t>
    </r>
    <phoneticPr fontId="2" type="noConversion"/>
  </si>
  <si>
    <r>
      <t>2043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</si>
  <si>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2043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</si>
  <si>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2043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</si>
  <si>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2043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</si>
  <si>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2044</t>
    </r>
    <r>
      <rPr>
        <sz val="10"/>
        <color theme="1"/>
        <rFont val="等线"/>
        <family val="2"/>
      </rPr>
      <t>年</t>
    </r>
    <phoneticPr fontId="2" type="noConversion"/>
  </si>
  <si>
    <r>
      <t>2044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</si>
  <si>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2044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</si>
  <si>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2044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</si>
  <si>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2044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</si>
  <si>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2045</t>
    </r>
    <r>
      <rPr>
        <sz val="10"/>
        <color theme="1"/>
        <rFont val="等线"/>
        <family val="2"/>
      </rPr>
      <t>年</t>
    </r>
    <phoneticPr fontId="2" type="noConversion"/>
  </si>
  <si>
    <r>
      <t>2045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</si>
  <si>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2045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</si>
  <si>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2045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</si>
  <si>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2045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</si>
  <si>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2046</t>
    </r>
    <r>
      <rPr>
        <sz val="10"/>
        <color theme="1"/>
        <rFont val="等线"/>
        <family val="2"/>
      </rPr>
      <t>年</t>
    </r>
    <phoneticPr fontId="2" type="noConversion"/>
  </si>
  <si>
    <r>
      <t>2046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</si>
  <si>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2046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</si>
  <si>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2046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</si>
  <si>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2046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</si>
  <si>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2047</t>
    </r>
    <r>
      <rPr>
        <sz val="10"/>
        <color theme="1"/>
        <rFont val="宋体"/>
        <family val="3"/>
        <charset val="134"/>
      </rPr>
      <t>年</t>
    </r>
    <phoneticPr fontId="2" type="noConversion"/>
  </si>
  <si>
    <r>
      <t>2047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</si>
  <si>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2047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</si>
  <si>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2047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</si>
  <si>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2047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</si>
  <si>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r>
      <t>2048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1</t>
    </r>
    <r>
      <rPr>
        <sz val="9"/>
        <rFont val="等线"/>
        <family val="3"/>
        <charset val="134"/>
      </rPr>
      <t>季度</t>
    </r>
    <phoneticPr fontId="2" type="noConversion"/>
  </si>
  <si>
    <r>
      <t>2048</t>
    </r>
    <r>
      <rPr>
        <sz val="10"/>
        <color theme="1"/>
        <rFont val="等线"/>
        <family val="2"/>
      </rPr>
      <t>年</t>
    </r>
    <phoneticPr fontId="2" type="noConversion"/>
  </si>
  <si>
    <r>
      <t>2048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等线"/>
        <family val="3"/>
        <charset val="134"/>
      </rPr>
      <t>季度</t>
    </r>
    <phoneticPr fontId="2" type="noConversion"/>
  </si>
  <si>
    <r>
      <t>2048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3</t>
    </r>
    <r>
      <rPr>
        <sz val="9"/>
        <rFont val="等线"/>
        <family val="3"/>
        <charset val="134"/>
      </rPr>
      <t>季度</t>
    </r>
    <phoneticPr fontId="2" type="noConversion"/>
  </si>
  <si>
    <r>
      <t>2048</t>
    </r>
    <r>
      <rPr>
        <sz val="9"/>
        <rFont val="等线"/>
        <family val="3"/>
        <charset val="134"/>
      </rPr>
      <t>年</t>
    </r>
    <r>
      <rPr>
        <sz val="9"/>
        <rFont val="Arial"/>
        <family val="2"/>
      </rPr>
      <t>4</t>
    </r>
    <r>
      <rPr>
        <sz val="9"/>
        <rFont val="等线"/>
        <family val="3"/>
        <charset val="134"/>
      </rPr>
      <t>季度</t>
    </r>
    <phoneticPr fontId="2" type="noConversion"/>
  </si>
  <si>
    <t>2023年3季度前到期</t>
    <phoneticPr fontId="2" type="noConversion"/>
  </si>
  <si>
    <t>2025年3季度前到期</t>
    <phoneticPr fontId="2" type="noConversion"/>
  </si>
  <si>
    <r>
      <t>2039年</t>
    </r>
    <r>
      <rPr>
        <sz val="10"/>
        <color theme="1"/>
        <rFont val="等线"/>
        <family val="2"/>
      </rPr>
      <t/>
    </r>
  </si>
  <si>
    <r>
      <t>2040年</t>
    </r>
    <r>
      <rPr>
        <sz val="10"/>
        <color theme="1"/>
        <rFont val="等线"/>
        <family val="2"/>
      </rPr>
      <t/>
    </r>
  </si>
  <si>
    <r>
      <t>2041年</t>
    </r>
    <r>
      <rPr>
        <sz val="10"/>
        <color theme="1"/>
        <rFont val="等线"/>
        <family val="2"/>
      </rPr>
      <t/>
    </r>
  </si>
  <si>
    <r>
      <t>2042年</t>
    </r>
    <r>
      <rPr>
        <sz val="10"/>
        <color theme="1"/>
        <rFont val="等线"/>
        <family val="2"/>
      </rPr>
      <t/>
    </r>
  </si>
  <si>
    <r>
      <t>2043年</t>
    </r>
    <r>
      <rPr>
        <sz val="10"/>
        <color theme="1"/>
        <rFont val="等线"/>
        <family val="2"/>
      </rPr>
      <t/>
    </r>
  </si>
  <si>
    <r>
      <t>2044年</t>
    </r>
    <r>
      <rPr>
        <sz val="10"/>
        <color theme="1"/>
        <rFont val="等线"/>
        <family val="2"/>
      </rPr>
      <t/>
    </r>
  </si>
  <si>
    <r>
      <t>2045年</t>
    </r>
    <r>
      <rPr>
        <sz val="10"/>
        <color theme="1"/>
        <rFont val="等线"/>
        <family val="2"/>
      </rPr>
      <t/>
    </r>
  </si>
  <si>
    <r>
      <t>2046年</t>
    </r>
    <r>
      <rPr>
        <sz val="10"/>
        <color theme="1"/>
        <rFont val="等线"/>
        <family val="2"/>
      </rPr>
      <t/>
    </r>
  </si>
  <si>
    <r>
      <t>2047年</t>
    </r>
    <r>
      <rPr>
        <sz val="10"/>
        <color theme="1"/>
        <rFont val="等线"/>
        <family val="2"/>
      </rPr>
      <t/>
    </r>
  </si>
  <si>
    <r>
      <t>2048年</t>
    </r>
    <r>
      <rPr>
        <sz val="10"/>
        <color theme="1"/>
        <rFont val="等线"/>
        <family val="2"/>
      </rPr>
      <t/>
    </r>
  </si>
  <si>
    <t>中泰国际广场车库</t>
    <phoneticPr fontId="2" type="noConversion"/>
  </si>
  <si>
    <t>中泰国际广场办公</t>
    <phoneticPr fontId="2" type="noConversion"/>
  </si>
  <si>
    <t>中泰国际广场物业</t>
    <phoneticPr fontId="2" type="noConversion"/>
  </si>
  <si>
    <t>结果表</t>
    <phoneticPr fontId="2" type="noConversion"/>
  </si>
  <si>
    <t>方法</t>
    <phoneticPr fontId="2" type="noConversion"/>
  </si>
  <si>
    <t>权重</t>
    <phoneticPr fontId="2" type="noConversion"/>
  </si>
  <si>
    <t>商业</t>
    <phoneticPr fontId="2" type="noConversion"/>
  </si>
  <si>
    <t>车库</t>
    <phoneticPr fontId="2" type="noConversion"/>
  </si>
  <si>
    <t>办公</t>
    <phoneticPr fontId="2" type="noConversion"/>
  </si>
  <si>
    <t>现金流</t>
    <phoneticPr fontId="2" type="noConversion"/>
  </si>
  <si>
    <t>总价</t>
    <phoneticPr fontId="2" type="noConversion"/>
  </si>
  <si>
    <t>物业</t>
    <phoneticPr fontId="2" type="noConversion"/>
  </si>
  <si>
    <t>现金流</t>
    <phoneticPr fontId="2" type="noConversion"/>
  </si>
  <si>
    <t>合计</t>
    <phoneticPr fontId="2" type="noConversion"/>
  </si>
  <si>
    <t>总收入</t>
    <phoneticPr fontId="2" type="noConversion"/>
  </si>
  <si>
    <t>分摊土地</t>
    <phoneticPr fontId="2" type="noConversion"/>
  </si>
  <si>
    <t>建筑面积</t>
    <phoneticPr fontId="2" type="noConversion"/>
  </si>
  <si>
    <t>收入</t>
    <phoneticPr fontId="2" type="noConversion"/>
  </si>
  <si>
    <t>商业</t>
    <phoneticPr fontId="2" type="noConversion"/>
  </si>
  <si>
    <t>办公</t>
    <phoneticPr fontId="2" type="noConversion"/>
  </si>
  <si>
    <t>车库</t>
    <phoneticPr fontId="2" type="noConversion"/>
  </si>
  <si>
    <t>物业</t>
    <phoneticPr fontId="2" type="noConversion"/>
  </si>
  <si>
    <t>支出</t>
    <phoneticPr fontId="2" type="noConversion"/>
  </si>
  <si>
    <t>合计</t>
    <phoneticPr fontId="2" type="noConversion"/>
  </si>
  <si>
    <t>评估值</t>
    <phoneticPr fontId="2" type="noConversion"/>
  </si>
  <si>
    <t>2018-2019</t>
    <phoneticPr fontId="2" type="noConversion"/>
  </si>
  <si>
    <t>收入</t>
  </si>
  <si>
    <t>收入</t>
    <phoneticPr fontId="2" type="noConversion"/>
  </si>
  <si>
    <t>支出</t>
  </si>
  <si>
    <t>支出</t>
    <phoneticPr fontId="2" type="noConversion"/>
  </si>
  <si>
    <t>净收益</t>
  </si>
  <si>
    <t>净收益</t>
    <phoneticPr fontId="2" type="noConversion"/>
  </si>
  <si>
    <t>验算</t>
  </si>
  <si>
    <t>验算</t>
    <phoneticPr fontId="2" type="noConversion"/>
  </si>
  <si>
    <t>税收</t>
  </si>
  <si>
    <t>税收</t>
    <phoneticPr fontId="2" type="noConversion"/>
  </si>
  <si>
    <t>市场租金</t>
    <phoneticPr fontId="2" type="noConversion"/>
  </si>
  <si>
    <t>年租金总额</t>
    <phoneticPr fontId="2" type="noConversion"/>
  </si>
  <si>
    <t>月租金单价</t>
    <phoneticPr fontId="2" type="noConversion"/>
  </si>
  <si>
    <t>到期</t>
    <phoneticPr fontId="2" type="noConversion"/>
  </si>
  <si>
    <t>商业市场比较法</t>
    <phoneticPr fontId="2" type="noConversion"/>
  </si>
  <si>
    <t>总价</t>
    <phoneticPr fontId="2" type="noConversion"/>
  </si>
  <si>
    <t>比较法</t>
    <phoneticPr fontId="2" type="noConversion"/>
  </si>
  <si>
    <t>现金流结果</t>
    <phoneticPr fontId="2" type="noConversion"/>
  </si>
  <si>
    <t>方法</t>
    <phoneticPr fontId="2" type="noConversion"/>
  </si>
  <si>
    <t>单价</t>
    <phoneticPr fontId="2" type="noConversion"/>
  </si>
  <si>
    <t>权重</t>
    <phoneticPr fontId="2" type="noConversion"/>
  </si>
  <si>
    <t>结果表</t>
    <phoneticPr fontId="2" type="noConversion"/>
  </si>
  <si>
    <t>权重后总价</t>
    <phoneticPr fontId="2" type="noConversion"/>
  </si>
  <si>
    <t>权重后单价</t>
    <phoneticPr fontId="2" type="noConversion"/>
  </si>
  <si>
    <t>总价</t>
    <phoneticPr fontId="2" type="noConversion"/>
  </si>
  <si>
    <t>单价</t>
    <phoneticPr fontId="2" type="noConversion"/>
  </si>
  <si>
    <t>总价</t>
    <phoneticPr fontId="2" type="noConversion"/>
  </si>
  <si>
    <t>其他</t>
    <phoneticPr fontId="2" type="noConversion"/>
  </si>
  <si>
    <t>办公</t>
    <phoneticPr fontId="2" type="noConversion"/>
  </si>
  <si>
    <t>商业月租金180，增长率3.5%，商业市场法首层单价9万/平方米，权重6，4开，全部32亿</t>
    <phoneticPr fontId="2" type="noConversion"/>
  </si>
  <si>
    <t>反算</t>
    <phoneticPr fontId="2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</si>
  <si>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2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</si>
  <si>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2" type="noConversion"/>
  </si>
  <si>
    <t>价值时点/估价期日</t>
    <phoneticPr fontId="2" type="noConversion"/>
  </si>
  <si>
    <t>价值类型</t>
  </si>
  <si>
    <t>总价（万元）</t>
  </si>
  <si>
    <t>楼面单价（元/平方米）</t>
  </si>
  <si>
    <t>地面单价（元/平方米）</t>
    <phoneticPr fontId="2" type="noConversion"/>
  </si>
  <si>
    <t>市场价值</t>
  </si>
  <si>
    <t>抵押价值</t>
  </si>
  <si>
    <t>抵押价值-已注销</t>
    <phoneticPr fontId="2" type="noConversion"/>
  </si>
  <si>
    <t>抵押净值</t>
  </si>
  <si>
    <t>总投</t>
    <phoneticPr fontId="2" type="noConversion"/>
  </si>
  <si>
    <t>租金</t>
    <phoneticPr fontId="2" type="noConversion"/>
  </si>
  <si>
    <t>重置成新价</t>
    <phoneticPr fontId="2" type="noConversion"/>
  </si>
  <si>
    <t>项目名称</t>
    <phoneticPr fontId="2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</si>
  <si>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2" type="noConversion"/>
  </si>
  <si>
    <t>市场价值（万元）</t>
    <phoneticPr fontId="2" type="noConversion"/>
  </si>
  <si>
    <t>抵押价值（万元）</t>
    <phoneticPr fontId="2" type="noConversion"/>
  </si>
  <si>
    <t>抵押价值-已注销（万元）</t>
    <phoneticPr fontId="2" type="noConversion"/>
  </si>
  <si>
    <t>抵押净值（万元）</t>
    <phoneticPr fontId="2" type="noConversion"/>
  </si>
  <si>
    <t>估价对象1（本表）</t>
    <phoneticPr fontId="2" type="noConversion"/>
  </si>
  <si>
    <t>估价对象2</t>
    <phoneticPr fontId="2" type="noConversion"/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</si>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</sst>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76" formatCode="[DBNum1][$-804]yyyy&quot;年&quot;m&quot;月&quot;d&quot;日&quot;;@"/>
    <numFmt numFmtId="177" formatCode="#,##0.00_ "/>
    <numFmt numFmtId="178" formatCode="#,##0.000_ "/>
    <numFmt numFmtId="179" formatCode="0.0_ "/>
    <numFmt numFmtId="180" formatCode="0.000%"/>
    <numFmt numFmtId="181" formatCode="[DBNum2][$-804]General"/>
    <numFmt numFmtId="182" formatCode="[$-F800]dddd\,\ mmmm\ dd\,\ yyyy"/>
    <numFmt numFmtId="183" formatCode="#,##0_ "/>
    <numFmt numFmtId="184" formatCode="0.0%"/>
  </numFmts>
  <fonts count="38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等线"/>
      <family val="2"/>
      <scheme val="minor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9"/>
      <color indexed="8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Calibri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2"/>
    </font>
    <font>
      <sz val="9"/>
      <name val="等线"/>
      <family val="3"/>
      <charset val="134"/>
    </font>
    <font>
      <sz val="10"/>
      <color theme="1"/>
      <name val="Arial"/>
      <family val="2"/>
    </font>
    <font>
      <sz val="9"/>
      <name val="Arial"/>
      <family val="2"/>
    </font>
    <font>
      <sz val="10"/>
      <name val="等线"/>
      <family val="2"/>
      <scheme val="minor"/>
    </font>
    <font>
      <sz val="9"/>
      <color indexed="8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b/>
      <sz val="9"/>
      <name val="Anial"/>
      <family val="2"/>
    </font>
    <font>
      <b/>
      <sz val="9"/>
      <name val="宋体"/>
      <family val="3"/>
      <charset val="134"/>
    </font>
    <font>
      <b/>
      <sz val="8"/>
      <color indexed="8"/>
      <name val="等线"/>
      <family val="3"/>
      <charset val="134"/>
      <scheme val="minor"/>
    </font>
    <font>
      <sz val="8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b/>
      <sz val="8"/>
      <name val="等线"/>
      <family val="3"/>
      <charset val="134"/>
      <scheme val="minor"/>
    </font>
    <font>
      <b/>
      <sz val="8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theme="1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/>
  </cellStyleXfs>
  <cellXfs count="257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8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vertical="center"/>
    </xf>
    <xf numFmtId="0" fontId="9" fillId="0" borderId="2" xfId="0" applyNumberFormat="1" applyFont="1" applyBorder="1" applyAlignment="1">
      <alignment vertical="center"/>
    </xf>
    <xf numFmtId="0" fontId="9" fillId="0" borderId="3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4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7" fontId="4" fillId="0" borderId="0" xfId="0" applyNumberFormat="1" applyFont="1"/>
    <xf numFmtId="0" fontId="4" fillId="0" borderId="0" xfId="0" applyNumberFormat="1" applyFont="1"/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" xfId="0" applyFont="1" applyBorder="1"/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Alignment="1">
      <alignment horizontal="center" vertical="center"/>
    </xf>
    <xf numFmtId="0" fontId="4" fillId="4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10" fontId="0" fillId="0" borderId="0" xfId="0" applyNumberFormat="1"/>
    <xf numFmtId="0" fontId="4" fillId="0" borderId="0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 applyProtection="1">
      <alignment vertical="center" wrapText="1"/>
      <protection locked="0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17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>
      <alignment horizontal="center"/>
    </xf>
    <xf numFmtId="0" fontId="4" fillId="6" borderId="0" xfId="0" applyFont="1" applyFill="1"/>
    <xf numFmtId="0" fontId="26" fillId="0" borderId="1" xfId="0" applyNumberFormat="1" applyFont="1" applyBorder="1" applyAlignment="1" applyProtection="1">
      <alignment horizontal="center" vertical="center" wrapText="1"/>
      <protection hidden="1"/>
    </xf>
    <xf numFmtId="0" fontId="2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10" fontId="9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4" fillId="0" borderId="1" xfId="0" applyNumberFormat="1" applyFont="1" applyBorder="1"/>
    <xf numFmtId="0" fontId="8" fillId="0" borderId="1" xfId="0" applyFont="1" applyBorder="1"/>
    <xf numFmtId="0" fontId="8" fillId="0" borderId="1" xfId="0" applyNumberFormat="1" applyFont="1" applyBorder="1"/>
    <xf numFmtId="0" fontId="8" fillId="0" borderId="0" xfId="0" applyFont="1"/>
    <xf numFmtId="179" fontId="0" fillId="0" borderId="0" xfId="0" applyNumberFormat="1"/>
    <xf numFmtId="177" fontId="0" fillId="0" borderId="0" xfId="0" applyNumberFormat="1"/>
    <xf numFmtId="9" fontId="4" fillId="0" borderId="1" xfId="0" applyNumberFormat="1" applyFont="1" applyBorder="1"/>
    <xf numFmtId="0" fontId="4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9" fontId="0" fillId="4" borderId="1" xfId="0" applyNumberForma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NumberFormat="1" applyFont="1" applyFill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177" fontId="30" fillId="0" borderId="0" xfId="0" applyNumberFormat="1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177" fontId="30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7" fontId="29" fillId="0" borderId="1" xfId="1" applyNumberFormat="1" applyFont="1" applyFill="1" applyBorder="1" applyAlignment="1">
      <alignment horizontal="center" vertical="center" wrapText="1"/>
    </xf>
    <xf numFmtId="31" fontId="29" fillId="0" borderId="1" xfId="0" applyNumberFormat="1" applyFont="1" applyFill="1" applyBorder="1" applyAlignment="1">
      <alignment horizontal="center" vertical="center" wrapText="1"/>
    </xf>
    <xf numFmtId="182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NumberFormat="1" applyFont="1" applyFill="1" applyBorder="1" applyAlignment="1" applyProtection="1">
      <alignment horizontal="left" vertical="top" wrapText="1"/>
      <protection locked="0"/>
    </xf>
    <xf numFmtId="0" fontId="25" fillId="0" borderId="1" xfId="0" applyFont="1" applyFill="1" applyBorder="1" applyAlignment="1" applyProtection="1">
      <alignment horizontal="left" vertical="top" wrapText="1"/>
      <protection locked="0"/>
    </xf>
    <xf numFmtId="49" fontId="25" fillId="0" borderId="1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/>
    </xf>
    <xf numFmtId="0" fontId="30" fillId="4" borderId="1" xfId="0" applyFont="1" applyFill="1" applyBorder="1" applyAlignment="1">
      <alignment horizontal="center" vertical="center"/>
    </xf>
    <xf numFmtId="183" fontId="30" fillId="0" borderId="1" xfId="0" applyNumberFormat="1" applyFont="1" applyFill="1" applyBorder="1" applyAlignment="1">
      <alignment horizontal="center" vertical="center"/>
    </xf>
    <xf numFmtId="183" fontId="30" fillId="4" borderId="1" xfId="0" applyNumberFormat="1" applyFont="1" applyFill="1" applyBorder="1" applyAlignment="1">
      <alignment horizontal="center" vertical="center"/>
    </xf>
    <xf numFmtId="177" fontId="30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184" fontId="0" fillId="0" borderId="1" xfId="0" applyNumberForma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84" fontId="4" fillId="0" borderId="1" xfId="0" applyNumberFormat="1" applyFont="1" applyBorder="1"/>
    <xf numFmtId="181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4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" fontId="9" fillId="7" borderId="0" xfId="0" applyNumberFormat="1" applyFont="1" applyFill="1" applyBorder="1" applyAlignment="1">
      <alignment vertical="center"/>
    </xf>
    <xf numFmtId="9" fontId="9" fillId="0" borderId="1" xfId="0" applyNumberFormat="1" applyFont="1" applyFill="1" applyBorder="1" applyAlignment="1">
      <alignment horizontal="center" vertical="center"/>
    </xf>
    <xf numFmtId="1" fontId="4" fillId="0" borderId="0" xfId="0" applyNumberFormat="1" applyFont="1"/>
    <xf numFmtId="10" fontId="4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9" fontId="0" fillId="0" borderId="0" xfId="0" applyNumberFormat="1"/>
    <xf numFmtId="2" fontId="0" fillId="0" borderId="0" xfId="0" applyNumberFormat="1"/>
    <xf numFmtId="58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0" xfId="0" applyFill="1"/>
    <xf numFmtId="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84" fontId="0" fillId="4" borderId="0" xfId="0" applyNumberFormat="1" applyFill="1"/>
    <xf numFmtId="10" fontId="4" fillId="7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" fontId="4" fillId="3" borderId="1" xfId="0" applyNumberFormat="1" applyFont="1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21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0" borderId="6" xfId="0" applyNumberFormat="1" applyFont="1" applyBorder="1" applyAlignment="1">
      <alignment horizontal="center"/>
    </xf>
    <xf numFmtId="180" fontId="8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  <xf numFmtId="31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4" fillId="8" borderId="1" xfId="2" applyFont="1" applyFill="1" applyBorder="1" applyAlignment="1">
      <alignment horizontal="center" vertical="center" wrapText="1"/>
    </xf>
    <xf numFmtId="0" fontId="34" fillId="0" borderId="0" xfId="2" applyFont="1" applyBorder="1" applyAlignment="1">
      <alignment horizontal="left" vertical="center" wrapText="1"/>
    </xf>
    <xf numFmtId="0" fontId="1" fillId="0" borderId="0" xfId="2" applyBorder="1"/>
    <xf numFmtId="0" fontId="1" fillId="0" borderId="0" xfId="2"/>
    <xf numFmtId="14" fontId="34" fillId="8" borderId="1" xfId="2" applyNumberFormat="1" applyFont="1" applyFill="1" applyBorder="1" applyAlignment="1">
      <alignment horizontal="center" vertical="center" wrapText="1"/>
    </xf>
    <xf numFmtId="0" fontId="34" fillId="9" borderId="1" xfId="2" applyFont="1" applyFill="1" applyBorder="1" applyAlignment="1" applyProtection="1">
      <alignment horizontal="center" vertical="center" wrapText="1"/>
      <protection locked="0"/>
    </xf>
    <xf numFmtId="0" fontId="1" fillId="8" borderId="1" xfId="2" applyFill="1" applyBorder="1" applyAlignment="1">
      <alignment vertical="center"/>
    </xf>
    <xf numFmtId="0" fontId="34" fillId="8" borderId="10" xfId="2" applyFont="1" applyFill="1" applyBorder="1" applyAlignment="1">
      <alignment horizontal="center" vertical="center" wrapText="1"/>
    </xf>
    <xf numFmtId="0" fontId="37" fillId="8" borderId="1" xfId="2" applyFont="1" applyFill="1" applyBorder="1"/>
    <xf numFmtId="0" fontId="1" fillId="0" borderId="1" xfId="2" applyBorder="1" applyProtection="1">
      <protection locked="0"/>
    </xf>
    <xf numFmtId="0" fontId="34" fillId="0" borderId="1" xfId="2" applyFont="1" applyBorder="1" applyAlignment="1" applyProtection="1">
      <alignment horizontal="left" vertical="center" wrapText="1"/>
      <protection locked="0"/>
    </xf>
    <xf numFmtId="2" fontId="34" fillId="8" borderId="1" xfId="2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9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66676</xdr:rowOff>
    </xdr:from>
    <xdr:to>
      <xdr:col>16</xdr:col>
      <xdr:colOff>324541</xdr:colOff>
      <xdr:row>17</xdr:row>
      <xdr:rowOff>123825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66676"/>
          <a:ext cx="6306241" cy="2809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150;&#20844;&#27604;&#36739;&#278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2"/>
      <sheetName val="预评函-3"/>
      <sheetName val="预评函-4"/>
      <sheetName val="预评函-5"/>
      <sheetName val="使用说明"/>
      <sheetName val="估价师及机构信息"/>
      <sheetName val="定义"/>
      <sheetName val="项目基本情况"/>
      <sheetName val="数据-基础表"/>
      <sheetName val="抵押物清单（分楼）"/>
      <sheetName val="数据-汇总表"/>
      <sheetName val="数据-取费表"/>
      <sheetName val="估价对象房地状况"/>
      <sheetName val="系统读取表"/>
      <sheetName val="结果表"/>
      <sheetName val="成本法"/>
      <sheetName val="成本法 (元)"/>
      <sheetName val="假设开发法"/>
      <sheetName val="收益法"/>
      <sheetName val="收益法 (元)"/>
      <sheetName val="收益法（汇总）"/>
      <sheetName val="酒店收入计算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基准地价修正"/>
      <sheetName val="修正"/>
      <sheetName val="容积率修正"/>
      <sheetName val="基准地价（汇总）"/>
      <sheetName val="地价"/>
      <sheetName val="典型户型修正"/>
      <sheetName val="成本法（废）"/>
      <sheetName val="区片价"/>
      <sheetName val="因素修正幅度"/>
      <sheetName val="存贷款利率"/>
      <sheetName val="区片价（范围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D3">
            <v>43214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18">
          <cell r="B118">
            <v>43941.79</v>
          </cell>
          <cell r="C118">
            <v>3328.15</v>
          </cell>
        </row>
        <row r="126">
          <cell r="D126" t="str">
            <v>——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49">
          <cell r="C49">
            <v>34840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1"/>
  <sheetViews>
    <sheetView topLeftCell="B1" workbookViewId="0">
      <selection activeCell="J29" sqref="J29"/>
    </sheetView>
  </sheetViews>
  <sheetFormatPr defaultRowHeight="14.25"/>
  <cols>
    <col min="1" max="1" width="10.875" customWidth="1"/>
    <col min="2" max="2" width="16.25" customWidth="1"/>
    <col min="3" max="3" width="14.25" customWidth="1"/>
    <col min="4" max="4" width="12.25" customWidth="1"/>
    <col min="7" max="7" width="9.75" bestFit="1" customWidth="1"/>
    <col min="15" max="15" width="10.5" bestFit="1" customWidth="1"/>
    <col min="16" max="16" width="7.875" customWidth="1"/>
  </cols>
  <sheetData>
    <row r="1" spans="1:8">
      <c r="A1" s="12"/>
      <c r="B1" s="12"/>
      <c r="C1" s="12" t="s">
        <v>15</v>
      </c>
      <c r="D1" s="12" t="s">
        <v>14</v>
      </c>
    </row>
    <row r="2" spans="1:8">
      <c r="A2" s="209" t="s">
        <v>0</v>
      </c>
      <c r="B2" s="11" t="s">
        <v>13</v>
      </c>
      <c r="C2" s="42">
        <v>248.4</v>
      </c>
      <c r="D2" s="12">
        <v>1</v>
      </c>
    </row>
    <row r="3" spans="1:8">
      <c r="A3" s="209"/>
      <c r="B3" s="4" t="s">
        <v>3</v>
      </c>
      <c r="C3" s="3">
        <v>473.54</v>
      </c>
      <c r="D3" s="12">
        <v>1</v>
      </c>
    </row>
    <row r="4" spans="1:8">
      <c r="A4" s="209"/>
      <c r="B4" s="5" t="s">
        <v>4</v>
      </c>
      <c r="C4" s="3">
        <v>2883.4700000000003</v>
      </c>
      <c r="D4" s="12">
        <v>22</v>
      </c>
      <c r="E4">
        <v>7311.05</v>
      </c>
    </row>
    <row r="5" spans="1:8">
      <c r="A5" s="209"/>
      <c r="B5" s="5" t="s">
        <v>5</v>
      </c>
      <c r="C5" s="64">
        <v>5164.96</v>
      </c>
      <c r="D5" s="12">
        <v>18</v>
      </c>
      <c r="G5" t="s">
        <v>620</v>
      </c>
      <c r="H5" t="s">
        <v>619</v>
      </c>
    </row>
    <row r="6" spans="1:8">
      <c r="A6" s="209"/>
      <c r="B6" s="7" t="s">
        <v>6</v>
      </c>
      <c r="C6" s="6">
        <v>4951.2899999999991</v>
      </c>
      <c r="D6" s="12">
        <v>37</v>
      </c>
      <c r="F6" t="s">
        <v>319</v>
      </c>
      <c r="G6" s="109">
        <f>C13-C12-C11</f>
        <v>39174.900000000009</v>
      </c>
      <c r="H6">
        <f>ROUND(G6/$G$9*$E$4,2)</f>
        <v>2967.11</v>
      </c>
    </row>
    <row r="7" spans="1:8">
      <c r="A7" s="209"/>
      <c r="B7" s="8" t="s">
        <v>7</v>
      </c>
      <c r="C7" s="6">
        <v>5343.68</v>
      </c>
      <c r="D7" s="12">
        <v>45</v>
      </c>
      <c r="F7" t="s">
        <v>320</v>
      </c>
      <c r="G7">
        <f>C12</f>
        <v>43941.79</v>
      </c>
      <c r="H7">
        <f t="shared" ref="H7:H8" si="0">ROUND(G7/$G$9*$E$4,2)</f>
        <v>3328.15</v>
      </c>
    </row>
    <row r="8" spans="1:8">
      <c r="A8" s="209"/>
      <c r="B8" s="8" t="s">
        <v>8</v>
      </c>
      <c r="C8" s="6">
        <v>6805.55</v>
      </c>
      <c r="D8" s="12">
        <v>2</v>
      </c>
      <c r="F8" t="s">
        <v>321</v>
      </c>
      <c r="G8" s="110">
        <f>C11</f>
        <v>13411.51</v>
      </c>
      <c r="H8">
        <f t="shared" si="0"/>
        <v>1015.79</v>
      </c>
    </row>
    <row r="9" spans="1:8">
      <c r="A9" s="209"/>
      <c r="B9" s="8" t="s">
        <v>9</v>
      </c>
      <c r="C9" s="6">
        <v>6523.77</v>
      </c>
      <c r="D9" s="12">
        <v>1</v>
      </c>
      <c r="G9" s="109">
        <f>SUM(G6:G8)</f>
        <v>96528.2</v>
      </c>
      <c r="H9">
        <f>SUM(H6:H8)</f>
        <v>7311.05</v>
      </c>
    </row>
    <row r="10" spans="1:8">
      <c r="A10" s="209"/>
      <c r="B10" s="8" t="s">
        <v>10</v>
      </c>
      <c r="C10" s="6">
        <v>6780.24</v>
      </c>
      <c r="D10" s="12">
        <v>4</v>
      </c>
    </row>
    <row r="11" spans="1:8">
      <c r="A11" s="6" t="s">
        <v>1</v>
      </c>
      <c r="B11" s="8" t="s">
        <v>16</v>
      </c>
      <c r="C11" s="9">
        <v>13411.51</v>
      </c>
      <c r="D11" s="12">
        <f>150+179</f>
        <v>329</v>
      </c>
    </row>
    <row r="12" spans="1:8" ht="48">
      <c r="A12" s="6" t="s">
        <v>2</v>
      </c>
      <c r="B12" s="8" t="s">
        <v>17</v>
      </c>
      <c r="C12" s="6">
        <v>43941.79</v>
      </c>
      <c r="D12" s="12">
        <v>71</v>
      </c>
    </row>
    <row r="13" spans="1:8">
      <c r="A13" s="2" t="s">
        <v>12</v>
      </c>
      <c r="B13" s="1"/>
      <c r="C13" s="10">
        <f>SUM(C2:C12)</f>
        <v>96528.200000000012</v>
      </c>
      <c r="D13" s="12"/>
    </row>
    <row r="16" spans="1:8">
      <c r="B16" s="41"/>
    </row>
    <row r="19" spans="1:16">
      <c r="A19" s="206" t="s">
        <v>49</v>
      </c>
      <c r="B19" s="206"/>
      <c r="C19" s="206"/>
      <c r="D19" s="206"/>
      <c r="E19" s="206"/>
      <c r="F19" s="206"/>
      <c r="G19" s="206"/>
      <c r="H19" s="206"/>
      <c r="L19" s="206" t="s">
        <v>660</v>
      </c>
      <c r="M19" s="206"/>
    </row>
    <row r="20" spans="1:16" ht="25.5">
      <c r="A20" s="51"/>
      <c r="B20" s="51" t="s">
        <v>15</v>
      </c>
      <c r="C20" s="51"/>
      <c r="D20" s="51" t="s">
        <v>267</v>
      </c>
      <c r="E20" s="51" t="s">
        <v>266</v>
      </c>
      <c r="F20" s="51" t="s">
        <v>268</v>
      </c>
      <c r="G20" s="56" t="s">
        <v>269</v>
      </c>
      <c r="H20" s="51" t="s">
        <v>271</v>
      </c>
      <c r="I20" s="192" t="s">
        <v>644</v>
      </c>
      <c r="J20" s="191" t="s">
        <v>645</v>
      </c>
      <c r="K20" s="199"/>
      <c r="L20" s="203" t="s">
        <v>655</v>
      </c>
      <c r="M20" s="203" t="s">
        <v>656</v>
      </c>
      <c r="N20" s="187" t="s">
        <v>640</v>
      </c>
      <c r="O20" s="187" t="s">
        <v>641</v>
      </c>
      <c r="P20" s="22" t="s">
        <v>642</v>
      </c>
    </row>
    <row r="21" spans="1:16">
      <c r="A21" s="55" t="s">
        <v>250</v>
      </c>
      <c r="B21" s="50">
        <f>商业现金流!E3</f>
        <v>248.4</v>
      </c>
      <c r="C21" s="55" t="s">
        <v>258</v>
      </c>
      <c r="D21" s="63">
        <f>基础数据!C2-基础数据!B21</f>
        <v>0</v>
      </c>
      <c r="E21" s="51">
        <v>0.8</v>
      </c>
      <c r="F21" s="51">
        <f>ROUND(E21*F22,2)</f>
        <v>8.8000000000000007</v>
      </c>
      <c r="G21" s="51">
        <f>F21*D21</f>
        <v>0</v>
      </c>
      <c r="H21" s="51"/>
      <c r="I21" s="185">
        <f>I22*E21</f>
        <v>7.2</v>
      </c>
      <c r="J21">
        <f>I21*(B21+D21)</f>
        <v>1788.48</v>
      </c>
      <c r="L21" s="198">
        <f>E21*L22</f>
        <v>5.28</v>
      </c>
      <c r="M21" s="198">
        <f>L21*C2</f>
        <v>1311.5520000000001</v>
      </c>
      <c r="N21" s="22">
        <f>ROUND((F21*B21+F22*B22+F23*B23+F24*B24+F25*B25)/B29,2)</f>
        <v>6.8</v>
      </c>
      <c r="O21" s="22">
        <f>ROUND((F21*(B21+D21)+F22*(B22+D22)+F23*(B23+D23)+F24*(B24+D24)+F25*(B25+D25))*365/10000,0)</f>
        <v>9688</v>
      </c>
      <c r="P21">
        <f>ROUND(O21/12/G6*10000,0)</f>
        <v>206</v>
      </c>
    </row>
    <row r="22" spans="1:16">
      <c r="A22" s="51" t="s">
        <v>251</v>
      </c>
      <c r="B22" s="50">
        <f>商业现金流!E4+商业现金流!E5+商业现金流!E6+商业现金流!E7+商业现金流!E8+商业现金流!E9+商业现金流!E10+商业现金流!E11</f>
        <v>3356.59</v>
      </c>
      <c r="C22" s="51" t="s">
        <v>259</v>
      </c>
      <c r="D22" s="63">
        <f>基础数据!C3+基础数据!C4-基础数据!B22</f>
        <v>0.42000000000007276</v>
      </c>
      <c r="E22" s="51">
        <v>1</v>
      </c>
      <c r="F22" s="200">
        <v>11</v>
      </c>
      <c r="G22" s="51">
        <f>F22*D22</f>
        <v>4.6200000000008004</v>
      </c>
      <c r="H22" s="51"/>
      <c r="I22" s="186">
        <v>9</v>
      </c>
      <c r="J22">
        <f t="shared" ref="J22:J24" si="1">I22*(B22+D22)</f>
        <v>30213.090000000004</v>
      </c>
      <c r="L22" s="204">
        <v>6.6</v>
      </c>
      <c r="M22" s="198">
        <f>L22*(C3+C4)</f>
        <v>22156.266</v>
      </c>
    </row>
    <row r="23" spans="1:16">
      <c r="A23" s="51" t="s">
        <v>252</v>
      </c>
      <c r="B23" s="50">
        <f>商业现金流!E12+商业现金流!E13+商业现金流!E14+商业现金流!E15+商业现金流!E16+商业现金流!E17+商业现金流!E18+商业现金流!E19</f>
        <v>5038.424</v>
      </c>
      <c r="C23" s="51" t="s">
        <v>260</v>
      </c>
      <c r="D23" s="63">
        <f>基础数据!C5-基础数据!B23</f>
        <v>126.53600000000006</v>
      </c>
      <c r="E23" s="51">
        <v>0.65</v>
      </c>
      <c r="F23" s="51">
        <f>ROUND(F22*E23,2)</f>
        <v>7.15</v>
      </c>
      <c r="G23" s="51">
        <f>F23*D23</f>
        <v>904.73240000000044</v>
      </c>
      <c r="H23" s="51"/>
      <c r="I23" s="185">
        <f>I22*E23</f>
        <v>5.8500000000000005</v>
      </c>
      <c r="J23">
        <f t="shared" si="1"/>
        <v>30215.016000000003</v>
      </c>
      <c r="L23" s="198">
        <f>L22*E23</f>
        <v>4.29</v>
      </c>
      <c r="M23" s="198">
        <f>L23*C5</f>
        <v>22157.678400000001</v>
      </c>
      <c r="N23" s="188">
        <v>200</v>
      </c>
      <c r="O23" s="201">
        <v>3.5000000000000003E-2</v>
      </c>
    </row>
    <row r="24" spans="1:16">
      <c r="A24" s="51" t="s">
        <v>253</v>
      </c>
      <c r="B24" s="50">
        <f>商业现金流!E20+商业现金流!E21+商业现金流!E22+商业现金流!E23+商业现金流!E24+商业现金流!E25+商业现金流!E26</f>
        <v>4569.32</v>
      </c>
      <c r="C24" s="51" t="s">
        <v>261</v>
      </c>
      <c r="D24" s="63">
        <f>基础数据!C6-基础数据!B24</f>
        <v>381.96999999999935</v>
      </c>
      <c r="E24" s="51">
        <f>E23</f>
        <v>0.65</v>
      </c>
      <c r="F24" s="51">
        <f>ROUND(F22*E24,2)</f>
        <v>7.15</v>
      </c>
      <c r="G24" s="51">
        <f>F24*D24</f>
        <v>2731.0854999999956</v>
      </c>
      <c r="H24" s="51"/>
      <c r="I24" s="185">
        <f>E24*I22</f>
        <v>5.8500000000000005</v>
      </c>
      <c r="J24">
        <f t="shared" si="1"/>
        <v>28965.046499999997</v>
      </c>
      <c r="L24" s="198">
        <f>L22*E24</f>
        <v>4.29</v>
      </c>
      <c r="M24" s="198">
        <f>L24*C6</f>
        <v>21241.034099999997</v>
      </c>
    </row>
    <row r="25" spans="1:16">
      <c r="A25" s="51" t="s">
        <v>254</v>
      </c>
      <c r="B25" s="211">
        <f>商业现金流!E27+商业现金流!E28+商业现金流!E29+商业现金流!E30+商业现金流!E31+商业现金流!E32</f>
        <v>23811</v>
      </c>
      <c r="C25" s="51" t="s">
        <v>262</v>
      </c>
      <c r="D25" s="210">
        <f>基础数据!C7+基础数据!C8+基础数据!C9+基础数据!C10-B25</f>
        <v>1642.239999999998</v>
      </c>
      <c r="E25" s="207">
        <v>0.55000000000000004</v>
      </c>
      <c r="F25" s="207">
        <f>ROUND(F22*E25,2)</f>
        <v>6.05</v>
      </c>
      <c r="G25" s="207">
        <f>F25*D25</f>
        <v>9935.5519999999869</v>
      </c>
      <c r="H25" s="51"/>
      <c r="I25" s="208">
        <f>I22*E25</f>
        <v>4.95</v>
      </c>
      <c r="J25">
        <f>I25*(B25+D25)</f>
        <v>125993.538</v>
      </c>
      <c r="L25" s="198">
        <f>L22*E25</f>
        <v>3.63</v>
      </c>
      <c r="M25" s="198">
        <f>L25*(C7+C8+C9+C10)</f>
        <v>92395.261199999994</v>
      </c>
      <c r="N25" s="181"/>
    </row>
    <row r="26" spans="1:16">
      <c r="A26" s="51" t="s">
        <v>255</v>
      </c>
      <c r="B26" s="207"/>
      <c r="C26" s="51" t="s">
        <v>263</v>
      </c>
      <c r="D26" s="210"/>
      <c r="E26" s="207"/>
      <c r="F26" s="207"/>
      <c r="G26" s="207"/>
      <c r="H26" s="51"/>
      <c r="I26" s="208"/>
      <c r="J26">
        <f>I26*B26</f>
        <v>0</v>
      </c>
    </row>
    <row r="27" spans="1:16">
      <c r="A27" s="51" t="s">
        <v>256</v>
      </c>
      <c r="B27" s="207"/>
      <c r="C27" s="51" t="s">
        <v>264</v>
      </c>
      <c r="D27" s="210"/>
      <c r="E27" s="207"/>
      <c r="F27" s="207"/>
      <c r="G27" s="207"/>
      <c r="H27" s="51"/>
      <c r="I27" s="208"/>
      <c r="J27">
        <f>I27*B27</f>
        <v>0</v>
      </c>
    </row>
    <row r="28" spans="1:16">
      <c r="A28" s="51" t="s">
        <v>257</v>
      </c>
      <c r="B28" s="207"/>
      <c r="C28" s="51" t="s">
        <v>265</v>
      </c>
      <c r="D28" s="210"/>
      <c r="E28" s="207"/>
      <c r="F28" s="207"/>
      <c r="G28" s="207"/>
      <c r="H28" s="51"/>
      <c r="I28" s="208"/>
      <c r="J28">
        <f>I28*B28</f>
        <v>0</v>
      </c>
    </row>
    <row r="29" spans="1:16">
      <c r="A29" s="51"/>
      <c r="B29" s="50">
        <f>SUM(B21:B28)</f>
        <v>37023.733999999997</v>
      </c>
      <c r="C29" s="51"/>
      <c r="D29" s="62">
        <f>SUM(D21:D28)</f>
        <v>2151.1659999999974</v>
      </c>
      <c r="E29" s="51"/>
      <c r="F29" s="51"/>
      <c r="G29" s="51">
        <f>SUM(G21:G28)</f>
        <v>13575.989899999984</v>
      </c>
      <c r="H29" s="51">
        <f>ROUND(G29/D29,2)</f>
        <v>6.31</v>
      </c>
      <c r="J29">
        <f>ROUND(SUM(J21:J28),0)</f>
        <v>217175</v>
      </c>
      <c r="M29">
        <f>SUM(M21:M25)</f>
        <v>159261.7917</v>
      </c>
    </row>
    <row r="31" spans="1:16">
      <c r="C31" s="74">
        <f>ROUND(B29/(B29+D29),4)</f>
        <v>0.94510000000000005</v>
      </c>
      <c r="K31">
        <f>结果表!B13</f>
        <v>160568</v>
      </c>
    </row>
  </sheetData>
  <mergeCells count="9">
    <mergeCell ref="L19:M19"/>
    <mergeCell ref="G25:G28"/>
    <mergeCell ref="A19:H19"/>
    <mergeCell ref="I25:I28"/>
    <mergeCell ref="A2:A10"/>
    <mergeCell ref="D25:D28"/>
    <mergeCell ref="E25:E28"/>
    <mergeCell ref="B25:B28"/>
    <mergeCell ref="F25:F28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8"/>
  <sheetViews>
    <sheetView topLeftCell="A7" workbookViewId="0">
      <selection activeCell="J31" sqref="J31"/>
    </sheetView>
  </sheetViews>
  <sheetFormatPr defaultRowHeight="12.75"/>
  <cols>
    <col min="1" max="1" width="3.125" style="13" customWidth="1"/>
    <col min="2" max="2" width="15.375" style="13" customWidth="1"/>
    <col min="3" max="5" width="12.625" style="13" customWidth="1"/>
    <col min="6" max="6" width="11.75" style="13" customWidth="1"/>
    <col min="7" max="7" width="12.625" style="13" customWidth="1"/>
    <col min="8" max="16384" width="9" style="13"/>
  </cols>
  <sheetData>
    <row r="1" spans="1:12">
      <c r="A1" s="213" t="s">
        <v>38</v>
      </c>
      <c r="B1" s="213"/>
      <c r="C1" s="213"/>
      <c r="D1" s="213"/>
      <c r="E1" s="213"/>
      <c r="F1" s="213"/>
      <c r="G1" s="213"/>
    </row>
    <row r="2" spans="1:12">
      <c r="A2" s="216"/>
      <c r="B2" s="216"/>
      <c r="C2" s="14" t="s">
        <v>19</v>
      </c>
      <c r="D2" s="14" t="s">
        <v>20</v>
      </c>
      <c r="E2" s="14" t="s">
        <v>18</v>
      </c>
      <c r="F2" s="14" t="s">
        <v>21</v>
      </c>
      <c r="G2" s="14" t="s">
        <v>11</v>
      </c>
      <c r="I2" s="14"/>
      <c r="J2" s="14"/>
      <c r="K2" s="14"/>
      <c r="L2" s="14"/>
    </row>
    <row r="3" spans="1:12">
      <c r="A3" s="217" t="s">
        <v>22</v>
      </c>
      <c r="B3" s="217"/>
      <c r="C3" s="15">
        <f t="shared" ref="C3" si="0">SUM(C4:C12)</f>
        <v>50282504.620000005</v>
      </c>
      <c r="D3" s="15">
        <f>SUM(D4:D12)</f>
        <v>47927173.159999989</v>
      </c>
      <c r="E3" s="166">
        <f>SUM(E4:E12)-E10-E11</f>
        <v>49385785.219999991</v>
      </c>
      <c r="F3" s="15">
        <f>SUM(F4:F12)-F10-F11</f>
        <v>12103424.01</v>
      </c>
      <c r="G3" s="15">
        <f>SUM(C3:F3)</f>
        <v>159698887.00999999</v>
      </c>
    </row>
    <row r="4" spans="1:12">
      <c r="A4" s="16"/>
      <c r="B4" s="17" t="s">
        <v>23</v>
      </c>
      <c r="C4" s="18">
        <v>8806822.25</v>
      </c>
      <c r="D4" s="18">
        <v>9075383.0899999999</v>
      </c>
      <c r="E4" s="18">
        <v>11197268.189999999</v>
      </c>
      <c r="F4" s="18">
        <v>3106538.06</v>
      </c>
      <c r="G4" s="15">
        <f t="shared" ref="G4:G12" si="1">SUM(C4:F4)</f>
        <v>32186011.59</v>
      </c>
      <c r="I4" s="93"/>
      <c r="J4" s="93"/>
      <c r="K4" s="93"/>
      <c r="L4" s="93"/>
    </row>
    <row r="5" spans="1:12">
      <c r="A5" s="16"/>
      <c r="B5" s="17" t="s">
        <v>24</v>
      </c>
      <c r="C5" s="18">
        <v>34052213.210000001</v>
      </c>
      <c r="D5" s="18">
        <v>32258549.41</v>
      </c>
      <c r="E5" s="18">
        <v>31063044.239999998</v>
      </c>
      <c r="F5" s="18">
        <v>7325547.0499999998</v>
      </c>
      <c r="G5" s="15">
        <f t="shared" si="1"/>
        <v>104699353.91</v>
      </c>
      <c r="I5" s="93"/>
      <c r="J5" s="93"/>
      <c r="K5" s="93"/>
      <c r="L5" s="93"/>
    </row>
    <row r="6" spans="1:12">
      <c r="A6" s="16"/>
      <c r="B6" s="17" t="s">
        <v>25</v>
      </c>
      <c r="C6" s="18">
        <v>5214525</v>
      </c>
      <c r="D6" s="18">
        <v>4289944.16</v>
      </c>
      <c r="E6" s="18">
        <v>4541155.3099999996</v>
      </c>
      <c r="F6" s="18">
        <v>1174698.69</v>
      </c>
      <c r="G6" s="15">
        <f t="shared" si="1"/>
        <v>15220323.159999998</v>
      </c>
      <c r="I6" s="93"/>
      <c r="J6" s="93"/>
      <c r="K6" s="93"/>
      <c r="L6" s="93"/>
    </row>
    <row r="7" spans="1:12">
      <c r="A7" s="16"/>
      <c r="B7" s="17" t="s">
        <v>26</v>
      </c>
      <c r="C7" s="18">
        <v>295596.88</v>
      </c>
      <c r="D7" s="18">
        <v>431228.91</v>
      </c>
      <c r="E7" s="18">
        <v>455029.3</v>
      </c>
      <c r="F7" s="18">
        <v>51613.45</v>
      </c>
      <c r="G7" s="15">
        <f t="shared" si="1"/>
        <v>1233468.54</v>
      </c>
      <c r="I7" s="93"/>
      <c r="J7" s="93"/>
      <c r="K7" s="93"/>
      <c r="L7" s="93"/>
    </row>
    <row r="8" spans="1:12">
      <c r="A8" s="16"/>
      <c r="B8" s="17" t="s">
        <v>27</v>
      </c>
      <c r="C8" s="18">
        <v>1484934.78</v>
      </c>
      <c r="D8" s="18">
        <v>1628036.76</v>
      </c>
      <c r="E8" s="18">
        <v>1679381.19</v>
      </c>
      <c r="F8" s="18">
        <v>337502.95</v>
      </c>
      <c r="G8" s="15">
        <f t="shared" si="1"/>
        <v>5129855.6800000006</v>
      </c>
      <c r="I8" s="93"/>
      <c r="J8" s="93"/>
      <c r="K8" s="93"/>
      <c r="L8" s="93"/>
    </row>
    <row r="9" spans="1:12">
      <c r="A9" s="16"/>
      <c r="B9" s="17" t="s">
        <v>28</v>
      </c>
      <c r="C9" s="18"/>
      <c r="D9" s="18">
        <v>33076.230000000003</v>
      </c>
      <c r="E9" s="18">
        <v>231279.17</v>
      </c>
      <c r="F9" s="18">
        <v>107523.81</v>
      </c>
      <c r="G9" s="15">
        <f t="shared" si="1"/>
        <v>371879.21</v>
      </c>
      <c r="I9" s="93"/>
      <c r="J9" s="93"/>
      <c r="K9" s="93"/>
      <c r="L9" s="93"/>
    </row>
    <row r="10" spans="1:12">
      <c r="A10" s="16"/>
      <c r="B10" s="17" t="s">
        <v>29</v>
      </c>
      <c r="C10" s="18"/>
      <c r="D10" s="18"/>
      <c r="E10" s="18">
        <v>10666566.23</v>
      </c>
      <c r="F10" s="18">
        <v>2046809.46</v>
      </c>
      <c r="G10" s="15">
        <f>SUM(C10:F10)</f>
        <v>12713375.690000001</v>
      </c>
      <c r="I10" s="93"/>
      <c r="J10" s="93"/>
      <c r="K10" s="93"/>
      <c r="L10" s="93"/>
    </row>
    <row r="11" spans="1:12">
      <c r="A11" s="16"/>
      <c r="B11" s="17" t="s">
        <v>30</v>
      </c>
      <c r="C11" s="18"/>
      <c r="D11" s="18"/>
      <c r="E11" s="18">
        <v>920317.1</v>
      </c>
      <c r="F11" s="18">
        <v>221713.74</v>
      </c>
      <c r="G11" s="15">
        <f t="shared" si="1"/>
        <v>1142030.8399999999</v>
      </c>
      <c r="I11" s="93"/>
      <c r="J11" s="93"/>
      <c r="K11" s="93"/>
      <c r="L11" s="93"/>
    </row>
    <row r="12" spans="1:12">
      <c r="A12" s="16"/>
      <c r="B12" s="17" t="s">
        <v>31</v>
      </c>
      <c r="C12" s="18">
        <v>428412.5</v>
      </c>
      <c r="D12" s="18">
        <v>210954.6</v>
      </c>
      <c r="E12" s="18">
        <v>218627.82</v>
      </c>
      <c r="F12" s="18"/>
      <c r="G12" s="15">
        <f t="shared" si="1"/>
        <v>857994.91999999993</v>
      </c>
      <c r="I12" s="93"/>
      <c r="J12" s="93"/>
      <c r="K12" s="93"/>
      <c r="L12" s="93"/>
    </row>
    <row r="13" spans="1:12">
      <c r="A13" s="217" t="s">
        <v>32</v>
      </c>
      <c r="B13" s="217"/>
      <c r="C13" s="15">
        <v>7822343.2199999997</v>
      </c>
      <c r="D13" s="15">
        <v>6981004.46</v>
      </c>
      <c r="E13" s="15">
        <v>11151169.039999999</v>
      </c>
      <c r="F13" s="15">
        <v>4847417.01</v>
      </c>
      <c r="G13" s="15">
        <f>SUM(C13:F13)</f>
        <v>30801933.729999997</v>
      </c>
      <c r="I13" s="93"/>
      <c r="J13" s="93"/>
      <c r="K13" s="93"/>
    </row>
    <row r="14" spans="1:12">
      <c r="A14" s="217" t="s">
        <v>33</v>
      </c>
      <c r="B14" s="217"/>
      <c r="C14" s="15">
        <f>SUM(C15:C18)</f>
        <v>16041451.030000001</v>
      </c>
      <c r="D14" s="15">
        <f>SUM(D15:D18)</f>
        <v>15214951.000000002</v>
      </c>
      <c r="E14" s="15">
        <f>SUM(E15:E18)</f>
        <v>15287231.17</v>
      </c>
      <c r="F14" s="15">
        <f>SUM(F15:F18)</f>
        <v>1729045.72</v>
      </c>
      <c r="G14" s="15">
        <f>SUM(C14:F14)</f>
        <v>48272678.920000002</v>
      </c>
      <c r="I14" s="93"/>
      <c r="J14" s="93"/>
      <c r="K14" s="93"/>
    </row>
    <row r="15" spans="1:12">
      <c r="A15" s="16"/>
      <c r="B15" s="19" t="s">
        <v>34</v>
      </c>
      <c r="C15" s="18">
        <v>1198590.6299999999</v>
      </c>
      <c r="D15" s="18">
        <v>1366470.2</v>
      </c>
      <c r="E15" s="18">
        <v>1533231.14</v>
      </c>
      <c r="F15" s="18">
        <v>168689.94</v>
      </c>
      <c r="G15" s="15">
        <f t="shared" ref="G15:G17" si="2">SUM(C15:F15)</f>
        <v>4266981.91</v>
      </c>
      <c r="I15" s="93"/>
      <c r="J15" s="93"/>
      <c r="K15" s="93"/>
    </row>
    <row r="16" spans="1:12">
      <c r="A16" s="16"/>
      <c r="B16" s="19" t="s">
        <v>35</v>
      </c>
      <c r="C16" s="18">
        <v>2684213.79</v>
      </c>
      <c r="D16" s="18">
        <v>1508920.25</v>
      </c>
      <c r="E16" s="18">
        <v>1088476.54</v>
      </c>
      <c r="F16" s="18">
        <v>37839.32</v>
      </c>
      <c r="G16" s="15">
        <f t="shared" si="2"/>
        <v>5319449.9000000004</v>
      </c>
      <c r="I16" s="93"/>
      <c r="J16" s="93"/>
      <c r="K16" s="93"/>
    </row>
    <row r="17" spans="1:11">
      <c r="A17" s="16"/>
      <c r="B17" s="19" t="s">
        <v>36</v>
      </c>
      <c r="C17" s="18">
        <v>8762597.0600000005</v>
      </c>
      <c r="D17" s="18">
        <v>8162163.5800000001</v>
      </c>
      <c r="E17" s="167">
        <v>7409265.2599999998</v>
      </c>
      <c r="F17" s="18">
        <v>1300189.2</v>
      </c>
      <c r="G17" s="15">
        <f t="shared" si="2"/>
        <v>25634215.099999998</v>
      </c>
      <c r="I17" s="93"/>
      <c r="J17" s="93"/>
      <c r="K17" s="93"/>
    </row>
    <row r="18" spans="1:11">
      <c r="A18" s="16"/>
      <c r="B18" s="19" t="s">
        <v>37</v>
      </c>
      <c r="C18" s="18">
        <v>3396049.55</v>
      </c>
      <c r="D18" s="18">
        <v>4177396.97</v>
      </c>
      <c r="E18" s="18">
        <v>5256258.2300000004</v>
      </c>
      <c r="F18" s="18">
        <v>222327.26</v>
      </c>
      <c r="G18" s="15">
        <f>SUM(C18:F18)</f>
        <v>13052032.01</v>
      </c>
      <c r="I18" s="93"/>
      <c r="J18" s="93"/>
      <c r="K18" s="93"/>
    </row>
    <row r="19" spans="1:11">
      <c r="A19" s="90"/>
      <c r="B19" s="91"/>
      <c r="C19" s="90"/>
      <c r="D19" s="90"/>
      <c r="E19" s="90"/>
      <c r="F19" s="90"/>
      <c r="G19" s="92"/>
    </row>
    <row r="20" spans="1:11">
      <c r="A20" s="90"/>
      <c r="B20" s="58"/>
      <c r="C20" s="14" t="s">
        <v>19</v>
      </c>
      <c r="D20" s="14" t="s">
        <v>20</v>
      </c>
      <c r="E20" s="14" t="s">
        <v>18</v>
      </c>
      <c r="F20" s="90"/>
      <c r="G20" s="90"/>
    </row>
    <row r="21" spans="1:11">
      <c r="A21" s="90" t="s">
        <v>302</v>
      </c>
      <c r="B21" s="58"/>
      <c r="C21" s="95">
        <f>ROUND(C3/10000+B36,0)</f>
        <v>11992</v>
      </c>
      <c r="D21" s="95">
        <f>ROUND(D3/10000+D36,0)</f>
        <v>12236</v>
      </c>
      <c r="E21" s="95">
        <f>ROUND(E3/10000+F36,0)</f>
        <v>13630</v>
      </c>
      <c r="F21" s="90">
        <f>ROUND((E21+D21+C21)/3,0)</f>
        <v>12619</v>
      </c>
      <c r="G21" s="90"/>
    </row>
    <row r="22" spans="1:11">
      <c r="A22" s="90"/>
      <c r="B22" s="58"/>
      <c r="C22" s="99"/>
      <c r="D22" s="100">
        <f>D21/C21-1</f>
        <v>2.0346897931954544E-2</v>
      </c>
      <c r="E22" s="100">
        <f>E21/D21-1</f>
        <v>0.11392611964694344</v>
      </c>
      <c r="F22" s="174">
        <f>商业现金流!L86</f>
        <v>22025.452734258066</v>
      </c>
      <c r="G22" s="90"/>
    </row>
    <row r="23" spans="1:11">
      <c r="A23" s="90"/>
      <c r="B23" s="58"/>
      <c r="C23" s="99"/>
      <c r="D23" s="100"/>
      <c r="E23" s="100"/>
      <c r="F23" s="90"/>
      <c r="G23" s="90"/>
    </row>
    <row r="24" spans="1:11">
      <c r="A24" s="95"/>
      <c r="B24" s="30"/>
      <c r="C24" s="95" t="s">
        <v>317</v>
      </c>
      <c r="D24" s="96"/>
      <c r="E24" s="83" t="s">
        <v>305</v>
      </c>
      <c r="I24" s="13" t="s">
        <v>49</v>
      </c>
      <c r="J24" s="13" t="s">
        <v>658</v>
      </c>
      <c r="K24" s="13" t="s">
        <v>657</v>
      </c>
    </row>
    <row r="25" spans="1:11">
      <c r="A25" s="30" t="s">
        <v>298</v>
      </c>
      <c r="B25" s="83" t="s">
        <v>299</v>
      </c>
      <c r="C25" s="97">
        <f>ROUND((C3+D3+E3)/3/10000,0)</f>
        <v>4920</v>
      </c>
      <c r="D25" s="95"/>
      <c r="E25" s="83"/>
      <c r="I25" s="13">
        <f>(C4+D4+E4)/3/10000</f>
        <v>969.31578433333334</v>
      </c>
      <c r="J25" s="13">
        <f>(C5+D5+E5)/3/10000</f>
        <v>3245.7935620000003</v>
      </c>
      <c r="K25" s="13">
        <f>F46-I25-J25</f>
        <v>236.89065366666637</v>
      </c>
    </row>
    <row r="26" spans="1:11">
      <c r="A26" s="95"/>
      <c r="B26" s="30" t="s">
        <v>300</v>
      </c>
      <c r="C26" s="95">
        <f>(C13+D13+E13)/10000/3</f>
        <v>865.15055733333327</v>
      </c>
      <c r="D26" s="95"/>
      <c r="E26" s="98">
        <f>ROUND(C26/$F$22,2)</f>
        <v>0.04</v>
      </c>
      <c r="I26" s="158"/>
    </row>
    <row r="27" spans="1:11">
      <c r="A27" s="95"/>
      <c r="B27" s="30" t="s">
        <v>301</v>
      </c>
      <c r="C27" s="95">
        <f>(C14+D14+E14)/3/10000</f>
        <v>1551.45444</v>
      </c>
      <c r="D27" s="95"/>
      <c r="E27" s="98">
        <f>ROUND(C27/$F$22,2)</f>
        <v>7.0000000000000007E-2</v>
      </c>
      <c r="F27" s="13">
        <f>F22*11%</f>
        <v>2422.7998007683873</v>
      </c>
      <c r="I27" s="158"/>
    </row>
    <row r="28" spans="1:11">
      <c r="A28" s="95"/>
      <c r="B28" s="30" t="s">
        <v>34</v>
      </c>
      <c r="C28" s="95">
        <f t="shared" ref="C28:C31" si="3">ROUND((C15+D15+E15)/3/10000,0)</f>
        <v>137</v>
      </c>
      <c r="D28" s="95"/>
      <c r="E28" s="98">
        <f t="shared" ref="E28:E31" si="4">ROUND(C28/$F$21,2)</f>
        <v>0.01</v>
      </c>
      <c r="I28" s="93">
        <f>ROUND(I25/F46,4)</f>
        <v>0.2177</v>
      </c>
      <c r="J28" s="93">
        <f>ROUND(J25/F46,4)</f>
        <v>0.72909999999999997</v>
      </c>
      <c r="K28" s="93">
        <f>ROUND(K25/F46,4)</f>
        <v>5.3199999999999997E-2</v>
      </c>
    </row>
    <row r="29" spans="1:11">
      <c r="A29" s="95"/>
      <c r="B29" s="30" t="s">
        <v>35</v>
      </c>
      <c r="C29" s="95">
        <f t="shared" si="3"/>
        <v>176</v>
      </c>
      <c r="D29" s="95"/>
      <c r="E29" s="98">
        <f t="shared" si="4"/>
        <v>0.01</v>
      </c>
      <c r="I29" s="13">
        <f>I25/$F$46*$K$25</f>
        <v>51.57723489670726</v>
      </c>
      <c r="J29" s="13">
        <f>J25/$F$46*$K$25</f>
        <v>172.70848125993655</v>
      </c>
    </row>
    <row r="30" spans="1:11">
      <c r="A30" s="95"/>
      <c r="B30" s="30" t="s">
        <v>36</v>
      </c>
      <c r="C30" s="95">
        <f t="shared" si="3"/>
        <v>811</v>
      </c>
      <c r="D30" s="95"/>
      <c r="E30" s="98">
        <f t="shared" si="4"/>
        <v>0.06</v>
      </c>
    </row>
    <row r="31" spans="1:11">
      <c r="A31" s="83"/>
      <c r="B31" s="30" t="s">
        <v>37</v>
      </c>
      <c r="C31" s="95">
        <f t="shared" si="3"/>
        <v>428</v>
      </c>
      <c r="D31" s="95"/>
      <c r="E31" s="98">
        <f t="shared" si="4"/>
        <v>0.03</v>
      </c>
      <c r="J31" s="13">
        <f>ROUND((J25+J29),0)</f>
        <v>3419</v>
      </c>
    </row>
    <row r="33" spans="1:7" ht="14.25">
      <c r="A33" s="212" t="s">
        <v>39</v>
      </c>
      <c r="B33" s="212"/>
      <c r="C33" s="212"/>
      <c r="D33" s="212"/>
      <c r="E33" s="212"/>
      <c r="F33" s="212"/>
      <c r="G33" s="212"/>
    </row>
    <row r="34" spans="1:7" ht="14.25">
      <c r="A34" s="212"/>
      <c r="B34" s="214" t="s">
        <v>19</v>
      </c>
      <c r="C34" s="215"/>
      <c r="D34" s="214" t="s">
        <v>20</v>
      </c>
      <c r="E34" s="215"/>
      <c r="F34" s="214" t="s">
        <v>18</v>
      </c>
      <c r="G34" s="215"/>
    </row>
    <row r="35" spans="1:7" ht="14.25">
      <c r="A35" s="212"/>
      <c r="B35" s="12" t="s">
        <v>40</v>
      </c>
      <c r="C35" s="12" t="s">
        <v>41</v>
      </c>
      <c r="D35" s="12" t="s">
        <v>40</v>
      </c>
      <c r="E35" s="12" t="s">
        <v>41</v>
      </c>
      <c r="F35" s="12" t="s">
        <v>40</v>
      </c>
      <c r="G35" s="12" t="s">
        <v>41</v>
      </c>
    </row>
    <row r="36" spans="1:7" ht="14.25">
      <c r="A36" s="212" t="s">
        <v>42</v>
      </c>
      <c r="B36" s="12">
        <f>B45</f>
        <v>6964</v>
      </c>
      <c r="C36" s="12">
        <v>4286</v>
      </c>
      <c r="D36" s="12">
        <f>C45</f>
        <v>7443</v>
      </c>
      <c r="E36" s="12">
        <v>4133</v>
      </c>
      <c r="F36" s="12">
        <f>D45</f>
        <v>8691</v>
      </c>
      <c r="G36" s="12">
        <v>4226</v>
      </c>
    </row>
    <row r="37" spans="1:7" ht="14.25">
      <c r="A37" s="212"/>
      <c r="B37" s="212">
        <f>B36+C36</f>
        <v>11250</v>
      </c>
      <c r="C37" s="212"/>
      <c r="D37" s="212">
        <f>D36+E36</f>
        <v>11576</v>
      </c>
      <c r="E37" s="212"/>
      <c r="F37" s="212">
        <f>F36+G36</f>
        <v>12917</v>
      </c>
      <c r="G37" s="212"/>
    </row>
    <row r="38" spans="1:7" ht="14.25">
      <c r="A38" s="20"/>
      <c r="B38" s="20"/>
      <c r="C38" s="20"/>
      <c r="D38" s="20"/>
      <c r="E38" s="20"/>
      <c r="F38" s="20"/>
      <c r="G38" s="20"/>
    </row>
    <row r="39" spans="1:7" ht="14.25">
      <c r="A39" s="20" t="s">
        <v>43</v>
      </c>
      <c r="B39" s="20"/>
      <c r="C39" s="21">
        <f>D36/B36-1</f>
        <v>6.8782309017805909E-2</v>
      </c>
      <c r="D39" s="20"/>
      <c r="E39" s="20"/>
      <c r="F39" s="21">
        <f>F36/D36-1</f>
        <v>0.16767432486900447</v>
      </c>
      <c r="G39" s="20"/>
    </row>
    <row r="40" spans="1:7" ht="14.25">
      <c r="A40" s="20"/>
      <c r="B40" s="20"/>
      <c r="C40" s="20"/>
      <c r="D40" s="20"/>
      <c r="E40" s="20"/>
      <c r="F40" s="20"/>
      <c r="G40" s="20"/>
    </row>
    <row r="41" spans="1:7" ht="14.25">
      <c r="A41" s="20"/>
      <c r="B41" s="20"/>
      <c r="C41" s="20"/>
      <c r="D41" s="20"/>
      <c r="E41" s="20"/>
      <c r="F41" s="20"/>
      <c r="G41" s="20"/>
    </row>
    <row r="42" spans="1:7" ht="14.25">
      <c r="A42" s="12"/>
      <c r="B42" s="12" t="s">
        <v>19</v>
      </c>
      <c r="C42" s="12" t="s">
        <v>20</v>
      </c>
      <c r="D42" s="12" t="s">
        <v>18</v>
      </c>
      <c r="F42" s="22" t="s">
        <v>303</v>
      </c>
      <c r="G42" s="22"/>
    </row>
    <row r="43" spans="1:7" ht="14.25">
      <c r="A43" s="12" t="s">
        <v>44</v>
      </c>
      <c r="B43" s="12">
        <v>1389</v>
      </c>
      <c r="C43" s="12">
        <v>1795</v>
      </c>
      <c r="D43" s="12">
        <v>2001</v>
      </c>
      <c r="F43" s="22">
        <f>ROUND((B43+C43+D43)/3,0)</f>
        <v>1728</v>
      </c>
      <c r="G43" s="22"/>
    </row>
    <row r="44" spans="1:7" ht="14.25">
      <c r="A44" s="12" t="s">
        <v>45</v>
      </c>
      <c r="B44" s="12">
        <v>5575</v>
      </c>
      <c r="C44" s="12">
        <v>5648</v>
      </c>
      <c r="D44" s="12">
        <v>6690</v>
      </c>
      <c r="F44" s="22">
        <f>ROUND((B44+C44+D44)/3,0)</f>
        <v>5971</v>
      </c>
      <c r="G44" s="22"/>
    </row>
    <row r="45" spans="1:7" ht="14.25">
      <c r="A45" s="12" t="s">
        <v>46</v>
      </c>
      <c r="B45" s="12">
        <f>B43+B44</f>
        <v>6964</v>
      </c>
      <c r="C45" s="12">
        <f>C43+C44</f>
        <v>7443</v>
      </c>
      <c r="D45" s="12">
        <f>D43+D44</f>
        <v>8691</v>
      </c>
      <c r="E45" s="13" t="s">
        <v>304</v>
      </c>
      <c r="F45" s="94">
        <f>ROUND((C6+D6+E6)/10000/3,0)</f>
        <v>468</v>
      </c>
      <c r="G45" s="22"/>
    </row>
    <row r="46" spans="1:7">
      <c r="E46" s="13" t="s">
        <v>306</v>
      </c>
      <c r="F46" s="94">
        <f>C25-F45</f>
        <v>4452</v>
      </c>
    </row>
    <row r="47" spans="1:7">
      <c r="F47" s="13">
        <f>SUM(F43:F46)</f>
        <v>12619</v>
      </c>
    </row>
    <row r="48" spans="1:7">
      <c r="F48" s="94"/>
    </row>
  </sheetData>
  <mergeCells count="14">
    <mergeCell ref="A36:A37"/>
    <mergeCell ref="B37:C37"/>
    <mergeCell ref="D37:E37"/>
    <mergeCell ref="F37:G37"/>
    <mergeCell ref="A1:G1"/>
    <mergeCell ref="A34:A35"/>
    <mergeCell ref="B34:C34"/>
    <mergeCell ref="D34:E34"/>
    <mergeCell ref="F34:G34"/>
    <mergeCell ref="A33:G33"/>
    <mergeCell ref="A2:B2"/>
    <mergeCell ref="A3:B3"/>
    <mergeCell ref="A13:B13"/>
    <mergeCell ref="A14:B14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21"/>
  <sheetViews>
    <sheetView workbookViewId="0">
      <selection activeCell="K17" sqref="K17"/>
    </sheetView>
  </sheetViews>
  <sheetFormatPr defaultRowHeight="14.25"/>
  <sheetData>
    <row r="2" spans="1:8" ht="36">
      <c r="A2" s="41" t="s">
        <v>249</v>
      </c>
      <c r="B2" s="22">
        <v>0.18</v>
      </c>
      <c r="C2" s="22">
        <v>0.04</v>
      </c>
    </row>
    <row r="3" spans="1:8">
      <c r="A3" s="218" t="s">
        <v>282</v>
      </c>
      <c r="B3" s="218"/>
      <c r="C3" s="218"/>
      <c r="D3" s="218"/>
      <c r="E3" s="218"/>
      <c r="F3" s="218"/>
      <c r="G3" s="218"/>
      <c r="H3" s="218"/>
    </row>
    <row r="4" spans="1:8" s="28" customFormat="1" ht="12.75">
      <c r="A4" s="51"/>
      <c r="B4" s="51">
        <v>2019</v>
      </c>
      <c r="C4" s="51">
        <v>2020</v>
      </c>
      <c r="D4" s="51">
        <v>2021</v>
      </c>
      <c r="E4" s="51">
        <v>2022</v>
      </c>
      <c r="F4" s="51">
        <v>2023</v>
      </c>
      <c r="G4" s="51" t="s">
        <v>289</v>
      </c>
      <c r="H4" s="51" t="s">
        <v>290</v>
      </c>
    </row>
    <row r="5" spans="1:8">
      <c r="A5" s="12" t="s">
        <v>49</v>
      </c>
      <c r="B5" s="72">
        <v>0.06</v>
      </c>
      <c r="C5" s="117">
        <v>0.06</v>
      </c>
      <c r="D5" s="72">
        <v>0.06</v>
      </c>
      <c r="E5" s="117">
        <v>0.05</v>
      </c>
      <c r="F5" s="72">
        <v>0.05</v>
      </c>
      <c r="G5" s="72">
        <v>0.04</v>
      </c>
      <c r="H5" s="72">
        <v>0.03</v>
      </c>
    </row>
    <row r="6" spans="1:8">
      <c r="A6" s="12"/>
      <c r="B6" s="12"/>
      <c r="C6" s="12"/>
      <c r="D6" s="12"/>
      <c r="E6" s="12"/>
      <c r="F6" s="12"/>
      <c r="G6" s="12"/>
      <c r="H6" s="12"/>
    </row>
    <row r="7" spans="1:8">
      <c r="A7" s="12" t="s">
        <v>274</v>
      </c>
      <c r="B7" s="72">
        <v>0.04</v>
      </c>
      <c r="C7" s="72">
        <v>0.04</v>
      </c>
      <c r="D7" s="72">
        <v>0.04</v>
      </c>
      <c r="E7" s="72">
        <v>3.5000000000000003E-2</v>
      </c>
      <c r="F7" s="159">
        <v>3.5000000000000003E-2</v>
      </c>
      <c r="G7" s="159">
        <v>2.5000000000000001E-2</v>
      </c>
      <c r="H7" s="159">
        <v>0.02</v>
      </c>
    </row>
    <row r="8" spans="1:8">
      <c r="A8" s="12"/>
      <c r="B8" s="12"/>
      <c r="C8" s="12"/>
      <c r="D8" s="12"/>
      <c r="E8" s="12"/>
      <c r="F8" s="12"/>
      <c r="G8" s="12"/>
      <c r="H8" s="12"/>
    </row>
    <row r="9" spans="1:8">
      <c r="A9" s="12" t="s">
        <v>275</v>
      </c>
      <c r="B9" s="72">
        <v>0.02</v>
      </c>
      <c r="C9" s="72">
        <v>0.02</v>
      </c>
      <c r="D9" s="72">
        <f>B9</f>
        <v>0.02</v>
      </c>
      <c r="E9" s="72">
        <v>0.02</v>
      </c>
      <c r="F9" s="72">
        <v>0.02</v>
      </c>
      <c r="G9" s="72">
        <v>0</v>
      </c>
      <c r="H9" s="72">
        <v>0</v>
      </c>
    </row>
    <row r="11" spans="1:8">
      <c r="A11" s="12" t="s">
        <v>278</v>
      </c>
      <c r="B11" s="73" t="s">
        <v>279</v>
      </c>
    </row>
    <row r="12" spans="1:8">
      <c r="A12" s="12" t="s">
        <v>274</v>
      </c>
      <c r="B12" s="73" t="s">
        <v>280</v>
      </c>
    </row>
    <row r="13" spans="1:8">
      <c r="A13" s="12" t="s">
        <v>281</v>
      </c>
      <c r="B13" s="72">
        <v>0.01</v>
      </c>
    </row>
    <row r="15" spans="1:8">
      <c r="A15" s="219" t="s">
        <v>273</v>
      </c>
      <c r="B15" s="219"/>
      <c r="C15" s="219"/>
      <c r="D15" s="219"/>
      <c r="E15" s="219"/>
      <c r="F15" s="219"/>
      <c r="G15" s="219"/>
      <c r="H15" s="219"/>
    </row>
    <row r="16" spans="1:8">
      <c r="A16" s="51"/>
      <c r="B16" s="51">
        <v>2019</v>
      </c>
      <c r="C16" s="51">
        <v>2020</v>
      </c>
      <c r="D16" s="51">
        <v>2021</v>
      </c>
      <c r="E16" s="51">
        <v>2022</v>
      </c>
      <c r="F16" s="51">
        <v>2023</v>
      </c>
      <c r="G16" s="51" t="s">
        <v>276</v>
      </c>
      <c r="H16" s="51" t="s">
        <v>277</v>
      </c>
    </row>
    <row r="17" spans="1:8">
      <c r="A17" s="12" t="s">
        <v>49</v>
      </c>
      <c r="B17" s="72">
        <v>0.9</v>
      </c>
      <c r="C17" s="72">
        <v>0.9</v>
      </c>
      <c r="D17" s="72">
        <v>0.9</v>
      </c>
      <c r="E17" s="72">
        <v>0.9</v>
      </c>
      <c r="F17" s="72">
        <v>0.9</v>
      </c>
      <c r="G17" s="72">
        <v>0.9</v>
      </c>
      <c r="H17" s="72">
        <v>0.9</v>
      </c>
    </row>
    <row r="18" spans="1:8">
      <c r="A18" s="12"/>
      <c r="B18" s="12"/>
      <c r="C18" s="12"/>
      <c r="D18" s="12"/>
      <c r="E18" s="12"/>
      <c r="F18" s="12"/>
      <c r="G18" s="12"/>
      <c r="H18" s="12"/>
    </row>
    <row r="19" spans="1:8">
      <c r="A19" s="12" t="s">
        <v>274</v>
      </c>
      <c r="B19" s="72">
        <v>0.92</v>
      </c>
      <c r="C19" s="72">
        <f t="shared" ref="C19:H19" si="0">B19</f>
        <v>0.92</v>
      </c>
      <c r="D19" s="72">
        <f t="shared" si="0"/>
        <v>0.92</v>
      </c>
      <c r="E19" s="72">
        <f t="shared" si="0"/>
        <v>0.92</v>
      </c>
      <c r="F19" s="72">
        <f t="shared" si="0"/>
        <v>0.92</v>
      </c>
      <c r="G19" s="72">
        <f t="shared" si="0"/>
        <v>0.92</v>
      </c>
      <c r="H19" s="72">
        <f t="shared" si="0"/>
        <v>0.92</v>
      </c>
    </row>
    <row r="20" spans="1:8">
      <c r="A20" s="12"/>
      <c r="B20" s="12"/>
      <c r="C20" s="12"/>
      <c r="D20" s="12"/>
      <c r="E20" s="12"/>
      <c r="F20" s="12"/>
      <c r="G20" s="12"/>
      <c r="H20" s="12"/>
    </row>
    <row r="21" spans="1:8">
      <c r="A21" s="12" t="s">
        <v>275</v>
      </c>
      <c r="B21" s="72">
        <v>0.8</v>
      </c>
      <c r="C21" s="72">
        <f t="shared" ref="C21:H21" si="1">B21</f>
        <v>0.8</v>
      </c>
      <c r="D21" s="72">
        <f t="shared" si="1"/>
        <v>0.8</v>
      </c>
      <c r="E21" s="72">
        <f t="shared" si="1"/>
        <v>0.8</v>
      </c>
      <c r="F21" s="72">
        <f t="shared" si="1"/>
        <v>0.8</v>
      </c>
      <c r="G21" s="72">
        <f t="shared" si="1"/>
        <v>0.8</v>
      </c>
      <c r="H21" s="72">
        <f t="shared" si="1"/>
        <v>0.8</v>
      </c>
    </row>
  </sheetData>
  <mergeCells count="2">
    <mergeCell ref="A3:H3"/>
    <mergeCell ref="A15:H1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RowHeight="14.25"/>
  <cols>
    <col min="1" max="1" width="23.375" style="248" customWidth="1"/>
    <col min="2" max="9" width="15.75" style="248" customWidth="1"/>
    <col min="10" max="16384" width="9" style="248"/>
  </cols>
  <sheetData>
    <row r="1" spans="1:10" ht="16.5">
      <c r="A1" s="245" t="s">
        <v>661</v>
      </c>
      <c r="B1" s="256">
        <f>基础数据!C13</f>
        <v>96528.200000000012</v>
      </c>
      <c r="C1" s="246"/>
      <c r="D1" s="246"/>
      <c r="E1" s="246"/>
      <c r="F1" s="246"/>
      <c r="G1" s="247"/>
    </row>
    <row r="2" spans="1:10" ht="16.5">
      <c r="A2" s="245" t="s">
        <v>662</v>
      </c>
      <c r="B2" s="245">
        <f>基础数据!H9</f>
        <v>7311.05</v>
      </c>
      <c r="C2" s="246"/>
      <c r="D2" s="246"/>
      <c r="E2" s="246"/>
      <c r="F2" s="246"/>
      <c r="G2" s="247"/>
    </row>
    <row r="3" spans="1:10" ht="16.5">
      <c r="A3" s="245" t="s">
        <v>663</v>
      </c>
      <c r="B3" s="249">
        <f>[1]项目基本情况!D3</f>
        <v>43214</v>
      </c>
      <c r="C3" s="246"/>
      <c r="D3" s="246"/>
      <c r="E3" s="246"/>
      <c r="F3" s="246"/>
      <c r="G3" s="247"/>
    </row>
    <row r="4" spans="1:10" ht="33">
      <c r="A4" s="245" t="s">
        <v>664</v>
      </c>
      <c r="B4" s="245" t="s">
        <v>665</v>
      </c>
      <c r="C4" s="245" t="s">
        <v>666</v>
      </c>
      <c r="D4" s="245" t="s">
        <v>667</v>
      </c>
      <c r="E4" s="246"/>
      <c r="F4" s="247"/>
      <c r="G4" s="247"/>
    </row>
    <row r="5" spans="1:10" ht="16.5">
      <c r="A5" s="245" t="s">
        <v>668</v>
      </c>
      <c r="B5" s="245">
        <f>SUM(D14:D23)</f>
        <v>344240</v>
      </c>
      <c r="C5" s="245">
        <f>ROUND(B5*10000/$B$1,0)</f>
        <v>35662</v>
      </c>
      <c r="D5" s="245">
        <f>ROUND(B5*10000/$B$2,0)</f>
        <v>470849</v>
      </c>
      <c r="E5" s="246"/>
      <c r="F5" s="247"/>
      <c r="G5" s="247"/>
    </row>
    <row r="6" spans="1:10" ht="16.5">
      <c r="A6" s="245" t="s">
        <v>669</v>
      </c>
      <c r="B6" s="245">
        <f>SUM(G14:G23)</f>
        <v>344240</v>
      </c>
      <c r="C6" s="245">
        <f>ROUND(B6*10000/$B$1,0)</f>
        <v>35662</v>
      </c>
      <c r="D6" s="245">
        <f>ROUND(B6*10000/$B$2,0)</f>
        <v>470849</v>
      </c>
      <c r="E6" s="246"/>
      <c r="F6" s="247"/>
      <c r="G6" s="247"/>
    </row>
    <row r="7" spans="1:10" ht="16.5">
      <c r="A7" s="245" t="s">
        <v>670</v>
      </c>
      <c r="B7" s="245">
        <f>SUM(H14:H23)</f>
        <v>344240</v>
      </c>
      <c r="C7" s="245">
        <f>ROUND(B7*10000/$B$1,0)</f>
        <v>35662</v>
      </c>
      <c r="D7" s="245">
        <f>ROUND(B7*10000/$B$2,0)</f>
        <v>470849</v>
      </c>
      <c r="E7" s="246"/>
      <c r="F7" s="247"/>
      <c r="G7" s="247"/>
    </row>
    <row r="8" spans="1:10" ht="16.5">
      <c r="A8" s="245" t="s">
        <v>671</v>
      </c>
      <c r="B8" s="245">
        <f>SUM(I14:I23)</f>
        <v>0</v>
      </c>
      <c r="C8" s="245">
        <f>ROUND(B8*10000/$B$1,0)</f>
        <v>0</v>
      </c>
      <c r="D8" s="245">
        <f>ROUND(B8*10000/$B$2,0)</f>
        <v>0</v>
      </c>
      <c r="E8" s="246"/>
      <c r="F8" s="247"/>
      <c r="G8" s="247"/>
    </row>
    <row r="9" spans="1:10" ht="16.5">
      <c r="A9" s="245" t="s">
        <v>672</v>
      </c>
      <c r="B9" s="250"/>
      <c r="C9" s="246"/>
      <c r="D9" s="246"/>
      <c r="E9" s="246"/>
      <c r="F9" s="247"/>
      <c r="G9" s="247"/>
    </row>
    <row r="10" spans="1:10" ht="16.5">
      <c r="A10" s="245" t="s">
        <v>673</v>
      </c>
      <c r="B10" s="250"/>
      <c r="C10" s="246"/>
      <c r="D10" s="246"/>
      <c r="E10" s="246"/>
      <c r="F10" s="247"/>
      <c r="G10" s="247"/>
    </row>
    <row r="11" spans="1:10" ht="16.5">
      <c r="A11" s="245" t="s">
        <v>674</v>
      </c>
      <c r="B11" s="250"/>
      <c r="C11" s="246"/>
      <c r="D11" s="246"/>
      <c r="E11" s="246"/>
      <c r="F11" s="247"/>
      <c r="G11" s="247"/>
    </row>
    <row r="12" spans="1:10" ht="16.5">
      <c r="A12" s="246"/>
      <c r="B12" s="246"/>
      <c r="C12" s="246"/>
      <c r="D12" s="246"/>
      <c r="E12" s="246"/>
      <c r="F12" s="247"/>
      <c r="G12" s="247"/>
    </row>
    <row r="13" spans="1:10" ht="33">
      <c r="A13" s="251" t="s">
        <v>675</v>
      </c>
      <c r="B13" s="252" t="s">
        <v>661</v>
      </c>
      <c r="C13" s="252" t="s">
        <v>676</v>
      </c>
      <c r="D13" s="252" t="s">
        <v>677</v>
      </c>
      <c r="E13" s="245" t="s">
        <v>666</v>
      </c>
      <c r="F13" s="245" t="s">
        <v>667</v>
      </c>
      <c r="G13" s="252" t="s">
        <v>678</v>
      </c>
      <c r="H13" s="252" t="s">
        <v>679</v>
      </c>
      <c r="I13" s="252" t="s">
        <v>680</v>
      </c>
      <c r="J13" s="247"/>
    </row>
    <row r="14" spans="1:10" ht="16.5">
      <c r="A14" s="253" t="s">
        <v>681</v>
      </c>
      <c r="B14" s="252">
        <f>[1]结果表!B118</f>
        <v>43941.79</v>
      </c>
      <c r="C14" s="252">
        <f>[1]结果表!C118</f>
        <v>3328.15</v>
      </c>
      <c r="D14" s="252">
        <f>结果表!I13</f>
        <v>344240</v>
      </c>
      <c r="E14" s="252">
        <f>ROUND(D14*10000/B14,0)</f>
        <v>78340</v>
      </c>
      <c r="F14" s="252">
        <f>ROUND(D14*10000/C14,0)</f>
        <v>1034328</v>
      </c>
      <c r="G14" s="252">
        <f>D14</f>
        <v>344240</v>
      </c>
      <c r="H14" s="252">
        <f>D14</f>
        <v>344240</v>
      </c>
      <c r="I14" s="252" t="str">
        <f>[1]结果表!D126</f>
        <v>——</v>
      </c>
      <c r="J14" s="247"/>
    </row>
    <row r="15" spans="1:10" ht="16.5">
      <c r="A15" s="253" t="s">
        <v>682</v>
      </c>
      <c r="B15" s="254"/>
      <c r="C15" s="254"/>
      <c r="D15" s="254"/>
      <c r="E15" s="252" t="e">
        <f t="shared" ref="E15:E23" si="0">ROUND(D15*10000/B15,0)</f>
        <v>#DIV/0!</v>
      </c>
      <c r="F15" s="252" t="e">
        <f t="shared" ref="F15:F23" si="1">ROUND(D15*10000/C15,0)</f>
        <v>#DIV/0!</v>
      </c>
      <c r="G15" s="255"/>
      <c r="H15" s="255"/>
      <c r="I15" s="254"/>
      <c r="J15" s="247"/>
    </row>
    <row r="16" spans="1:10" ht="16.5">
      <c r="A16" s="253" t="s">
        <v>683</v>
      </c>
      <c r="B16" s="254"/>
      <c r="C16" s="254"/>
      <c r="D16" s="254"/>
      <c r="E16" s="252" t="e">
        <f t="shared" si="0"/>
        <v>#DIV/0!</v>
      </c>
      <c r="F16" s="252" t="e">
        <f t="shared" si="1"/>
        <v>#DIV/0!</v>
      </c>
      <c r="G16" s="255"/>
      <c r="H16" s="255"/>
      <c r="I16" s="254"/>
    </row>
    <row r="17" spans="1:9" ht="16.5">
      <c r="A17" s="253" t="s">
        <v>684</v>
      </c>
      <c r="B17" s="254"/>
      <c r="C17" s="254"/>
      <c r="D17" s="254"/>
      <c r="E17" s="252" t="e">
        <f t="shared" si="0"/>
        <v>#DIV/0!</v>
      </c>
      <c r="F17" s="252" t="e">
        <f t="shared" si="1"/>
        <v>#DIV/0!</v>
      </c>
      <c r="G17" s="255"/>
      <c r="H17" s="255"/>
      <c r="I17" s="254"/>
    </row>
    <row r="18" spans="1:9" ht="16.5">
      <c r="A18" s="253" t="s">
        <v>685</v>
      </c>
      <c r="B18" s="254"/>
      <c r="C18" s="254"/>
      <c r="D18" s="254"/>
      <c r="E18" s="252" t="e">
        <f t="shared" si="0"/>
        <v>#DIV/0!</v>
      </c>
      <c r="F18" s="252" t="e">
        <f t="shared" si="1"/>
        <v>#DIV/0!</v>
      </c>
      <c r="G18" s="254"/>
      <c r="H18" s="254"/>
      <c r="I18" s="254"/>
    </row>
    <row r="19" spans="1:9" ht="16.5">
      <c r="A19" s="253" t="s">
        <v>686</v>
      </c>
      <c r="B19" s="254"/>
      <c r="C19" s="254"/>
      <c r="D19" s="254"/>
      <c r="E19" s="252" t="e">
        <f t="shared" si="0"/>
        <v>#DIV/0!</v>
      </c>
      <c r="F19" s="252" t="e">
        <f t="shared" si="1"/>
        <v>#DIV/0!</v>
      </c>
      <c r="G19" s="254"/>
      <c r="H19" s="254"/>
      <c r="I19" s="254"/>
    </row>
    <row r="20" spans="1:9" ht="16.5">
      <c r="A20" s="253" t="s">
        <v>687</v>
      </c>
      <c r="B20" s="254"/>
      <c r="C20" s="254"/>
      <c r="D20" s="254"/>
      <c r="E20" s="252" t="e">
        <f t="shared" si="0"/>
        <v>#DIV/0!</v>
      </c>
      <c r="F20" s="252" t="e">
        <f t="shared" si="1"/>
        <v>#DIV/0!</v>
      </c>
      <c r="G20" s="254"/>
      <c r="H20" s="254"/>
      <c r="I20" s="254"/>
    </row>
    <row r="21" spans="1:9" ht="16.5">
      <c r="A21" s="253" t="s">
        <v>688</v>
      </c>
      <c r="B21" s="254"/>
      <c r="C21" s="254"/>
      <c r="D21" s="254"/>
      <c r="E21" s="252" t="e">
        <f t="shared" si="0"/>
        <v>#DIV/0!</v>
      </c>
      <c r="F21" s="252" t="e">
        <f t="shared" si="1"/>
        <v>#DIV/0!</v>
      </c>
      <c r="G21" s="254"/>
      <c r="H21" s="254"/>
      <c r="I21" s="254"/>
    </row>
    <row r="22" spans="1:9" ht="16.5">
      <c r="A22" s="253" t="s">
        <v>689</v>
      </c>
      <c r="B22" s="254"/>
      <c r="C22" s="254"/>
      <c r="D22" s="254"/>
      <c r="E22" s="252" t="e">
        <f t="shared" si="0"/>
        <v>#DIV/0!</v>
      </c>
      <c r="F22" s="252" t="e">
        <f t="shared" si="1"/>
        <v>#DIV/0!</v>
      </c>
      <c r="G22" s="254"/>
      <c r="H22" s="254"/>
      <c r="I22" s="254"/>
    </row>
    <row r="23" spans="1:9" ht="16.5">
      <c r="A23" s="253" t="s">
        <v>690</v>
      </c>
      <c r="B23" s="254"/>
      <c r="C23" s="254"/>
      <c r="D23" s="254"/>
      <c r="E23" s="245" t="e">
        <f t="shared" si="0"/>
        <v>#DIV/0!</v>
      </c>
      <c r="F23" s="245" t="e">
        <f t="shared" si="1"/>
        <v>#DIV/0!</v>
      </c>
      <c r="G23" s="254"/>
      <c r="H23" s="254"/>
      <c r="I23" s="254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38"/>
  <sheetViews>
    <sheetView workbookViewId="0">
      <selection activeCell="D17" sqref="D17"/>
    </sheetView>
  </sheetViews>
  <sheetFormatPr defaultRowHeight="14.25"/>
  <cols>
    <col min="1" max="1" width="12.625" customWidth="1"/>
    <col min="2" max="21" width="9.75" bestFit="1" customWidth="1"/>
    <col min="22" max="22" width="10.625" bestFit="1" customWidth="1"/>
  </cols>
  <sheetData>
    <row r="2" spans="1:11">
      <c r="I2">
        <f>6000*150*12/10000</f>
        <v>1080</v>
      </c>
    </row>
    <row r="7" spans="1:11">
      <c r="A7" s="214" t="s">
        <v>607</v>
      </c>
      <c r="B7" s="220"/>
      <c r="C7" s="220"/>
      <c r="D7" s="215"/>
      <c r="E7" s="193"/>
      <c r="F7" s="214" t="s">
        <v>651</v>
      </c>
      <c r="G7" s="220"/>
      <c r="H7" s="215"/>
      <c r="I7" s="193"/>
    </row>
    <row r="8" spans="1:11">
      <c r="A8" s="183"/>
      <c r="B8" s="221" t="s">
        <v>610</v>
      </c>
      <c r="C8" s="221"/>
      <c r="D8" s="194" t="s">
        <v>611</v>
      </c>
      <c r="E8" s="184"/>
      <c r="F8" s="222" t="s">
        <v>612</v>
      </c>
      <c r="G8" s="223"/>
      <c r="H8" s="195" t="s">
        <v>615</v>
      </c>
      <c r="I8" s="104" t="s">
        <v>617</v>
      </c>
      <c r="K8" t="s">
        <v>647</v>
      </c>
    </row>
    <row r="9" spans="1:11">
      <c r="A9" s="183" t="s">
        <v>608</v>
      </c>
      <c r="B9" s="183" t="s">
        <v>613</v>
      </c>
      <c r="C9" s="183" t="s">
        <v>646</v>
      </c>
      <c r="D9" s="183" t="s">
        <v>613</v>
      </c>
      <c r="E9" s="183" t="s">
        <v>648</v>
      </c>
      <c r="F9" s="104" t="s">
        <v>613</v>
      </c>
      <c r="G9" s="183" t="s">
        <v>646</v>
      </c>
      <c r="H9" s="104" t="s">
        <v>616</v>
      </c>
      <c r="I9" s="104"/>
      <c r="K9">
        <f>B12+D12+办公现金流!G149+结果表!H13</f>
        <v>262216</v>
      </c>
    </row>
    <row r="10" spans="1:11">
      <c r="A10" s="183"/>
      <c r="B10" s="183"/>
      <c r="C10" s="183"/>
      <c r="D10" s="183"/>
      <c r="E10" s="183" t="s">
        <v>649</v>
      </c>
      <c r="F10" s="104">
        <f>办公现金流!G150</f>
        <v>23272</v>
      </c>
      <c r="G10" s="197">
        <f>'[1]比较法-办公'!$C$49</f>
        <v>34840</v>
      </c>
      <c r="H10" s="104"/>
      <c r="I10" s="104"/>
    </row>
    <row r="11" spans="1:11">
      <c r="A11" s="183" t="s">
        <v>609</v>
      </c>
      <c r="B11" s="183">
        <v>0.5</v>
      </c>
      <c r="C11" s="183">
        <f>1-B11</f>
        <v>0.5</v>
      </c>
      <c r="D11" s="183"/>
      <c r="E11" s="183" t="s">
        <v>650</v>
      </c>
      <c r="F11" s="104">
        <f>B11</f>
        <v>0.5</v>
      </c>
      <c r="G11" s="104">
        <f>1-F11</f>
        <v>0.5</v>
      </c>
      <c r="H11" s="104"/>
      <c r="I11" s="104"/>
    </row>
    <row r="12" spans="1:11">
      <c r="A12" s="183" t="s">
        <v>614</v>
      </c>
      <c r="B12" s="183">
        <f>商业现金流!G69</f>
        <v>103960</v>
      </c>
      <c r="C12" s="197">
        <f>基础数据!J29</f>
        <v>217175</v>
      </c>
      <c r="D12" s="183">
        <f>车库现金流!G25</f>
        <v>6589</v>
      </c>
      <c r="E12" s="183" t="s">
        <v>653</v>
      </c>
      <c r="F12" s="212">
        <f>ROUND(F10*F11+G10*G11,0)</f>
        <v>29056</v>
      </c>
      <c r="G12" s="212"/>
      <c r="H12" s="104"/>
      <c r="I12" s="104"/>
      <c r="K12" t="s">
        <v>659</v>
      </c>
    </row>
    <row r="13" spans="1:11">
      <c r="A13" s="183" t="s">
        <v>652</v>
      </c>
      <c r="B13" s="212">
        <f>ROUND((B11*B12+C11*C12),0)</f>
        <v>160568</v>
      </c>
      <c r="C13" s="212"/>
      <c r="D13" s="182">
        <f>D12</f>
        <v>6589</v>
      </c>
      <c r="E13" s="183" t="s">
        <v>654</v>
      </c>
      <c r="F13" s="212">
        <f>ROUND(F12*基础数据!C12/10000,0)</f>
        <v>127677</v>
      </c>
      <c r="G13" s="212"/>
      <c r="H13" s="197">
        <f>物业等其他收入!G27</f>
        <v>49406</v>
      </c>
      <c r="I13" s="104">
        <f>B13+D13+F13+H13</f>
        <v>344240</v>
      </c>
    </row>
    <row r="14" spans="1:11">
      <c r="A14" s="196" t="s">
        <v>649</v>
      </c>
      <c r="B14" s="206">
        <f>ROUND(B13/基础数据!G6*10000,0)</f>
        <v>40987</v>
      </c>
      <c r="C14" s="206"/>
      <c r="D14" s="183">
        <f>ROUND(结果表!D12/基础数据!C11*10000,0)</f>
        <v>4913</v>
      </c>
      <c r="E14" s="183"/>
      <c r="F14" s="212"/>
      <c r="G14" s="212"/>
      <c r="H14" s="104"/>
      <c r="I14" s="104"/>
    </row>
    <row r="18" spans="1:22" s="28" customFormat="1" ht="12.75">
      <c r="B18" s="28">
        <v>2018</v>
      </c>
      <c r="C18" s="28">
        <v>2019</v>
      </c>
      <c r="D18" s="28">
        <v>2020</v>
      </c>
      <c r="E18" s="28">
        <v>2021</v>
      </c>
      <c r="F18" s="28">
        <v>2022</v>
      </c>
      <c r="G18" s="28">
        <v>2023</v>
      </c>
      <c r="H18" s="28">
        <v>2024</v>
      </c>
      <c r="I18" s="28">
        <v>2025</v>
      </c>
      <c r="J18" s="28">
        <v>2026</v>
      </c>
      <c r="K18" s="28">
        <v>2027</v>
      </c>
      <c r="L18" s="28">
        <v>2028</v>
      </c>
      <c r="M18" s="28">
        <v>2029</v>
      </c>
      <c r="N18" s="28">
        <v>2030</v>
      </c>
      <c r="O18" s="28">
        <v>2031</v>
      </c>
      <c r="P18" s="28">
        <v>2032</v>
      </c>
      <c r="Q18" s="28">
        <v>2033</v>
      </c>
      <c r="R18" s="28">
        <v>2034</v>
      </c>
      <c r="S18" s="28">
        <v>2035</v>
      </c>
      <c r="T18" s="28">
        <v>2036</v>
      </c>
      <c r="U18" s="28">
        <v>2037</v>
      </c>
      <c r="V18" s="28">
        <v>2038</v>
      </c>
    </row>
    <row r="19" spans="1:22" s="28" customFormat="1" ht="12.75">
      <c r="A19" s="28" t="s">
        <v>630</v>
      </c>
      <c r="B19" s="176">
        <f>(商业现金流!L72+办公现金流!L152+车库现金流!L28+物业等其他收入!L30)/0.93</f>
        <v>22025.452734258066</v>
      </c>
      <c r="C19" s="176">
        <f>商业现金流!P72+办公现金流!P152+车库现金流!P28+物业等其他收入!P30</f>
        <v>22304.423072756897</v>
      </c>
      <c r="D19" s="176">
        <f>商业现金流!T72+办公现金流!T152+车库现金流!T28+物业等其他收入!T30</f>
        <v>22667.965641510462</v>
      </c>
      <c r="E19" s="176">
        <f>商业现金流!X72+办公现金流!X152+车库现金流!X28+物业等其他收入!X30</f>
        <v>23157.358083327999</v>
      </c>
      <c r="F19" s="176">
        <f>商业现金流!AB72+办公现金流!AB152+车库现金流!AB28+物业等其他收入!AB30</f>
        <v>23710.651894827966</v>
      </c>
      <c r="G19" s="176">
        <f>商业现金流!AF72+办公现金流!AF152+车库现金流!AF28+物业等其他收入!AF30</f>
        <v>24297.007781459113</v>
      </c>
      <c r="H19" s="176">
        <f>商业现金流!AJ72+办公现金流!AJ152+车库现金流!AJ28+物业等其他收入!AJ30</f>
        <v>24881.585574259494</v>
      </c>
      <c r="I19" s="176">
        <f>商业现金流!AN72+办公现金流!AN152+车库现金流!AN28+物业等其他收入!AN30</f>
        <v>25389.276917177845</v>
      </c>
      <c r="J19" s="176">
        <f>商业现金流!AR72+办公现金流!AR152+车库现金流!AR28+物业等其他收入!AR30</f>
        <v>25206.406017908132</v>
      </c>
      <c r="K19" s="176">
        <f>商业现金流!AV72+办公现金流!AV152+车库现金流!AV28+物业等其他收入!AV30</f>
        <v>25256.936271108319</v>
      </c>
      <c r="L19" s="176">
        <f>商业现金流!AZ72+办公现金流!AZ152+车库现金流!AZ28+物业等其他收入!AZ30</f>
        <v>25856.218470609263</v>
      </c>
      <c r="M19" s="176">
        <f>商业现金流!BD72+办公现金流!BD152+车库现金流!BD28+物业等其他收入!BD30</f>
        <v>26211.238529594968</v>
      </c>
      <c r="N19" s="176">
        <f>商业现金流!BH72+办公现金流!BH152+车库现金流!BH28+物业等其他收入!BH30</f>
        <v>26392.637633760387</v>
      </c>
      <c r="O19" s="176">
        <f>商业现金流!BL72+办公现金流!BL152+车库现金流!BL28+物业等其他收入!BL30</f>
        <v>26577.664720009114</v>
      </c>
      <c r="P19" s="176">
        <f>商业现金流!BP72+办公现金流!BP152+车库现金流!BP28+物业等其他收入!BP30</f>
        <v>26766.392347982815</v>
      </c>
      <c r="Q19" s="176">
        <f>商业现金流!BT72+办公现金流!BT152+车库现金流!BT28+物业等其他收入!BT30</f>
        <v>26958.894528515993</v>
      </c>
      <c r="R19" s="176">
        <f>商业现金流!BX72+办公现金流!BX152+车库现金流!BX28+物业等其他收入!BX30</f>
        <v>27155.24675265983</v>
      </c>
      <c r="S19" s="176">
        <f>商业现金流!CB72+办公现金流!CB152+车库现金流!CB28+物业等其他收入!CB30</f>
        <v>27355.526021286551</v>
      </c>
      <c r="T19" s="176">
        <f>商业现金流!CF72+办公现金流!CF152+车库现金流!CF28+物业等其他收入!CF30</f>
        <v>27559.810875285799</v>
      </c>
      <c r="U19" s="176">
        <f>商业现金流!CJ72+办公现金流!CJ152+车库现金流!CJ28+物业等其他收入!CJ30</f>
        <v>27768.18142636503</v>
      </c>
      <c r="V19" s="176">
        <f>商业现金流!CN72+办公现金流!CN152+车库现金流!CN28+物业等其他收入!CN30</f>
        <v>264931.5659318117</v>
      </c>
    </row>
    <row r="20" spans="1:22" s="28" customFormat="1" ht="12.75">
      <c r="A20" s="28" t="s">
        <v>632</v>
      </c>
      <c r="B20" s="176">
        <f>(商业现金流!L73+办公现金流!L153+车库现金流!L29+物业等其他收入!L31)/0.93</f>
        <v>2422.7998007683868</v>
      </c>
      <c r="C20" s="176">
        <f>商业现金流!P73+办公现金流!P153+车库现金流!P29+物业等其他收入!P31</f>
        <v>2453.4865380032588</v>
      </c>
      <c r="D20" s="176">
        <f>商业现金流!T73+办公现金流!T153+车库现金流!T29+物业等其他收入!T31</f>
        <v>2493.4762205661509</v>
      </c>
      <c r="E20" s="176">
        <f>商业现金流!X73+办公现金流!X153+车库现金流!X29+物业等其他收入!X31</f>
        <v>2547.3093891660801</v>
      </c>
      <c r="F20" s="176">
        <f>商业现金流!AB73+办公现金流!AB153+车库现金流!AB29+物业等其他收入!AB31</f>
        <v>2608.1717084310767</v>
      </c>
      <c r="G20" s="176">
        <f>商业现金流!AF73+办公现金流!AF153+车库现金流!AF29+物业等其他收入!AF31</f>
        <v>2672.6708559605022</v>
      </c>
      <c r="H20" s="176">
        <f>商业现金流!AJ73+办公现金流!AJ153+车库现金流!AJ29+物业等其他收入!AJ31</f>
        <v>2736.9744131685438</v>
      </c>
      <c r="I20" s="176">
        <f>商业现金流!AN73+办公现金流!AN153+车库现金流!AN29+物业等其他收入!AN31</f>
        <v>2792.820460889563</v>
      </c>
      <c r="J20" s="176">
        <f>商业现金流!AR73+办公现金流!AR153+车库现金流!AR29+物业等其他收入!AR31</f>
        <v>2772.7046619698949</v>
      </c>
      <c r="K20" s="176">
        <f>商业现金流!AV73+办公现金流!AV153+车库现金流!AV29+物业等其他收入!AV31</f>
        <v>2778.2629898219157</v>
      </c>
      <c r="L20" s="176">
        <f>商业现金流!AZ73+办公现金流!AZ153+车库现金流!AZ29+物业等其他收入!AZ31</f>
        <v>2844.1840317670194</v>
      </c>
      <c r="M20" s="176">
        <f>商业现金流!BD73+办公现金流!BD153+车库现金流!BD29+物业等其他收入!BD31</f>
        <v>2883.2362382554466</v>
      </c>
      <c r="N20" s="176">
        <f>商业现金流!BH73+办公现金流!BH153+车库现金流!BH29+物业等其他收入!BH31</f>
        <v>2903.1901397136426</v>
      </c>
      <c r="O20" s="176">
        <f>商业现金流!BL73+办公现金流!BL153+车库现金流!BL29+物业等其他收入!BL31</f>
        <v>2923.5431192010028</v>
      </c>
      <c r="P20" s="176">
        <f>商业现金流!BP73+办公现金流!BP153+车库现金流!BP29+物业等其他收入!BP31</f>
        <v>2944.3031582781095</v>
      </c>
      <c r="Q20" s="176">
        <f>商业现金流!BT73+办公现金流!BT153+车库现金流!BT29+物业等其他收入!BT31</f>
        <v>2965.4783981367591</v>
      </c>
      <c r="R20" s="176">
        <f>商业现金流!BX73+办公现金流!BX153+车库现金流!BX29+物业等其他收入!BX31</f>
        <v>2987.0771427925811</v>
      </c>
      <c r="S20" s="176">
        <f>商业现金流!CB73+办公现金流!CB153+车库现金流!CB29+物业等其他收入!CB31</f>
        <v>3009.1078623415206</v>
      </c>
      <c r="T20" s="176">
        <f>商业现金流!CF73+办公现金流!CF153+车库现金流!CF29+物业等其他收入!CF31</f>
        <v>3031.5791962814374</v>
      </c>
      <c r="U20" s="176">
        <f>商业现金流!CJ73+办公现金流!CJ153+车库现金流!CJ29+物业等其他收入!CJ31</f>
        <v>3054.4999569001538</v>
      </c>
      <c r="V20" s="176">
        <f>商业现金流!CN73+办公现金流!CN153+车库现金流!CN29+物业等其他收入!CN31</f>
        <v>29142.472252499272</v>
      </c>
    </row>
    <row r="21" spans="1:22" s="28" customFormat="1" ht="12.75">
      <c r="A21" s="28" t="s">
        <v>638</v>
      </c>
      <c r="B21" s="176">
        <f>(商业现金流!L74+办公现金流!L154+车库现金流!L30+物业等其他收入!L32)/0.93</f>
        <v>3321.9579569892471</v>
      </c>
      <c r="C21" s="176">
        <f>商业现金流!P74+办公现金流!P154+车库现金流!P30+物业等其他收入!P32</f>
        <v>3370.3126999999999</v>
      </c>
      <c r="D21" s="176">
        <f>商业现金流!T74+办公现金流!T154+车库现金流!T30+物业等其他收入!T32</f>
        <v>3433.3265999999999</v>
      </c>
      <c r="E21" s="176">
        <f>商业现金流!X74+办公现金流!X154+车库现金流!X30+物业等其他收入!X32</f>
        <v>3518.1549000000005</v>
      </c>
      <c r="F21" s="176">
        <f>商业现金流!AB74+办公现金流!AB154+车库现金流!AB30+物业等其他收入!AB32</f>
        <v>3614.0592999999999</v>
      </c>
      <c r="G21" s="176">
        <f>商业现金流!AF74+办公现金流!AF154+车库现金流!AF30+物业等其他收入!AF32</f>
        <v>3715.6941999999999</v>
      </c>
      <c r="H21" s="176">
        <f>商业现金流!AJ74+办公现金流!AJ154+车库现金流!AJ30+物业等其他收入!AJ32</f>
        <v>3817.0209</v>
      </c>
      <c r="I21" s="176">
        <f>商业现金流!AN74+办公现金流!AN154+车库现金流!AN30+物业等其他收入!AN32</f>
        <v>3905.0208000000002</v>
      </c>
      <c r="J21" s="176">
        <f>商业现金流!AR74+办公现金流!AR154+车库现金流!AR30+物业等其他收入!AR32</f>
        <v>3873.3233999999998</v>
      </c>
      <c r="K21" s="176">
        <f>商业现金流!AV74+办公现金流!AV154+车库现金流!AV30+物业等其他收入!AV32</f>
        <v>3882.0819999999994</v>
      </c>
      <c r="L21" s="176">
        <f>商业现金流!AZ74+办公现金流!AZ154+车库现金流!AZ30+物业等其他收入!AZ32</f>
        <v>3985.9575999999997</v>
      </c>
      <c r="M21" s="176">
        <f>商业现金流!BD74+办公现金流!BD154+车库现金流!BD30+物业等其他收入!BD32</f>
        <v>4047.4944</v>
      </c>
      <c r="N21" s="176">
        <f>商业现金流!BH74+办公现金流!BH154+车库现金流!BH30+物业等其他收入!BH32</f>
        <v>4078.9369999999999</v>
      </c>
      <c r="O21" s="176">
        <f>商业现金流!BL74+办公现金流!BL154+车库现金流!BL30+物业等其他收入!BL32</f>
        <v>4111.0082000000002</v>
      </c>
      <c r="P21" s="176">
        <f>商业现金流!BP74+办公现金流!BP154+车库现金流!BP30+物业等其他收入!BP32</f>
        <v>4143.7208000000001</v>
      </c>
      <c r="Q21" s="176">
        <f>商业现金流!BT74+办公现金流!BT154+车库现金流!BT30+物业等其他收入!BT32</f>
        <v>4177.0879999999997</v>
      </c>
      <c r="R21" s="176">
        <f>商业现金流!BX74+办公现金流!BX154+车库现金流!BX30+物业等其他收入!BX32</f>
        <v>4211.1224000000002</v>
      </c>
      <c r="S21" s="176">
        <f>商业现金流!CB74+办公现金流!CB154+车库现金流!CB30+物业等其他收入!CB32</f>
        <v>4245.8374000000003</v>
      </c>
      <c r="T21" s="176">
        <f>商业现金流!CF74+办公现金流!CF154+车库现金流!CF30+物业等其他收入!CF32</f>
        <v>4281.2467999999999</v>
      </c>
      <c r="U21" s="176">
        <f>商业现金流!CJ74+办公现金流!CJ154+车库现金流!CJ30+物业等其他收入!CJ32</f>
        <v>4317.3644000000004</v>
      </c>
      <c r="V21" s="176">
        <f>商业现金流!CN74+办公现金流!CN154+车库现金流!CN30+物业等其他收入!CN32</f>
        <v>45527.690399999999</v>
      </c>
    </row>
    <row r="22" spans="1:22" s="28" customFormat="1" ht="12.75">
      <c r="A22" s="28" t="s">
        <v>634</v>
      </c>
      <c r="B22" s="176">
        <f>(商业现金流!L75+办公现金流!L155+车库现金流!L31+物业等其他收入!L33)/0.93</f>
        <v>16280.69497650043</v>
      </c>
      <c r="C22" s="176">
        <f>商业现金流!P75+办公现金流!P155+车库现金流!P31+物业等其他收入!P33</f>
        <v>16480.623834753642</v>
      </c>
      <c r="D22" s="176">
        <f>商业现金流!T75+办公现金流!T155+车库现金流!T31+物业等其他收入!T33</f>
        <v>16741.162820944312</v>
      </c>
      <c r="E22" s="176">
        <f>商业现金流!X75+办公现金流!X155+车库现金流!X31+物业等其他收入!X33</f>
        <v>17091.893794161919</v>
      </c>
      <c r="F22" s="176">
        <f>商业现金流!AB75+办公现金流!AB155+车库现金流!AB31+物业等其他收入!AB33</f>
        <v>17488.420886396889</v>
      </c>
      <c r="G22" s="176">
        <f>商业现金流!AF75+办公现金流!AF155+车库现金流!AF31+物业等其他收入!AF33</f>
        <v>17908.642725498605</v>
      </c>
      <c r="H22" s="176">
        <f>商业现金流!AJ75+办公现金流!AJ155+车库现金流!AJ31+物业等其他收入!AJ33</f>
        <v>18327.590261090947</v>
      </c>
      <c r="I22" s="176">
        <f>商业现金流!AN75+办公现金流!AN155+车库现金流!AN31+物业等其他收入!AN33</f>
        <v>18691.435656288275</v>
      </c>
      <c r="J22" s="176">
        <f>商业现金流!AR75+办公现金流!AR155+车库现金流!AR31+物业等其他收入!AR33</f>
        <v>18560.377955938238</v>
      </c>
      <c r="K22" s="176">
        <f>商业现金流!AV75+办公现金流!AV155+车库现金流!AV31+物业等其他收入!AV33</f>
        <v>18596.591281286404</v>
      </c>
      <c r="L22" s="176">
        <f>商业现金流!AZ75+办公现金流!AZ155+车库现金流!AZ31+物业等其他收入!AZ33</f>
        <v>19026.07683884224</v>
      </c>
      <c r="M22" s="176">
        <f>商业现金流!BD75+办公现金流!BD155+车库现金流!BD31+物业等其他收入!BD33</f>
        <v>19280.507891339519</v>
      </c>
      <c r="N22" s="176">
        <f>商业现金流!BH75+办公现金流!BH155+车库现金流!BH31+物业等其他收入!BH33</f>
        <v>19410.510494046743</v>
      </c>
      <c r="O22" s="176">
        <f>商业现金流!BL75+办公现金流!BL155+车库现金流!BL31+物业等其他收入!BL33</f>
        <v>19543.113400808106</v>
      </c>
      <c r="P22" s="176">
        <f>商业现金流!BP75+办公现金流!BP155+车库现金流!BP31+物业等其他收入!BP33</f>
        <v>19678.368389704701</v>
      </c>
      <c r="Q22" s="176">
        <f>商业现金流!BT75+办公现金流!BT155+车库现金流!BT31+物业等其他收入!BT33</f>
        <v>19816.328130379232</v>
      </c>
      <c r="R22" s="176">
        <f>商业现金流!BX75+办公现金流!BX155+车库现金流!BX31+物业等其他收入!BX33</f>
        <v>19957.047209867247</v>
      </c>
      <c r="S22" s="176">
        <f>商业现金流!CB75+办公现金流!CB155+车库现金流!CB31+物业等其他收入!CB33</f>
        <v>20100.580758945027</v>
      </c>
      <c r="T22" s="176">
        <f>商业现金流!CF75+办公现金流!CF155+车库现金流!CF31+物业等其他收入!CF33</f>
        <v>20246.984879004358</v>
      </c>
      <c r="U22" s="176">
        <f>商业现金流!CJ75+办公现金流!CJ155+车库现金流!CJ31+物业等其他收入!CJ33</f>
        <v>20396.317069464876</v>
      </c>
      <c r="V22" s="176">
        <f>商业现金流!CN75+办公现金流!CN155+车库现金流!CN31+物业等其他收入!CN33</f>
        <v>190261.40327931242</v>
      </c>
    </row>
    <row r="23" spans="1:22" s="28" customFormat="1" ht="12.75"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</row>
    <row r="24" spans="1:22" s="28" customFormat="1" ht="12.75">
      <c r="A24" s="28" t="s">
        <v>636</v>
      </c>
      <c r="B24" s="176">
        <f>(商业现金流!L77+办公现金流!L157+车库现金流!L33+物业等其他收入!L35)/0.93</f>
        <v>16280.694976500426</v>
      </c>
      <c r="C24" s="176">
        <f>商业现金流!P77+办公现金流!P157+车库现金流!P33+物业等其他收入!P35</f>
        <v>16480.623834753642</v>
      </c>
      <c r="D24" s="176">
        <f>商业现金流!T77+办公现金流!T157+车库现金流!T33+物业等其他收入!T35</f>
        <v>16741.162820944312</v>
      </c>
      <c r="E24" s="176">
        <f>商业现金流!X77+办公现金流!X157+车库现金流!X33+物业等其他收入!X35</f>
        <v>17091.893794161919</v>
      </c>
      <c r="F24" s="176">
        <f>商业现金流!AB77+办公现金流!AB157+车库现金流!AB33+物业等其他收入!AB35</f>
        <v>17488.420886396892</v>
      </c>
      <c r="G24" s="176">
        <f>商业现金流!AF77+办公现金流!AF157+车库现金流!AF33+物业等其他收入!AF35</f>
        <v>17908.642725498605</v>
      </c>
      <c r="H24" s="176">
        <f>商业现金流!AJ77+办公现金流!AJ157+车库现金流!AJ33+物业等其他收入!AJ35</f>
        <v>18327.590261090947</v>
      </c>
      <c r="I24" s="176">
        <f>商业现金流!AN77+办公现金流!AN157+车库现金流!AN33+物业等其他收入!AN35</f>
        <v>18691.435656288275</v>
      </c>
      <c r="J24" s="176">
        <f>商业现金流!AR77+办公现金流!AR157+车库现金流!AR33+物业等其他收入!AR35</f>
        <v>18560.377955938238</v>
      </c>
      <c r="K24" s="176">
        <f>商业现金流!AV77+办公现金流!AV157+车库现金流!AV33+物业等其他收入!AV35</f>
        <v>18596.591281286401</v>
      </c>
      <c r="L24" s="176">
        <f>商业现金流!AZ77+办公现金流!AZ157+车库现金流!AZ33+物业等其他收入!AZ35</f>
        <v>19026.076838842244</v>
      </c>
      <c r="M24" s="176">
        <f>商业现金流!BD77+办公现金流!BD157+车库现金流!BD33+物业等其他收入!BD35</f>
        <v>19280.507891339519</v>
      </c>
      <c r="N24" s="176">
        <f>商业现金流!BH77+办公现金流!BH157+车库现金流!BH33+物业等其他收入!BH35</f>
        <v>19410.510494046743</v>
      </c>
      <c r="O24" s="176">
        <f>商业现金流!BL77+办公现金流!BL157+车库现金流!BL33+物业等其他收入!BL35</f>
        <v>19543.113400808106</v>
      </c>
      <c r="P24" s="176">
        <f>商业现金流!BP77+办公现金流!BP157+车库现金流!BP33+物业等其他收入!BP35</f>
        <v>19678.368389704701</v>
      </c>
      <c r="Q24" s="176">
        <f>商业现金流!BT77+办公现金流!BT157+车库现金流!BT33+物业等其他收入!BT35</f>
        <v>19816.328130379232</v>
      </c>
      <c r="R24" s="176">
        <f>商业现金流!BX77+办公现金流!BX157+车库现金流!BX33+物业等其他收入!BX35</f>
        <v>19957.047209867247</v>
      </c>
      <c r="S24" s="176">
        <f>商业现金流!CB77+办公现金流!CB157+车库现金流!CB33+物业等其他收入!CB35</f>
        <v>20100.580758945027</v>
      </c>
      <c r="T24" s="176">
        <f>商业现金流!CF77+办公现金流!CF157+车库现金流!CF33+物业等其他收入!CF35</f>
        <v>20246.984879004358</v>
      </c>
      <c r="U24" s="176">
        <f>商业现金流!CJ77+办公现金流!CJ157+车库现金流!CJ33+物业等其他收入!CJ35</f>
        <v>20396.317069464876</v>
      </c>
      <c r="V24" s="176">
        <f>商业现金流!CN77+办公现金流!CN157+车库现金流!CN33+物业等其他收入!CN35</f>
        <v>190261.40327931268</v>
      </c>
    </row>
    <row r="27" spans="1:22">
      <c r="C27" s="74">
        <f t="shared" ref="C27:O27" si="0">C19/B19-1</f>
        <v>1.2665816311004718E-2</v>
      </c>
      <c r="D27" s="74">
        <f t="shared" si="0"/>
        <v>1.629912450851978E-2</v>
      </c>
      <c r="E27" s="74">
        <f t="shared" si="0"/>
        <v>2.1589605770415687E-2</v>
      </c>
      <c r="F27" s="74">
        <f t="shared" si="0"/>
        <v>2.3892786452972326E-2</v>
      </c>
      <c r="G27" s="74">
        <f t="shared" si="0"/>
        <v>2.4729640046676549E-2</v>
      </c>
      <c r="H27" s="74">
        <f t="shared" si="0"/>
        <v>2.4059661916331354E-2</v>
      </c>
      <c r="I27" s="74">
        <f t="shared" si="0"/>
        <v>2.0404300256635199E-2</v>
      </c>
      <c r="J27" s="74">
        <f t="shared" si="0"/>
        <v>-7.2026824500065478E-3</v>
      </c>
      <c r="K27" s="74">
        <f t="shared" si="0"/>
        <v>2.0046591792692858E-3</v>
      </c>
      <c r="L27" s="74">
        <f t="shared" si="0"/>
        <v>2.3727430479621114E-2</v>
      </c>
      <c r="M27" s="74">
        <f t="shared" si="0"/>
        <v>1.373054839358101E-2</v>
      </c>
      <c r="N27" s="74">
        <f t="shared" si="0"/>
        <v>6.9206613018535368E-3</v>
      </c>
      <c r="O27" s="74">
        <f t="shared" si="0"/>
        <v>7.0105568384739581E-3</v>
      </c>
      <c r="P27" s="74">
        <f t="shared" ref="P27:U27" si="1">P19/O19-1</f>
        <v>7.1009861085205017E-3</v>
      </c>
      <c r="Q27" s="74">
        <f t="shared" si="1"/>
        <v>7.1919359931105209E-3</v>
      </c>
      <c r="R27" s="74">
        <f t="shared" si="1"/>
        <v>7.2833930165847605E-3</v>
      </c>
      <c r="S27" s="74">
        <f t="shared" si="1"/>
        <v>7.3753433526471124E-3</v>
      </c>
      <c r="T27" s="74">
        <f t="shared" si="1"/>
        <v>7.467772830991537E-3</v>
      </c>
      <c r="U27" s="74">
        <f t="shared" si="1"/>
        <v>7.5606669444197028E-3</v>
      </c>
      <c r="V27" s="74"/>
    </row>
    <row r="29" spans="1:22">
      <c r="A29" s="179">
        <v>0.01</v>
      </c>
      <c r="B29" s="180">
        <v>0.19</v>
      </c>
      <c r="C29" s="178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</row>
    <row r="30" spans="1:22">
      <c r="B30">
        <v>25000</v>
      </c>
      <c r="C30">
        <f>B30*(1+$A$29)</f>
        <v>25250</v>
      </c>
      <c r="D30">
        <f t="shared" ref="D30:V30" si="2">C30*(1+$A$29)</f>
        <v>25502.5</v>
      </c>
      <c r="E30">
        <f t="shared" si="2"/>
        <v>25757.525000000001</v>
      </c>
      <c r="F30">
        <f t="shared" si="2"/>
        <v>26015.100250000003</v>
      </c>
      <c r="G30">
        <f t="shared" si="2"/>
        <v>26275.251252500002</v>
      </c>
      <c r="H30">
        <f t="shared" si="2"/>
        <v>26538.003765025001</v>
      </c>
      <c r="I30">
        <f t="shared" si="2"/>
        <v>26803.383802675253</v>
      </c>
      <c r="J30">
        <f t="shared" si="2"/>
        <v>27071.417640702006</v>
      </c>
      <c r="K30">
        <f t="shared" si="2"/>
        <v>27342.131817109028</v>
      </c>
      <c r="L30">
        <f t="shared" si="2"/>
        <v>27615.553135280119</v>
      </c>
      <c r="M30">
        <f t="shared" si="2"/>
        <v>27891.70866663292</v>
      </c>
      <c r="N30">
        <f t="shared" si="2"/>
        <v>28170.625753299249</v>
      </c>
      <c r="O30">
        <f t="shared" si="2"/>
        <v>28452.33201083224</v>
      </c>
      <c r="P30">
        <f t="shared" si="2"/>
        <v>28736.855330940562</v>
      </c>
      <c r="Q30">
        <f t="shared" si="2"/>
        <v>29024.223884249968</v>
      </c>
      <c r="R30">
        <f t="shared" si="2"/>
        <v>29314.466123092468</v>
      </c>
      <c r="S30">
        <f t="shared" si="2"/>
        <v>29607.610784323395</v>
      </c>
      <c r="T30">
        <f t="shared" si="2"/>
        <v>29903.686892166628</v>
      </c>
      <c r="U30">
        <f t="shared" si="2"/>
        <v>30202.723761088295</v>
      </c>
      <c r="V30">
        <f t="shared" si="2"/>
        <v>30504.750998699179</v>
      </c>
    </row>
    <row r="31" spans="1:22">
      <c r="A31" s="179">
        <v>0.05</v>
      </c>
      <c r="B31">
        <f>B30/(1+A31)^B29</f>
        <v>24769.317600228362</v>
      </c>
      <c r="C31">
        <f>C30/(1+$A$31)^(C29+$B$29)</f>
        <v>23825.724548791088</v>
      </c>
      <c r="D31">
        <f t="shared" ref="D31:V31" si="3">D30/(1+$A$31)^(D29+$B$29)</f>
        <v>22918.077899313335</v>
      </c>
      <c r="E31">
        <f t="shared" si="3"/>
        <v>22045.008265053777</v>
      </c>
      <c r="F31">
        <f t="shared" si="3"/>
        <v>21205.198426385061</v>
      </c>
      <c r="G31">
        <f t="shared" si="3"/>
        <v>20397.381343475154</v>
      </c>
      <c r="H31">
        <f t="shared" si="3"/>
        <v>19620.338244676099</v>
      </c>
      <c r="I31">
        <f t="shared" si="3"/>
        <v>18872.896787736056</v>
      </c>
      <c r="J31">
        <f t="shared" si="3"/>
        <v>18153.929291060398</v>
      </c>
      <c r="K31">
        <f t="shared" si="3"/>
        <v>17462.351032353334</v>
      </c>
      <c r="L31">
        <f t="shared" si="3"/>
        <v>16797.118612073209</v>
      </c>
      <c r="M31">
        <f t="shared" si="3"/>
        <v>16157.228379232323</v>
      </c>
      <c r="N31">
        <f>N30/(1+$A$31)^(N29+$B$29)</f>
        <v>15541.71491716633</v>
      </c>
      <c r="O31">
        <f t="shared" si="3"/>
        <v>14949.649586988562</v>
      </c>
      <c r="P31">
        <f t="shared" si="3"/>
        <v>14380.139126531854</v>
      </c>
      <c r="Q31">
        <f t="shared" si="3"/>
        <v>13832.324302663976</v>
      </c>
      <c r="R31">
        <f t="shared" si="3"/>
        <v>13305.378614943442</v>
      </c>
      <c r="S31">
        <f t="shared" si="3"/>
        <v>12798.507048659882</v>
      </c>
      <c r="T31">
        <f t="shared" si="3"/>
        <v>12310.9448753776</v>
      </c>
      <c r="U31">
        <f t="shared" si="3"/>
        <v>11841.956499172738</v>
      </c>
      <c r="V31">
        <f t="shared" si="3"/>
        <v>11390.8343468233</v>
      </c>
    </row>
    <row r="33" spans="2:6">
      <c r="B33">
        <f>SUM(B31:V31)</f>
        <v>362576.01974870579</v>
      </c>
    </row>
    <row r="36" spans="2:6">
      <c r="F36" s="178">
        <f>B19-13000</f>
        <v>9025.4527342580659</v>
      </c>
    </row>
    <row r="38" spans="2:6">
      <c r="F38">
        <f>F36*0.18</f>
        <v>1624.5814921664519</v>
      </c>
    </row>
  </sheetData>
  <mergeCells count="9">
    <mergeCell ref="B14:C14"/>
    <mergeCell ref="A7:D7"/>
    <mergeCell ref="F7:H7"/>
    <mergeCell ref="B13:C13"/>
    <mergeCell ref="F12:G12"/>
    <mergeCell ref="F13:G13"/>
    <mergeCell ref="F14:G14"/>
    <mergeCell ref="B8:C8"/>
    <mergeCell ref="F8:G8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CQ100"/>
  <sheetViews>
    <sheetView workbookViewId="0">
      <selection activeCell="G85" sqref="G85"/>
    </sheetView>
  </sheetViews>
  <sheetFormatPr defaultRowHeight="12.75"/>
  <cols>
    <col min="1" max="1" width="4.25" style="28" customWidth="1"/>
    <col min="2" max="2" width="6.875" style="28" customWidth="1"/>
    <col min="3" max="3" width="22.75" style="28" customWidth="1"/>
    <col min="4" max="4" width="9" style="28"/>
    <col min="5" max="5" width="9.125" style="28" bestFit="1" customWidth="1"/>
    <col min="6" max="6" width="10.75" style="28" customWidth="1"/>
    <col min="7" max="7" width="9.875" style="28" customWidth="1"/>
    <col min="8" max="8" width="7.375" style="44" customWidth="1"/>
    <col min="9" max="9" width="7.625" style="28" customWidth="1"/>
    <col min="10" max="10" width="4.625" style="28" customWidth="1"/>
    <col min="11" max="11" width="6.125" style="28" customWidth="1"/>
    <col min="12" max="12" width="8.625" style="28" customWidth="1"/>
    <col min="13" max="14" width="8.625" style="47" customWidth="1"/>
    <col min="15" max="29" width="8.625" style="28" customWidth="1"/>
    <col min="30" max="94" width="9" style="28"/>
    <col min="95" max="95" width="10.25" style="28" bestFit="1" customWidth="1"/>
    <col min="96" max="16384" width="9" style="28"/>
  </cols>
  <sheetData>
    <row r="1" spans="1:94" ht="20.25">
      <c r="A1" s="23" t="s">
        <v>135</v>
      </c>
      <c r="B1" s="24"/>
      <c r="C1" s="25"/>
      <c r="D1" s="26"/>
      <c r="E1" s="27"/>
      <c r="F1" s="26"/>
      <c r="G1" s="26"/>
      <c r="H1" s="24"/>
      <c r="I1" s="26"/>
      <c r="J1" s="26"/>
      <c r="K1" s="26"/>
      <c r="L1" s="224" t="s">
        <v>145</v>
      </c>
      <c r="M1" s="224"/>
      <c r="N1" s="224"/>
      <c r="O1" s="224" t="s">
        <v>221</v>
      </c>
      <c r="P1" s="224"/>
      <c r="Q1" s="224"/>
      <c r="R1" s="224"/>
      <c r="S1" s="224" t="s">
        <v>146</v>
      </c>
      <c r="T1" s="224"/>
      <c r="U1" s="224"/>
      <c r="V1" s="224"/>
      <c r="W1" s="224" t="s">
        <v>147</v>
      </c>
      <c r="X1" s="224"/>
      <c r="Y1" s="224"/>
      <c r="Z1" s="224"/>
      <c r="AA1" s="224" t="s">
        <v>148</v>
      </c>
      <c r="AB1" s="224"/>
      <c r="AC1" s="224"/>
      <c r="AD1" s="224"/>
      <c r="AE1" s="224" t="s">
        <v>149</v>
      </c>
      <c r="AF1" s="224"/>
      <c r="AG1" s="224"/>
      <c r="AH1" s="224"/>
      <c r="AI1" s="224" t="s">
        <v>150</v>
      </c>
      <c r="AJ1" s="224"/>
      <c r="AK1" s="224"/>
      <c r="AL1" s="224"/>
      <c r="AM1" s="224" t="s">
        <v>151</v>
      </c>
      <c r="AN1" s="224"/>
      <c r="AO1" s="224"/>
      <c r="AP1" s="224"/>
      <c r="AQ1" s="224" t="s">
        <v>152</v>
      </c>
      <c r="AR1" s="224"/>
      <c r="AS1" s="224"/>
      <c r="AT1" s="224"/>
      <c r="AU1" s="224" t="s">
        <v>153</v>
      </c>
      <c r="AV1" s="224"/>
      <c r="AW1" s="224"/>
      <c r="AX1" s="224"/>
      <c r="AY1" s="231" t="s">
        <v>154</v>
      </c>
      <c r="AZ1" s="231"/>
      <c r="BA1" s="231"/>
      <c r="BB1" s="231"/>
      <c r="BC1" s="224" t="s">
        <v>155</v>
      </c>
      <c r="BD1" s="224"/>
      <c r="BE1" s="224"/>
      <c r="BF1" s="224"/>
      <c r="BG1" s="224" t="s">
        <v>156</v>
      </c>
      <c r="BH1" s="224"/>
      <c r="BI1" s="224"/>
      <c r="BJ1" s="224"/>
      <c r="BK1" s="224" t="s">
        <v>157</v>
      </c>
      <c r="BL1" s="224"/>
      <c r="BM1" s="224"/>
      <c r="BN1" s="224"/>
      <c r="BO1" s="224" t="s">
        <v>158</v>
      </c>
      <c r="BP1" s="224"/>
      <c r="BQ1" s="224"/>
      <c r="BR1" s="224"/>
      <c r="BS1" s="224" t="s">
        <v>159</v>
      </c>
      <c r="BT1" s="224"/>
      <c r="BU1" s="224"/>
      <c r="BV1" s="224"/>
      <c r="BW1" s="224" t="s">
        <v>222</v>
      </c>
      <c r="BX1" s="224"/>
      <c r="BY1" s="224"/>
      <c r="BZ1" s="224"/>
      <c r="CA1" s="224" t="s">
        <v>223</v>
      </c>
      <c r="CB1" s="224"/>
      <c r="CC1" s="224"/>
      <c r="CD1" s="224"/>
      <c r="CE1" s="224" t="s">
        <v>160</v>
      </c>
      <c r="CF1" s="224"/>
      <c r="CG1" s="224"/>
      <c r="CH1" s="224"/>
      <c r="CI1" s="224" t="s">
        <v>161</v>
      </c>
      <c r="CJ1" s="224"/>
      <c r="CK1" s="224"/>
      <c r="CL1" s="224"/>
      <c r="CM1" s="224" t="s">
        <v>162</v>
      </c>
      <c r="CN1" s="224"/>
      <c r="CO1" s="224"/>
      <c r="CP1" s="224"/>
    </row>
    <row r="2" spans="1:94" s="40" customFormat="1" ht="36" hidden="1">
      <c r="A2" s="34" t="s">
        <v>272</v>
      </c>
      <c r="B2" s="35" t="s">
        <v>136</v>
      </c>
      <c r="C2" s="36" t="s">
        <v>137</v>
      </c>
      <c r="D2" s="34" t="s">
        <v>138</v>
      </c>
      <c r="E2" s="34" t="s">
        <v>139</v>
      </c>
      <c r="F2" s="34" t="s">
        <v>140</v>
      </c>
      <c r="G2" s="34" t="s">
        <v>141</v>
      </c>
      <c r="H2" s="35"/>
      <c r="I2" s="34" t="s">
        <v>142</v>
      </c>
      <c r="J2" s="34" t="s">
        <v>143</v>
      </c>
      <c r="K2" s="38" t="s">
        <v>144</v>
      </c>
      <c r="L2" s="39" t="s">
        <v>224</v>
      </c>
      <c r="M2" s="68" t="s">
        <v>163</v>
      </c>
      <c r="N2" s="39" t="s">
        <v>225</v>
      </c>
      <c r="O2" s="39" t="s">
        <v>164</v>
      </c>
      <c r="P2" s="39" t="s">
        <v>226</v>
      </c>
      <c r="Q2" s="68" t="s">
        <v>227</v>
      </c>
      <c r="R2" s="39" t="s">
        <v>165</v>
      </c>
      <c r="S2" s="39" t="s">
        <v>228</v>
      </c>
      <c r="T2" s="39" t="s">
        <v>166</v>
      </c>
      <c r="U2" s="68" t="s">
        <v>167</v>
      </c>
      <c r="V2" s="39" t="s">
        <v>229</v>
      </c>
      <c r="W2" s="39" t="s">
        <v>230</v>
      </c>
      <c r="X2" s="39" t="s">
        <v>231</v>
      </c>
      <c r="Y2" s="39" t="s">
        <v>168</v>
      </c>
      <c r="Z2" s="39" t="s">
        <v>169</v>
      </c>
      <c r="AA2" s="39" t="s">
        <v>232</v>
      </c>
      <c r="AB2" s="39" t="s">
        <v>170</v>
      </c>
      <c r="AC2" s="39" t="s">
        <v>233</v>
      </c>
      <c r="AD2" s="39" t="s">
        <v>234</v>
      </c>
      <c r="AE2" s="39" t="s">
        <v>171</v>
      </c>
      <c r="AF2" s="39" t="s">
        <v>172</v>
      </c>
      <c r="AG2" s="39" t="s">
        <v>173</v>
      </c>
      <c r="AH2" s="39" t="s">
        <v>174</v>
      </c>
      <c r="AI2" s="39" t="s">
        <v>175</v>
      </c>
      <c r="AJ2" s="39" t="s">
        <v>235</v>
      </c>
      <c r="AK2" s="39" t="s">
        <v>176</v>
      </c>
      <c r="AL2" s="39" t="s">
        <v>177</v>
      </c>
      <c r="AM2" s="39" t="s">
        <v>178</v>
      </c>
      <c r="AN2" s="39" t="s">
        <v>179</v>
      </c>
      <c r="AO2" s="39" t="s">
        <v>180</v>
      </c>
      <c r="AP2" s="39" t="s">
        <v>181</v>
      </c>
      <c r="AQ2" s="39" t="s">
        <v>182</v>
      </c>
      <c r="AR2" s="39" t="s">
        <v>236</v>
      </c>
      <c r="AS2" s="39" t="s">
        <v>183</v>
      </c>
      <c r="AT2" s="39" t="s">
        <v>237</v>
      </c>
      <c r="AU2" s="39" t="s">
        <v>184</v>
      </c>
      <c r="AV2" s="39" t="s">
        <v>238</v>
      </c>
      <c r="AW2" s="39" t="s">
        <v>239</v>
      </c>
      <c r="AX2" s="39" t="s">
        <v>185</v>
      </c>
      <c r="AY2" s="39" t="s">
        <v>186</v>
      </c>
      <c r="AZ2" s="39" t="s">
        <v>240</v>
      </c>
      <c r="BA2" s="39" t="s">
        <v>187</v>
      </c>
      <c r="BB2" s="39" t="s">
        <v>188</v>
      </c>
      <c r="BC2" s="39" t="s">
        <v>241</v>
      </c>
      <c r="BD2" s="39" t="s">
        <v>189</v>
      </c>
      <c r="BE2" s="39" t="s">
        <v>190</v>
      </c>
      <c r="BF2" s="39" t="s">
        <v>242</v>
      </c>
      <c r="BG2" s="39" t="s">
        <v>243</v>
      </c>
      <c r="BH2" s="39" t="s">
        <v>191</v>
      </c>
      <c r="BI2" s="39" t="s">
        <v>192</v>
      </c>
      <c r="BJ2" s="39" t="s">
        <v>193</v>
      </c>
      <c r="BK2" s="39" t="s">
        <v>244</v>
      </c>
      <c r="BL2" s="39" t="s">
        <v>194</v>
      </c>
      <c r="BM2" s="39" t="s">
        <v>195</v>
      </c>
      <c r="BN2" s="39" t="s">
        <v>196</v>
      </c>
      <c r="BO2" s="39" t="s">
        <v>245</v>
      </c>
      <c r="BP2" s="39" t="s">
        <v>197</v>
      </c>
      <c r="BQ2" s="39" t="s">
        <v>198</v>
      </c>
      <c r="BR2" s="39" t="s">
        <v>199</v>
      </c>
      <c r="BS2" s="39" t="s">
        <v>200</v>
      </c>
      <c r="BT2" s="39" t="s">
        <v>201</v>
      </c>
      <c r="BU2" s="39" t="s">
        <v>202</v>
      </c>
      <c r="BV2" s="39" t="s">
        <v>246</v>
      </c>
      <c r="BW2" s="39" t="s">
        <v>203</v>
      </c>
      <c r="BX2" s="39" t="s">
        <v>204</v>
      </c>
      <c r="BY2" s="39" t="s">
        <v>247</v>
      </c>
      <c r="BZ2" s="39" t="s">
        <v>205</v>
      </c>
      <c r="CA2" s="39" t="s">
        <v>206</v>
      </c>
      <c r="CB2" s="39" t="s">
        <v>207</v>
      </c>
      <c r="CC2" s="39" t="s">
        <v>208</v>
      </c>
      <c r="CD2" s="39" t="s">
        <v>209</v>
      </c>
      <c r="CE2" s="39" t="s">
        <v>210</v>
      </c>
      <c r="CF2" s="39" t="s">
        <v>211</v>
      </c>
      <c r="CG2" s="39" t="s">
        <v>212</v>
      </c>
      <c r="CH2" s="39" t="s">
        <v>213</v>
      </c>
      <c r="CI2" s="39" t="s">
        <v>214</v>
      </c>
      <c r="CJ2" s="39" t="s">
        <v>215</v>
      </c>
      <c r="CK2" s="39" t="s">
        <v>216</v>
      </c>
      <c r="CL2" s="39" t="s">
        <v>217</v>
      </c>
      <c r="CM2" s="39" t="s">
        <v>248</v>
      </c>
      <c r="CN2" s="39" t="s">
        <v>218</v>
      </c>
      <c r="CO2" s="39" t="s">
        <v>219</v>
      </c>
      <c r="CP2" s="39" t="s">
        <v>220</v>
      </c>
    </row>
    <row r="3" spans="1:94" ht="12.95" hidden="1" customHeight="1">
      <c r="A3" s="29">
        <v>1</v>
      </c>
      <c r="B3" s="30">
        <v>-1</v>
      </c>
      <c r="C3" s="31" t="s">
        <v>47</v>
      </c>
      <c r="D3" s="29" t="s">
        <v>48</v>
      </c>
      <c r="E3" s="32">
        <v>248.4</v>
      </c>
      <c r="F3" s="33">
        <v>42675</v>
      </c>
      <c r="G3" s="33">
        <v>44500</v>
      </c>
      <c r="H3" s="30">
        <v>2022</v>
      </c>
      <c r="I3" s="29">
        <f>ROUND(基础数据!N23/30,2)</f>
        <v>6.67</v>
      </c>
      <c r="J3" s="175">
        <v>0.03</v>
      </c>
      <c r="K3" s="29">
        <f>93200+10252+2563</f>
        <v>106015</v>
      </c>
      <c r="L3" s="47">
        <f>ROUND(I3*取费表!$B$2*E3*365,0)</f>
        <v>108854</v>
      </c>
      <c r="M3" s="44">
        <f>I3*(1+J3)*E3*365/4</f>
        <v>155721.12165000002</v>
      </c>
      <c r="N3" s="48">
        <f>$M$3</f>
        <v>155721.12165000002</v>
      </c>
      <c r="O3" s="44">
        <f t="shared" ref="O3:P3" si="0">$M$3</f>
        <v>155721.12165000002</v>
      </c>
      <c r="P3" s="44">
        <f t="shared" si="0"/>
        <v>155721.12165000002</v>
      </c>
      <c r="Q3" s="44">
        <f t="shared" ref="Q3:Q8" si="1">P3*(1+J3)</f>
        <v>160392.75529950002</v>
      </c>
      <c r="R3" s="44">
        <f t="shared" ref="R3:R8" si="2">Q3</f>
        <v>160392.75529950002</v>
      </c>
      <c r="S3" s="44">
        <f t="shared" ref="S3:T3" si="3">R3</f>
        <v>160392.75529950002</v>
      </c>
      <c r="T3" s="44">
        <f t="shared" si="3"/>
        <v>160392.75529950002</v>
      </c>
      <c r="U3" s="44">
        <f>T3*(1+J3)</f>
        <v>165204.53795848502</v>
      </c>
      <c r="V3" s="44">
        <f>U3</f>
        <v>165204.53795848502</v>
      </c>
      <c r="W3" s="44">
        <f t="shared" ref="W3:X3" si="4">V3</f>
        <v>165204.53795848502</v>
      </c>
      <c r="X3" s="44">
        <f t="shared" si="4"/>
        <v>165204.53795848502</v>
      </c>
      <c r="Y3" s="44">
        <f>X3*(1+J3)</f>
        <v>170160.67409723956</v>
      </c>
      <c r="Z3" s="65">
        <f t="shared" ref="Z3:AC4" si="5">Y3</f>
        <v>170160.67409723956</v>
      </c>
      <c r="AA3" s="28">
        <f t="shared" si="5"/>
        <v>170160.67409723956</v>
      </c>
      <c r="AB3" s="28">
        <f t="shared" si="5"/>
        <v>170160.67409723956</v>
      </c>
      <c r="AC3" s="28">
        <f t="shared" si="5"/>
        <v>170160.67409723956</v>
      </c>
    </row>
    <row r="4" spans="1:94" ht="12.95" hidden="1" customHeight="1">
      <c r="A4" s="29">
        <v>2</v>
      </c>
      <c r="B4" s="30" t="s">
        <v>50</v>
      </c>
      <c r="C4" s="31" t="s">
        <v>51</v>
      </c>
      <c r="D4" s="29" t="s">
        <v>52</v>
      </c>
      <c r="E4" s="32">
        <v>636.4</v>
      </c>
      <c r="F4" s="33">
        <v>37281</v>
      </c>
      <c r="G4" s="33">
        <v>44585</v>
      </c>
      <c r="H4" s="30">
        <v>2022</v>
      </c>
      <c r="I4" s="137">
        <f>I3</f>
        <v>6.67</v>
      </c>
      <c r="J4" s="175">
        <f>$J$3</f>
        <v>0.03</v>
      </c>
      <c r="K4" s="29">
        <v>100000</v>
      </c>
      <c r="L4" s="47">
        <f>ROUND(I4*取费表!$B$2*E4*365,0)</f>
        <v>278883</v>
      </c>
      <c r="M4" s="44">
        <f>I4*(1+J4)*E4*365/4</f>
        <v>398957.01214999997</v>
      </c>
      <c r="N4" s="47">
        <f>$M$4</f>
        <v>398957.01214999997</v>
      </c>
      <c r="O4" s="28">
        <f t="shared" ref="O4:P4" si="6">$M$4</f>
        <v>398957.01214999997</v>
      </c>
      <c r="P4" s="28">
        <f t="shared" si="6"/>
        <v>398957.01214999997</v>
      </c>
      <c r="Q4" s="44">
        <f t="shared" si="1"/>
        <v>410925.72251449997</v>
      </c>
      <c r="R4" s="28">
        <f t="shared" si="2"/>
        <v>410925.72251449997</v>
      </c>
      <c r="S4" s="28">
        <f t="shared" ref="S4:T8" si="7">R4</f>
        <v>410925.72251449997</v>
      </c>
      <c r="T4" s="28">
        <f t="shared" si="7"/>
        <v>410925.72251449997</v>
      </c>
      <c r="U4" s="44">
        <f>T4*(1+J4)</f>
        <v>423253.49418993498</v>
      </c>
      <c r="V4" s="44">
        <f>U4</f>
        <v>423253.49418993498</v>
      </c>
      <c r="W4" s="28">
        <f>V4</f>
        <v>423253.49418993498</v>
      </c>
      <c r="X4" s="28">
        <f>W4</f>
        <v>423253.49418993498</v>
      </c>
      <c r="Y4" s="44">
        <f>X4*(1+J4)</f>
        <v>435951.09901563305</v>
      </c>
      <c r="Z4" s="28">
        <f t="shared" si="5"/>
        <v>435951.09901563305</v>
      </c>
      <c r="AA4" s="66">
        <f t="shared" si="5"/>
        <v>435951.09901563305</v>
      </c>
      <c r="AB4" s="28">
        <f t="shared" si="5"/>
        <v>435951.09901563305</v>
      </c>
      <c r="AC4" s="28">
        <f t="shared" si="5"/>
        <v>435951.09901563305</v>
      </c>
    </row>
    <row r="5" spans="1:94" ht="12.95" hidden="1" customHeight="1">
      <c r="A5" s="29">
        <v>3</v>
      </c>
      <c r="B5" s="30" t="s">
        <v>50</v>
      </c>
      <c r="C5" s="31" t="s">
        <v>53</v>
      </c>
      <c r="D5" s="29" t="s">
        <v>54</v>
      </c>
      <c r="E5" s="32">
        <v>188</v>
      </c>
      <c r="F5" s="33">
        <v>43009</v>
      </c>
      <c r="G5" s="33">
        <v>43890</v>
      </c>
      <c r="H5" s="30">
        <v>2020</v>
      </c>
      <c r="I5" s="29">
        <f>I3</f>
        <v>6.67</v>
      </c>
      <c r="J5" s="175">
        <f t="shared" ref="J5:J31" si="8">$J$3</f>
        <v>0.03</v>
      </c>
      <c r="K5" s="29">
        <f>67400+30330+7582.5</f>
        <v>105312.5</v>
      </c>
      <c r="L5" s="47">
        <f>ROUND(I5*取费表!$B$2*E5*365,0)</f>
        <v>82385</v>
      </c>
      <c r="M5" s="44">
        <f t="shared" ref="M5:M13" si="9">I5*(1+J5)*E5*365/4</f>
        <v>117856.5655</v>
      </c>
      <c r="N5" s="47">
        <f>$M$5</f>
        <v>117856.5655</v>
      </c>
      <c r="O5" s="47">
        <f t="shared" ref="O5:P5" si="10">$M$5</f>
        <v>117856.5655</v>
      </c>
      <c r="P5" s="47">
        <f t="shared" si="10"/>
        <v>117856.5655</v>
      </c>
      <c r="Q5" s="44">
        <f t="shared" si="1"/>
        <v>121392.26246500001</v>
      </c>
      <c r="R5" s="47">
        <f t="shared" si="2"/>
        <v>121392.26246500001</v>
      </c>
      <c r="S5" s="67">
        <f t="shared" si="7"/>
        <v>121392.26246500001</v>
      </c>
      <c r="T5" s="28">
        <f t="shared" si="7"/>
        <v>121392.26246500001</v>
      </c>
      <c r="U5" s="28">
        <f>T5</f>
        <v>121392.26246500001</v>
      </c>
    </row>
    <row r="6" spans="1:94" ht="12.95" hidden="1" customHeight="1">
      <c r="A6" s="29">
        <v>4</v>
      </c>
      <c r="B6" s="30" t="s">
        <v>50</v>
      </c>
      <c r="C6" s="31" t="s">
        <v>55</v>
      </c>
      <c r="D6" s="29" t="s">
        <v>56</v>
      </c>
      <c r="E6" s="32">
        <v>435</v>
      </c>
      <c r="F6" s="33">
        <v>42064</v>
      </c>
      <c r="G6" s="33">
        <v>43870</v>
      </c>
      <c r="H6" s="30">
        <v>2020</v>
      </c>
      <c r="I6" s="29">
        <f>I4</f>
        <v>6.67</v>
      </c>
      <c r="J6" s="175">
        <f t="shared" si="8"/>
        <v>0.03</v>
      </c>
      <c r="K6" s="29">
        <f>86860+52650+13162.5</f>
        <v>152672.5</v>
      </c>
      <c r="L6" s="47">
        <f>ROUND(I6*取费表!$B$2*E6*365,0)</f>
        <v>190625</v>
      </c>
      <c r="M6" s="44">
        <f t="shared" si="9"/>
        <v>272700.03187499999</v>
      </c>
      <c r="N6" s="47">
        <f>$M$6</f>
        <v>272700.03187499999</v>
      </c>
      <c r="O6" s="47">
        <f t="shared" ref="O6:P6" si="11">$M$6</f>
        <v>272700.03187499999</v>
      </c>
      <c r="P6" s="47">
        <f t="shared" si="11"/>
        <v>272700.03187499999</v>
      </c>
      <c r="Q6" s="44">
        <f t="shared" si="1"/>
        <v>280881.03283124999</v>
      </c>
      <c r="R6" s="47">
        <f t="shared" si="2"/>
        <v>280881.03283124999</v>
      </c>
      <c r="S6" s="67">
        <f t="shared" si="7"/>
        <v>280881.03283124999</v>
      </c>
      <c r="T6" s="28">
        <f t="shared" si="7"/>
        <v>280881.03283124999</v>
      </c>
      <c r="U6" s="28">
        <f>T6</f>
        <v>280881.03283124999</v>
      </c>
    </row>
    <row r="7" spans="1:94" ht="12.95" hidden="1" customHeight="1">
      <c r="A7" s="29">
        <v>5</v>
      </c>
      <c r="B7" s="30">
        <v>1</v>
      </c>
      <c r="C7" s="31" t="s">
        <v>57</v>
      </c>
      <c r="D7" s="29" t="s">
        <v>58</v>
      </c>
      <c r="E7" s="32">
        <v>179.19</v>
      </c>
      <c r="F7" s="33">
        <v>42705</v>
      </c>
      <c r="G7" s="33">
        <v>43960</v>
      </c>
      <c r="H7" s="30">
        <v>2020</v>
      </c>
      <c r="I7" s="29">
        <f>I4</f>
        <v>6.67</v>
      </c>
      <c r="J7" s="175">
        <f t="shared" si="8"/>
        <v>0.03</v>
      </c>
      <c r="K7" s="29">
        <f>11394+4661.1+1165.28+28206+11466+2866.5</f>
        <v>59758.880000000005</v>
      </c>
      <c r="L7" s="47">
        <f>ROUND(I7*取费表!$B$2*E7*365,0)</f>
        <v>78524</v>
      </c>
      <c r="M7" s="44">
        <f t="shared" si="9"/>
        <v>112333.60623374999</v>
      </c>
      <c r="N7" s="47">
        <f>$M$7</f>
        <v>112333.60623374999</v>
      </c>
      <c r="O7" s="47">
        <f t="shared" ref="O7:P7" si="12">$M$7</f>
        <v>112333.60623374999</v>
      </c>
      <c r="P7" s="47">
        <f t="shared" si="12"/>
        <v>112333.60623374999</v>
      </c>
      <c r="Q7" s="44">
        <f t="shared" si="1"/>
        <v>115703.61442076249</v>
      </c>
      <c r="R7" s="47">
        <f t="shared" si="2"/>
        <v>115703.61442076249</v>
      </c>
      <c r="S7" s="47">
        <f t="shared" si="7"/>
        <v>115703.61442076249</v>
      </c>
      <c r="T7" s="67">
        <f t="shared" si="7"/>
        <v>115703.61442076249</v>
      </c>
      <c r="U7" s="28">
        <f>T7</f>
        <v>115703.61442076249</v>
      </c>
    </row>
    <row r="8" spans="1:94" ht="12.95" hidden="1" customHeight="1">
      <c r="A8" s="29">
        <v>6</v>
      </c>
      <c r="B8" s="30" t="s">
        <v>50</v>
      </c>
      <c r="C8" s="31" t="s">
        <v>59</v>
      </c>
      <c r="D8" s="29" t="s">
        <v>60</v>
      </c>
      <c r="E8" s="32">
        <v>82</v>
      </c>
      <c r="F8" s="33">
        <v>42361</v>
      </c>
      <c r="G8" s="33">
        <v>44187</v>
      </c>
      <c r="H8" s="30">
        <v>2021</v>
      </c>
      <c r="I8" s="29">
        <f>I4</f>
        <v>6.67</v>
      </c>
      <c r="J8" s="175">
        <f t="shared" si="8"/>
        <v>0.03</v>
      </c>
      <c r="K8" s="29">
        <f>30306+6210+1552.5</f>
        <v>38068.5</v>
      </c>
      <c r="L8" s="47">
        <f>ROUND(I8*取费表!$B$2*E8*365,0)</f>
        <v>35934</v>
      </c>
      <c r="M8" s="44">
        <f t="shared" si="9"/>
        <v>51405.523249999998</v>
      </c>
      <c r="N8" s="47">
        <f>$M$8</f>
        <v>51405.523249999998</v>
      </c>
      <c r="O8" s="47">
        <f t="shared" ref="O8:P8" si="13">$M$8</f>
        <v>51405.523249999998</v>
      </c>
      <c r="P8" s="47">
        <f t="shared" si="13"/>
        <v>51405.523249999998</v>
      </c>
      <c r="Q8" s="44">
        <f t="shared" si="1"/>
        <v>52947.688947499999</v>
      </c>
      <c r="R8" s="47">
        <f t="shared" si="2"/>
        <v>52947.688947499999</v>
      </c>
      <c r="S8" s="47">
        <f t="shared" si="7"/>
        <v>52947.688947499999</v>
      </c>
      <c r="T8" s="47">
        <f t="shared" si="7"/>
        <v>52947.688947499999</v>
      </c>
      <c r="U8" s="44">
        <f>T8*(1+J8)</f>
        <v>54536.119615925003</v>
      </c>
      <c r="V8" s="67">
        <f>U8</f>
        <v>54536.119615925003</v>
      </c>
      <c r="W8" s="28">
        <f>V8</f>
        <v>54536.119615925003</v>
      </c>
      <c r="X8" s="28">
        <f>W8</f>
        <v>54536.119615925003</v>
      </c>
      <c r="Y8" s="28">
        <f>X8</f>
        <v>54536.119615925003</v>
      </c>
    </row>
    <row r="9" spans="1:94" ht="12.95" hidden="1" customHeight="1">
      <c r="A9" s="29">
        <v>7</v>
      </c>
      <c r="B9" s="30" t="s">
        <v>50</v>
      </c>
      <c r="C9" s="31" t="s">
        <v>61</v>
      </c>
      <c r="D9" s="29" t="s">
        <v>62</v>
      </c>
      <c r="E9" s="32">
        <v>720</v>
      </c>
      <c r="F9" s="33">
        <v>41866</v>
      </c>
      <c r="G9" s="33">
        <v>43691</v>
      </c>
      <c r="H9" s="30">
        <v>2019</v>
      </c>
      <c r="I9" s="29">
        <f>I4</f>
        <v>6.67</v>
      </c>
      <c r="J9" s="175">
        <f t="shared" si="8"/>
        <v>0.03</v>
      </c>
      <c r="K9" s="29">
        <f>486000+64800+16200</f>
        <v>567000</v>
      </c>
      <c r="L9" s="47">
        <f>ROUND(I9*取费表!$B$2*E9*365,0)</f>
        <v>315518</v>
      </c>
      <c r="M9" s="44">
        <f t="shared" si="9"/>
        <v>451365.56999999995</v>
      </c>
      <c r="N9" s="47">
        <f>$M$9</f>
        <v>451365.56999999995</v>
      </c>
      <c r="O9" s="47">
        <f t="shared" ref="O9:P9" si="14">$M$9</f>
        <v>451365.56999999995</v>
      </c>
      <c r="P9" s="47">
        <f t="shared" si="14"/>
        <v>451365.56999999995</v>
      </c>
      <c r="Q9" s="67">
        <f>$M$9</f>
        <v>451365.56999999995</v>
      </c>
    </row>
    <row r="10" spans="1:94" ht="12.95" hidden="1" customHeight="1">
      <c r="A10" s="29">
        <v>8</v>
      </c>
      <c r="B10" s="30" t="s">
        <v>50</v>
      </c>
      <c r="C10" s="31" t="s">
        <v>63</v>
      </c>
      <c r="D10" s="29" t="s">
        <v>64</v>
      </c>
      <c r="E10" s="32">
        <v>847</v>
      </c>
      <c r="F10" s="33">
        <v>42326</v>
      </c>
      <c r="G10" s="33">
        <v>44517</v>
      </c>
      <c r="H10" s="30">
        <v>2022</v>
      </c>
      <c r="I10" s="29">
        <f>I4</f>
        <v>6.67</v>
      </c>
      <c r="J10" s="175">
        <f t="shared" si="8"/>
        <v>0.03</v>
      </c>
      <c r="K10" s="29">
        <f>203280+94864+23716</f>
        <v>321860</v>
      </c>
      <c r="L10" s="47">
        <f>ROUND(I10*取费表!$B$2*E10*365,0)</f>
        <v>371171</v>
      </c>
      <c r="M10" s="44">
        <f t="shared" si="9"/>
        <v>530981.44137499994</v>
      </c>
      <c r="N10" s="47">
        <f>$M$10</f>
        <v>530981.44137499994</v>
      </c>
      <c r="O10" s="47">
        <f t="shared" ref="O10:P10" si="15">$M$10</f>
        <v>530981.44137499994</v>
      </c>
      <c r="P10" s="47">
        <f t="shared" si="15"/>
        <v>530981.44137499994</v>
      </c>
      <c r="Q10" s="44">
        <f>P10*(1+J10)</f>
        <v>546910.88461624994</v>
      </c>
      <c r="R10" s="47">
        <f>Q10</f>
        <v>546910.88461624994</v>
      </c>
      <c r="S10" s="47">
        <f t="shared" ref="S10:T10" si="16">R10</f>
        <v>546910.88461624994</v>
      </c>
      <c r="T10" s="47">
        <f t="shared" si="16"/>
        <v>546910.88461624994</v>
      </c>
      <c r="U10" s="44">
        <f>T10*(1+J10)</f>
        <v>563318.21115473751</v>
      </c>
      <c r="V10" s="47">
        <f>U10</f>
        <v>563318.21115473751</v>
      </c>
      <c r="W10" s="47">
        <f>V10</f>
        <v>563318.21115473751</v>
      </c>
      <c r="X10" s="47">
        <f t="shared" ref="X10" si="17">W10</f>
        <v>563318.21115473751</v>
      </c>
      <c r="Y10" s="44">
        <f>X10*(1+J10)</f>
        <v>580217.75748937961</v>
      </c>
      <c r="Z10" s="65">
        <f>Y10</f>
        <v>580217.75748937961</v>
      </c>
      <c r="AA10" s="28">
        <f>Z10</f>
        <v>580217.75748937961</v>
      </c>
      <c r="AB10" s="28">
        <f>AA10</f>
        <v>580217.75748937961</v>
      </c>
      <c r="AC10" s="28">
        <f>AB10</f>
        <v>580217.75748937961</v>
      </c>
    </row>
    <row r="11" spans="1:94" ht="12.95" hidden="1" customHeight="1">
      <c r="A11" s="29">
        <v>9</v>
      </c>
      <c r="B11" s="30">
        <v>1</v>
      </c>
      <c r="C11" s="31" t="s">
        <v>65</v>
      </c>
      <c r="D11" s="29" t="s">
        <v>66</v>
      </c>
      <c r="E11" s="32">
        <v>269</v>
      </c>
      <c r="F11" s="33">
        <v>42361</v>
      </c>
      <c r="G11" s="33">
        <v>43456</v>
      </c>
      <c r="H11" s="30">
        <v>2019</v>
      </c>
      <c r="I11" s="29">
        <f>I4</f>
        <v>6.67</v>
      </c>
      <c r="J11" s="175">
        <f t="shared" si="8"/>
        <v>0.03</v>
      </c>
      <c r="K11" s="29">
        <f>64560+24210+6052.5</f>
        <v>94822.5</v>
      </c>
      <c r="L11" s="47">
        <f>ROUND(I11*取费表!$B$2*E11*365,0)</f>
        <v>117881</v>
      </c>
      <c r="M11" s="44">
        <f t="shared" si="9"/>
        <v>168635.192125</v>
      </c>
      <c r="N11" s="67">
        <f>$M$11</f>
        <v>168635.192125</v>
      </c>
      <c r="O11" s="28">
        <f>N11</f>
        <v>168635.192125</v>
      </c>
      <c r="P11" s="28">
        <f>O11</f>
        <v>168635.192125</v>
      </c>
      <c r="Q11" s="28">
        <f>P11</f>
        <v>168635.192125</v>
      </c>
    </row>
    <row r="12" spans="1:94" ht="12.95" hidden="1" customHeight="1">
      <c r="A12" s="29">
        <v>10</v>
      </c>
      <c r="B12" s="30" t="s">
        <v>67</v>
      </c>
      <c r="C12" s="31" t="s">
        <v>68</v>
      </c>
      <c r="D12" s="29" t="s">
        <v>69</v>
      </c>
      <c r="E12" s="32">
        <v>71.040000000000006</v>
      </c>
      <c r="F12" s="33">
        <v>42309</v>
      </c>
      <c r="G12" s="33">
        <v>45565</v>
      </c>
      <c r="H12" s="30">
        <v>2024</v>
      </c>
      <c r="I12" s="29">
        <f>I3</f>
        <v>6.67</v>
      </c>
      <c r="J12" s="175">
        <f t="shared" si="8"/>
        <v>0.03</v>
      </c>
      <c r="K12" s="29">
        <f>18470+6393.6+1598.4</f>
        <v>26462</v>
      </c>
      <c r="L12" s="47">
        <f>ROUND(I12*取费表!$B$2*E12*365,0)</f>
        <v>31131</v>
      </c>
      <c r="M12" s="44">
        <f t="shared" si="9"/>
        <v>44534.736240000006</v>
      </c>
      <c r="N12" s="47">
        <f>$M$12</f>
        <v>44534.736240000006</v>
      </c>
      <c r="O12" s="47">
        <f t="shared" ref="O12:P12" si="18">$M$12</f>
        <v>44534.736240000006</v>
      </c>
      <c r="P12" s="47">
        <f t="shared" si="18"/>
        <v>44534.736240000006</v>
      </c>
      <c r="Q12" s="44">
        <f>P12*(1+J12)</f>
        <v>45870.778327200009</v>
      </c>
      <c r="R12" s="47">
        <f>Q12</f>
        <v>45870.778327200009</v>
      </c>
      <c r="S12" s="47">
        <f t="shared" ref="S12:T12" si="19">R12</f>
        <v>45870.778327200009</v>
      </c>
      <c r="T12" s="47">
        <f t="shared" si="19"/>
        <v>45870.778327200009</v>
      </c>
      <c r="U12" s="44">
        <f>T12*(1+J12)</f>
        <v>47246.901677016009</v>
      </c>
      <c r="V12" s="47">
        <f>U12</f>
        <v>47246.901677016009</v>
      </c>
      <c r="W12" s="47">
        <f t="shared" ref="W12:X12" si="20">V12</f>
        <v>47246.901677016009</v>
      </c>
      <c r="X12" s="47">
        <f t="shared" si="20"/>
        <v>47246.901677016009</v>
      </c>
      <c r="Y12" s="44">
        <f>X12*(1+J12)</f>
        <v>48664.30872732649</v>
      </c>
      <c r="Z12" s="44">
        <f>Y12</f>
        <v>48664.30872732649</v>
      </c>
      <c r="AA12" s="44">
        <f t="shared" ref="AA12" si="21">Z12</f>
        <v>48664.30872732649</v>
      </c>
      <c r="AB12" s="44">
        <f>AA12</f>
        <v>48664.30872732649</v>
      </c>
      <c r="AC12" s="44">
        <f>AB12*(1+J12)</f>
        <v>50124.237989146284</v>
      </c>
      <c r="AD12" s="47">
        <f>AC12</f>
        <v>50124.237989146284</v>
      </c>
      <c r="AE12" s="47">
        <f t="shared" ref="AE12:AF12" si="22">AD12</f>
        <v>50124.237989146284</v>
      </c>
      <c r="AF12" s="47">
        <f t="shared" si="22"/>
        <v>50124.237989146284</v>
      </c>
      <c r="AG12" s="44">
        <f>AF12*(1+J12)</f>
        <v>51627.965128820673</v>
      </c>
      <c r="AH12" s="47">
        <f>AG12</f>
        <v>51627.965128820673</v>
      </c>
      <c r="AI12" s="47">
        <f>AH12</f>
        <v>51627.965128820673</v>
      </c>
      <c r="AJ12" s="47">
        <f>AI12</f>
        <v>51627.965128820673</v>
      </c>
      <c r="AK12" s="69">
        <f>AJ12</f>
        <v>51627.965128820673</v>
      </c>
    </row>
    <row r="13" spans="1:94" ht="12.95" hidden="1" customHeight="1">
      <c r="A13" s="29">
        <v>11</v>
      </c>
      <c r="B13" s="30" t="s">
        <v>67</v>
      </c>
      <c r="C13" s="31" t="s">
        <v>70</v>
      </c>
      <c r="D13" s="29" t="s">
        <v>71</v>
      </c>
      <c r="E13" s="32">
        <v>105.34</v>
      </c>
      <c r="F13" s="33">
        <v>42522</v>
      </c>
      <c r="G13" s="33">
        <v>43505</v>
      </c>
      <c r="H13" s="30">
        <v>2019</v>
      </c>
      <c r="I13" s="29">
        <f>I12</f>
        <v>6.67</v>
      </c>
      <c r="J13" s="175">
        <f t="shared" si="8"/>
        <v>0.03</v>
      </c>
      <c r="K13" s="29">
        <f>27728+8724.88+2181.22</f>
        <v>38634.1</v>
      </c>
      <c r="L13" s="47">
        <f>ROUND(I13*取费表!$B$2*E13*365,0)</f>
        <v>46162</v>
      </c>
      <c r="M13" s="44">
        <f t="shared" si="9"/>
        <v>66037.290477499992</v>
      </c>
      <c r="N13" s="47">
        <f>$M$13</f>
        <v>66037.290477499992</v>
      </c>
      <c r="O13" s="67">
        <f>$M$13</f>
        <v>66037.290477499992</v>
      </c>
      <c r="P13" s="28">
        <f>O13</f>
        <v>66037.290477499992</v>
      </c>
      <c r="Q13" s="28">
        <f>P13</f>
        <v>66037.290477499992</v>
      </c>
    </row>
    <row r="14" spans="1:94" ht="12.95" hidden="1" customHeight="1">
      <c r="A14" s="29">
        <v>12</v>
      </c>
      <c r="B14" s="30" t="s">
        <v>67</v>
      </c>
      <c r="C14" s="31" t="s">
        <v>72</v>
      </c>
      <c r="D14" s="29" t="s">
        <v>73</v>
      </c>
      <c r="E14" s="32">
        <v>131.56399999999999</v>
      </c>
      <c r="F14" s="33">
        <v>43009</v>
      </c>
      <c r="G14" s="33">
        <v>43373</v>
      </c>
      <c r="H14" s="30">
        <v>2018</v>
      </c>
      <c r="I14" s="29">
        <f>I12</f>
        <v>6.67</v>
      </c>
      <c r="J14" s="175">
        <f t="shared" si="8"/>
        <v>0.03</v>
      </c>
      <c r="K14" s="29">
        <f>18418+11840.76+2960.19</f>
        <v>33218.950000000004</v>
      </c>
      <c r="L14" s="47">
        <f>ROUND(I14*取费表!$B$2*E14*365,0)</f>
        <v>57654</v>
      </c>
      <c r="M14" s="67">
        <f>ROUND(I14*E14*365/4,0)</f>
        <v>80075</v>
      </c>
    </row>
    <row r="15" spans="1:94" ht="12.95" hidden="1" customHeight="1">
      <c r="A15" s="29">
        <v>13</v>
      </c>
      <c r="B15" s="30" t="s">
        <v>67</v>
      </c>
      <c r="C15" s="31" t="s">
        <v>74</v>
      </c>
      <c r="D15" s="29" t="s">
        <v>73</v>
      </c>
      <c r="E15" s="32">
        <v>489.78</v>
      </c>
      <c r="F15" s="33">
        <v>42110</v>
      </c>
      <c r="G15" s="33">
        <v>43936</v>
      </c>
      <c r="H15" s="30">
        <v>2020</v>
      </c>
      <c r="I15" s="29">
        <f>I12</f>
        <v>6.67</v>
      </c>
      <c r="J15" s="175">
        <f t="shared" si="8"/>
        <v>0.03</v>
      </c>
      <c r="K15" s="29">
        <f>11412+43830+10957.5</f>
        <v>66199.5</v>
      </c>
      <c r="L15" s="47">
        <f>ROUND(I15*取费表!$B$2*E15*365,0)</f>
        <v>214631</v>
      </c>
      <c r="M15" s="44">
        <f>I15*(1+J15)*E15*365/4</f>
        <v>307041.42899249995</v>
      </c>
      <c r="N15" s="47">
        <f>M15</f>
        <v>307041.42899249995</v>
      </c>
      <c r="O15" s="47">
        <f t="shared" ref="O15:P15" si="23">N15</f>
        <v>307041.42899249995</v>
      </c>
      <c r="P15" s="47">
        <f t="shared" si="23"/>
        <v>307041.42899249995</v>
      </c>
      <c r="Q15" s="44">
        <f>P15*(1+J15)</f>
        <v>316252.67186227493</v>
      </c>
      <c r="R15" s="47">
        <f t="shared" ref="R15:T15" si="24">$M$15</f>
        <v>307041.42899249995</v>
      </c>
      <c r="S15" s="47">
        <f t="shared" si="24"/>
        <v>307041.42899249995</v>
      </c>
      <c r="T15" s="67">
        <f t="shared" si="24"/>
        <v>307041.42899249995</v>
      </c>
      <c r="U15" s="28">
        <f>T15</f>
        <v>307041.42899249995</v>
      </c>
    </row>
    <row r="16" spans="1:94" ht="12.95" hidden="1" customHeight="1">
      <c r="A16" s="29">
        <v>14</v>
      </c>
      <c r="B16" s="30" t="s">
        <v>67</v>
      </c>
      <c r="C16" s="31" t="s">
        <v>75</v>
      </c>
      <c r="D16" s="29" t="s">
        <v>76</v>
      </c>
      <c r="E16" s="32">
        <v>257.51</v>
      </c>
      <c r="F16" s="33">
        <v>42552</v>
      </c>
      <c r="G16" s="33">
        <v>43936</v>
      </c>
      <c r="H16" s="30">
        <v>2020</v>
      </c>
      <c r="I16" s="29">
        <f>I12</f>
        <v>6.67</v>
      </c>
      <c r="J16" s="175">
        <f t="shared" si="8"/>
        <v>0.03</v>
      </c>
      <c r="K16" s="29">
        <f>17172+35190+8797.5</f>
        <v>61159.5</v>
      </c>
      <c r="L16" s="47">
        <f>ROUND(I16*取费表!$B$2*E16*365,0)</f>
        <v>112846</v>
      </c>
      <c r="M16" s="44">
        <f t="shared" ref="M16:M32" si="25">I16*(1+J16)*E16*365/4</f>
        <v>161432.14990374999</v>
      </c>
      <c r="N16" s="47">
        <f t="shared" ref="N16:P31" si="26">M16</f>
        <v>161432.14990374999</v>
      </c>
      <c r="O16" s="47">
        <f t="shared" si="26"/>
        <v>161432.14990374999</v>
      </c>
      <c r="P16" s="47">
        <f t="shared" si="26"/>
        <v>161432.14990374999</v>
      </c>
      <c r="Q16" s="44">
        <f>P16*(1+J16)</f>
        <v>166275.11440086248</v>
      </c>
      <c r="R16" s="47">
        <f t="shared" ref="R16:T19" si="27">Q16</f>
        <v>166275.11440086248</v>
      </c>
      <c r="S16" s="47">
        <f t="shared" si="27"/>
        <v>166275.11440086248</v>
      </c>
      <c r="T16" s="67">
        <f t="shared" si="27"/>
        <v>166275.11440086248</v>
      </c>
      <c r="U16" s="28">
        <f>T16</f>
        <v>166275.11440086248</v>
      </c>
    </row>
    <row r="17" spans="1:37" ht="12" hidden="1" customHeight="1">
      <c r="A17" s="29">
        <v>15</v>
      </c>
      <c r="B17" s="30" t="s">
        <v>67</v>
      </c>
      <c r="C17" s="31" t="s">
        <v>77</v>
      </c>
      <c r="D17" s="29" t="s">
        <v>76</v>
      </c>
      <c r="E17" s="32">
        <v>666.67</v>
      </c>
      <c r="F17" s="33">
        <v>42110</v>
      </c>
      <c r="G17" s="33">
        <v>43936</v>
      </c>
      <c r="H17" s="30">
        <v>2020</v>
      </c>
      <c r="I17" s="29">
        <f>I12</f>
        <v>6.67</v>
      </c>
      <c r="J17" s="175">
        <f t="shared" si="8"/>
        <v>0.03</v>
      </c>
      <c r="K17" s="29">
        <f>167000+75150+18787.5</f>
        <v>260937.5</v>
      </c>
      <c r="L17" s="47">
        <f>ROUND(I17*取费表!$B$2*E17*365,0)</f>
        <v>292147</v>
      </c>
      <c r="M17" s="44">
        <f>I17*(1+J17)*E17*365/4</f>
        <v>417933.17298874998</v>
      </c>
      <c r="N17" s="47">
        <f t="shared" si="26"/>
        <v>417933.17298874998</v>
      </c>
      <c r="O17" s="47">
        <f t="shared" si="26"/>
        <v>417933.17298874998</v>
      </c>
      <c r="P17" s="47">
        <f t="shared" si="26"/>
        <v>417933.17298874998</v>
      </c>
      <c r="Q17" s="44">
        <f>P17*(1+J17)</f>
        <v>430471.16817841248</v>
      </c>
      <c r="R17" s="47">
        <f t="shared" si="27"/>
        <v>430471.16817841248</v>
      </c>
      <c r="S17" s="47">
        <f t="shared" si="27"/>
        <v>430471.16817841248</v>
      </c>
      <c r="T17" s="67">
        <f t="shared" si="27"/>
        <v>430471.16817841248</v>
      </c>
      <c r="U17" s="28">
        <f>T17</f>
        <v>430471.16817841248</v>
      </c>
    </row>
    <row r="18" spans="1:37" ht="12.95" hidden="1" customHeight="1">
      <c r="A18" s="29">
        <v>16</v>
      </c>
      <c r="B18" s="30" t="s">
        <v>67</v>
      </c>
      <c r="C18" s="31" t="s">
        <v>78</v>
      </c>
      <c r="D18" s="29" t="s">
        <v>71</v>
      </c>
      <c r="E18" s="32">
        <v>732.52</v>
      </c>
      <c r="F18" s="33">
        <v>42285</v>
      </c>
      <c r="G18" s="33">
        <v>44111</v>
      </c>
      <c r="H18" s="30">
        <v>2021</v>
      </c>
      <c r="I18" s="29">
        <f>I12</f>
        <v>6.67</v>
      </c>
      <c r="J18" s="175">
        <f t="shared" si="8"/>
        <v>0.03</v>
      </c>
      <c r="K18" s="29">
        <f>102554+65927.22+16481.81</f>
        <v>184963.03</v>
      </c>
      <c r="L18" s="47">
        <f>ROUND(I18*取费表!$B$2*E18*365,0)</f>
        <v>321004</v>
      </c>
      <c r="M18" s="44">
        <f>I18*(1+J18)*E18*365/4</f>
        <v>459214.31574499997</v>
      </c>
      <c r="N18" s="47">
        <f t="shared" si="26"/>
        <v>459214.31574499997</v>
      </c>
      <c r="O18" s="47">
        <f t="shared" si="26"/>
        <v>459214.31574499997</v>
      </c>
      <c r="P18" s="47">
        <f t="shared" si="26"/>
        <v>459214.31574499997</v>
      </c>
      <c r="Q18" s="44">
        <f>P18*(1+J18)</f>
        <v>472990.74521734996</v>
      </c>
      <c r="R18" s="47">
        <f t="shared" si="27"/>
        <v>472990.74521734996</v>
      </c>
      <c r="S18" s="47">
        <f t="shared" si="27"/>
        <v>472990.74521734996</v>
      </c>
      <c r="T18" s="47">
        <f t="shared" si="27"/>
        <v>472990.74521734996</v>
      </c>
      <c r="U18" s="67">
        <f>T18</f>
        <v>472990.74521734996</v>
      </c>
    </row>
    <row r="19" spans="1:37" ht="12.95" hidden="1" customHeight="1">
      <c r="A19" s="29">
        <v>17</v>
      </c>
      <c r="B19" s="30" t="s">
        <v>67</v>
      </c>
      <c r="C19" s="31" t="s">
        <v>79</v>
      </c>
      <c r="D19" s="29" t="s">
        <v>80</v>
      </c>
      <c r="E19" s="32">
        <v>2584</v>
      </c>
      <c r="F19" s="33">
        <v>42826</v>
      </c>
      <c r="G19" s="33">
        <v>43921</v>
      </c>
      <c r="H19" s="30">
        <v>2020</v>
      </c>
      <c r="I19" s="29">
        <f>I12</f>
        <v>6.67</v>
      </c>
      <c r="J19" s="175">
        <f t="shared" si="8"/>
        <v>0.03</v>
      </c>
      <c r="K19" s="29">
        <f>310080+232560+58140</f>
        <v>600780</v>
      </c>
      <c r="L19" s="47">
        <f>ROUND(I19*取费表!$B$2*E19*365,0)</f>
        <v>1132358</v>
      </c>
      <c r="M19" s="44">
        <f t="shared" si="25"/>
        <v>1619900.879</v>
      </c>
      <c r="N19" s="47">
        <f t="shared" si="26"/>
        <v>1619900.879</v>
      </c>
      <c r="O19" s="47">
        <f t="shared" si="26"/>
        <v>1619900.879</v>
      </c>
      <c r="P19" s="47">
        <f t="shared" si="26"/>
        <v>1619900.879</v>
      </c>
      <c r="Q19" s="44">
        <f>P19*(1+J19)</f>
        <v>1668497.9053700001</v>
      </c>
      <c r="R19" s="47">
        <f t="shared" si="27"/>
        <v>1668497.9053700001</v>
      </c>
      <c r="S19" s="67">
        <f t="shared" si="27"/>
        <v>1668497.9053700001</v>
      </c>
      <c r="T19" s="28">
        <f t="shared" si="27"/>
        <v>1668497.9053700001</v>
      </c>
      <c r="U19" s="28">
        <f>T19</f>
        <v>1668497.9053700001</v>
      </c>
    </row>
    <row r="20" spans="1:37" ht="12.95" hidden="1" customHeight="1">
      <c r="A20" s="29">
        <v>18</v>
      </c>
      <c r="B20" s="30" t="s">
        <v>81</v>
      </c>
      <c r="C20" s="31" t="s">
        <v>82</v>
      </c>
      <c r="D20" s="29" t="s">
        <v>83</v>
      </c>
      <c r="E20" s="32">
        <v>649.74</v>
      </c>
      <c r="F20" s="33">
        <v>42767</v>
      </c>
      <c r="G20" s="33">
        <v>43496</v>
      </c>
      <c r="H20" s="30">
        <v>2019</v>
      </c>
      <c r="I20" s="29">
        <f>I3</f>
        <v>6.67</v>
      </c>
      <c r="J20" s="175">
        <f t="shared" si="8"/>
        <v>0.03</v>
      </c>
      <c r="K20" s="29">
        <f>55536+31238.96+7809.74</f>
        <v>94584.7</v>
      </c>
      <c r="L20" s="47">
        <f>ROUND(I20*取费表!$B$2*E20*365,0)</f>
        <v>284728</v>
      </c>
      <c r="M20" s="44">
        <f>I20*(1+J20)*E20*365/4</f>
        <v>407319.81312750001</v>
      </c>
      <c r="N20" s="47">
        <f>M20</f>
        <v>407319.81312750001</v>
      </c>
      <c r="O20" s="67">
        <f>$M$20</f>
        <v>407319.81312750001</v>
      </c>
      <c r="P20" s="28">
        <f>O20</f>
        <v>407319.81312750001</v>
      </c>
      <c r="Q20" s="28">
        <f>P20</f>
        <v>407319.81312750001</v>
      </c>
    </row>
    <row r="21" spans="1:37" ht="12.95" hidden="1" customHeight="1">
      <c r="A21" s="29">
        <v>19</v>
      </c>
      <c r="B21" s="30" t="s">
        <v>81</v>
      </c>
      <c r="C21" s="31" t="s">
        <v>84</v>
      </c>
      <c r="D21" s="29" t="s">
        <v>83</v>
      </c>
      <c r="E21" s="32">
        <v>347.1</v>
      </c>
      <c r="F21" s="33">
        <v>42767</v>
      </c>
      <c r="G21" s="33">
        <v>43496</v>
      </c>
      <c r="H21" s="30">
        <v>2019</v>
      </c>
      <c r="I21" s="29">
        <f>I20</f>
        <v>6.67</v>
      </c>
      <c r="J21" s="175">
        <f t="shared" si="8"/>
        <v>0.03</v>
      </c>
      <c r="K21" s="29"/>
      <c r="L21" s="47">
        <f>ROUND(I21*取费表!$B$2*E21*365,0)</f>
        <v>152106</v>
      </c>
      <c r="M21" s="44">
        <f t="shared" si="25"/>
        <v>217595.81853750002</v>
      </c>
      <c r="N21" s="47">
        <f t="shared" si="26"/>
        <v>217595.81853750002</v>
      </c>
      <c r="O21" s="67">
        <f>$M$21</f>
        <v>217595.81853750002</v>
      </c>
      <c r="P21" s="28">
        <f>O21</f>
        <v>217595.81853750002</v>
      </c>
      <c r="Q21" s="28">
        <f>P21</f>
        <v>217595.81853750002</v>
      </c>
    </row>
    <row r="22" spans="1:37" ht="12.95" hidden="1" customHeight="1">
      <c r="A22" s="29">
        <v>20</v>
      </c>
      <c r="B22" s="30" t="s">
        <v>81</v>
      </c>
      <c r="C22" s="31" t="s">
        <v>85</v>
      </c>
      <c r="D22" s="29" t="s">
        <v>86</v>
      </c>
      <c r="E22" s="32">
        <v>646.86</v>
      </c>
      <c r="F22" s="33">
        <v>42278</v>
      </c>
      <c r="G22" s="33">
        <v>45565</v>
      </c>
      <c r="H22" s="30">
        <v>2024</v>
      </c>
      <c r="I22" s="29">
        <f>I20</f>
        <v>6.67</v>
      </c>
      <c r="J22" s="175">
        <f t="shared" si="8"/>
        <v>0.03</v>
      </c>
      <c r="K22" s="29">
        <f>90560</f>
        <v>90560</v>
      </c>
      <c r="L22" s="47">
        <f>ROUND(I22*取费表!$B$2*E22*365,0)</f>
        <v>283466</v>
      </c>
      <c r="M22" s="44">
        <f>I22*(1+J22)*E22*365/4</f>
        <v>405514.35084750003</v>
      </c>
      <c r="N22" s="47">
        <f t="shared" si="26"/>
        <v>405514.35084750003</v>
      </c>
      <c r="O22" s="47">
        <f t="shared" ref="O22:P22" si="28">$M$22</f>
        <v>405514.35084750003</v>
      </c>
      <c r="P22" s="47">
        <f t="shared" si="28"/>
        <v>405514.35084750003</v>
      </c>
      <c r="Q22" s="44">
        <f t="shared" ref="Q22:Q32" si="29">P22*(1+J22)</f>
        <v>417679.78137292503</v>
      </c>
      <c r="R22" s="47">
        <f t="shared" ref="R22:T27" si="30">Q22</f>
        <v>417679.78137292503</v>
      </c>
      <c r="S22" s="47">
        <f t="shared" si="30"/>
        <v>417679.78137292503</v>
      </c>
      <c r="T22" s="47">
        <f t="shared" si="30"/>
        <v>417679.78137292503</v>
      </c>
      <c r="U22" s="44">
        <f>T22*(1+J22)</f>
        <v>430210.17481411278</v>
      </c>
      <c r="V22" s="47">
        <f>U22</f>
        <v>430210.17481411278</v>
      </c>
      <c r="W22" s="47">
        <f>V22</f>
        <v>430210.17481411278</v>
      </c>
      <c r="X22" s="47">
        <f>W22</f>
        <v>430210.17481411278</v>
      </c>
      <c r="Y22" s="44">
        <f>X22*(1+$J$22)</f>
        <v>443116.48005853617</v>
      </c>
      <c r="Z22" s="47">
        <f>Y22</f>
        <v>443116.48005853617</v>
      </c>
      <c r="AA22" s="47">
        <f t="shared" ref="AA22:AB22" si="31">Z22</f>
        <v>443116.48005853617</v>
      </c>
      <c r="AB22" s="47">
        <f t="shared" si="31"/>
        <v>443116.48005853617</v>
      </c>
      <c r="AC22" s="44">
        <f t="shared" ref="AC22" si="32">AB22*(1+$J$22)</f>
        <v>456409.97446029226</v>
      </c>
      <c r="AD22" s="47">
        <f t="shared" ref="AD22:AF22" si="33">AC22</f>
        <v>456409.97446029226</v>
      </c>
      <c r="AE22" s="47">
        <f t="shared" si="33"/>
        <v>456409.97446029226</v>
      </c>
      <c r="AF22" s="47">
        <f t="shared" si="33"/>
        <v>456409.97446029226</v>
      </c>
      <c r="AG22" s="44">
        <f>AF22*(1+$J$22)</f>
        <v>470102.27369410102</v>
      </c>
      <c r="AH22" s="47">
        <f t="shared" ref="AH22:AK23" si="34">AG22</f>
        <v>470102.27369410102</v>
      </c>
      <c r="AI22" s="47">
        <f t="shared" si="34"/>
        <v>470102.27369410102</v>
      </c>
      <c r="AJ22" s="47">
        <f t="shared" si="34"/>
        <v>470102.27369410102</v>
      </c>
      <c r="AK22" s="67">
        <f t="shared" si="34"/>
        <v>470102.27369410102</v>
      </c>
    </row>
    <row r="23" spans="1:37" ht="12.95" hidden="1" customHeight="1">
      <c r="A23" s="29">
        <v>21</v>
      </c>
      <c r="B23" s="30" t="s">
        <v>81</v>
      </c>
      <c r="C23" s="31" t="s">
        <v>87</v>
      </c>
      <c r="D23" s="29" t="s">
        <v>86</v>
      </c>
      <c r="E23" s="32">
        <v>270.33999999999997</v>
      </c>
      <c r="F23" s="33">
        <v>41989</v>
      </c>
      <c r="G23" s="33">
        <v>45565</v>
      </c>
      <c r="H23" s="30">
        <v>2024</v>
      </c>
      <c r="I23" s="29">
        <f>I20</f>
        <v>6.67</v>
      </c>
      <c r="J23" s="175">
        <f t="shared" si="8"/>
        <v>0.03</v>
      </c>
      <c r="K23" s="29">
        <f>37848</f>
        <v>37848</v>
      </c>
      <c r="L23" s="47">
        <f>ROUND(I23*取费表!$B$2*E23*365,0)</f>
        <v>118468</v>
      </c>
      <c r="M23" s="44">
        <f t="shared" si="25"/>
        <v>169475.2336025</v>
      </c>
      <c r="N23" s="47">
        <f t="shared" si="26"/>
        <v>169475.2336025</v>
      </c>
      <c r="O23" s="47">
        <f t="shared" ref="O23:P23" si="35">$M$23</f>
        <v>169475.2336025</v>
      </c>
      <c r="P23" s="47">
        <f t="shared" si="35"/>
        <v>169475.2336025</v>
      </c>
      <c r="Q23" s="44">
        <f t="shared" si="29"/>
        <v>174559.49061057501</v>
      </c>
      <c r="R23" s="47">
        <f t="shared" si="30"/>
        <v>174559.49061057501</v>
      </c>
      <c r="S23" s="47">
        <f t="shared" si="30"/>
        <v>174559.49061057501</v>
      </c>
      <c r="T23" s="47">
        <f t="shared" si="30"/>
        <v>174559.49061057501</v>
      </c>
      <c r="U23" s="44">
        <f>T23*(1+J23)</f>
        <v>179796.27532889225</v>
      </c>
      <c r="V23" s="47">
        <f t="shared" ref="V23:V26" si="36">U23</f>
        <v>179796.27532889225</v>
      </c>
      <c r="W23" s="47">
        <f>V23</f>
        <v>179796.27532889225</v>
      </c>
      <c r="X23" s="47">
        <f>W23</f>
        <v>179796.27532889225</v>
      </c>
      <c r="Y23" s="44">
        <f>X23*(1+$J$23)</f>
        <v>185190.16358875902</v>
      </c>
      <c r="Z23" s="47">
        <f>Y23</f>
        <v>185190.16358875902</v>
      </c>
      <c r="AA23" s="47">
        <f t="shared" ref="AA23:AB23" si="37">Z23</f>
        <v>185190.16358875902</v>
      </c>
      <c r="AB23" s="47">
        <f t="shared" si="37"/>
        <v>185190.16358875902</v>
      </c>
      <c r="AC23" s="44">
        <f t="shared" ref="AC23" si="38">AB23*(1+$J$23)</f>
        <v>190745.86849642181</v>
      </c>
      <c r="AD23" s="47">
        <f t="shared" ref="AD23:AF23" si="39">AC23</f>
        <v>190745.86849642181</v>
      </c>
      <c r="AE23" s="47">
        <f t="shared" si="39"/>
        <v>190745.86849642181</v>
      </c>
      <c r="AF23" s="47">
        <f t="shared" si="39"/>
        <v>190745.86849642181</v>
      </c>
      <c r="AG23" s="44">
        <f t="shared" ref="AG23" si="40">AF23*(1+$J$23)</f>
        <v>196468.24455131448</v>
      </c>
      <c r="AH23" s="47">
        <f t="shared" si="34"/>
        <v>196468.24455131448</v>
      </c>
      <c r="AI23" s="47">
        <f t="shared" si="34"/>
        <v>196468.24455131448</v>
      </c>
      <c r="AJ23" s="47">
        <f t="shared" si="34"/>
        <v>196468.24455131448</v>
      </c>
      <c r="AK23" s="67">
        <f t="shared" si="34"/>
        <v>196468.24455131448</v>
      </c>
    </row>
    <row r="24" spans="1:37" ht="12.95" hidden="1" customHeight="1">
      <c r="A24" s="29">
        <v>22</v>
      </c>
      <c r="B24" s="30" t="s">
        <v>81</v>
      </c>
      <c r="C24" s="31" t="s">
        <v>88</v>
      </c>
      <c r="D24" s="29" t="s">
        <v>89</v>
      </c>
      <c r="E24" s="32">
        <v>1299.31</v>
      </c>
      <c r="F24" s="33">
        <v>42461</v>
      </c>
      <c r="G24" s="33">
        <v>44286</v>
      </c>
      <c r="H24" s="30">
        <v>2021</v>
      </c>
      <c r="I24" s="29">
        <f>I20</f>
        <v>6.67</v>
      </c>
      <c r="J24" s="175">
        <f t="shared" si="8"/>
        <v>0.03</v>
      </c>
      <c r="K24" s="29">
        <f>155918+116938.62+29234.66</f>
        <v>302091.27999999997</v>
      </c>
      <c r="L24" s="47">
        <f>ROUND(I24*取费表!$B$2*E24*365,0)</f>
        <v>569382</v>
      </c>
      <c r="M24" s="44">
        <f t="shared" si="25"/>
        <v>814533.05382875004</v>
      </c>
      <c r="N24" s="47">
        <f t="shared" si="26"/>
        <v>814533.05382875004</v>
      </c>
      <c r="O24" s="47">
        <f t="shared" ref="O24:P24" si="41">$M$24</f>
        <v>814533.05382875004</v>
      </c>
      <c r="P24" s="47">
        <f t="shared" si="41"/>
        <v>814533.05382875004</v>
      </c>
      <c r="Q24" s="44">
        <f t="shared" si="29"/>
        <v>838969.04544361262</v>
      </c>
      <c r="R24" s="47">
        <f t="shared" si="30"/>
        <v>838969.04544361262</v>
      </c>
      <c r="S24" s="47">
        <f t="shared" si="30"/>
        <v>838969.04544361262</v>
      </c>
      <c r="T24" s="47">
        <f t="shared" si="30"/>
        <v>838969.04544361262</v>
      </c>
      <c r="U24" s="44">
        <f>T24*(1+J24)</f>
        <v>864138.11680692097</v>
      </c>
      <c r="V24" s="47">
        <f t="shared" si="36"/>
        <v>864138.11680692097</v>
      </c>
      <c r="W24" s="67">
        <f>V24</f>
        <v>864138.11680692097</v>
      </c>
      <c r="X24" s="28">
        <f>W24</f>
        <v>864138.11680692097</v>
      </c>
      <c r="Y24" s="28">
        <f t="shared" ref="X24:Y26" si="42">X24</f>
        <v>864138.11680692097</v>
      </c>
    </row>
    <row r="25" spans="1:37" ht="12.95" hidden="1" customHeight="1">
      <c r="A25" s="29">
        <v>23</v>
      </c>
      <c r="B25" s="30" t="s">
        <v>81</v>
      </c>
      <c r="C25" s="31" t="s">
        <v>90</v>
      </c>
      <c r="D25" s="46" t="s">
        <v>91</v>
      </c>
      <c r="E25" s="32">
        <v>852.65</v>
      </c>
      <c r="F25" s="33">
        <v>42430</v>
      </c>
      <c r="G25" s="33">
        <v>44255</v>
      </c>
      <c r="H25" s="30">
        <v>2021</v>
      </c>
      <c r="I25" s="29">
        <f>I20</f>
        <v>6.67</v>
      </c>
      <c r="J25" s="175">
        <f t="shared" si="8"/>
        <v>0.03</v>
      </c>
      <c r="K25" s="29">
        <f>103170+76738.3+19184.58</f>
        <v>199092.88</v>
      </c>
      <c r="L25" s="47">
        <f>ROUND(I25*取费表!$B$2*E25*365,0)</f>
        <v>373647</v>
      </c>
      <c r="M25" s="44">
        <f t="shared" si="25"/>
        <v>534523.40730624995</v>
      </c>
      <c r="N25" s="47">
        <f t="shared" si="26"/>
        <v>534523.40730624995</v>
      </c>
      <c r="O25" s="47">
        <f t="shared" ref="O25:P25" si="43">$M$25</f>
        <v>534523.40730624995</v>
      </c>
      <c r="P25" s="47">
        <f t="shared" si="43"/>
        <v>534523.40730624995</v>
      </c>
      <c r="Q25" s="44">
        <f t="shared" si="29"/>
        <v>550559.10952543747</v>
      </c>
      <c r="R25" s="47">
        <f t="shared" si="30"/>
        <v>550559.10952543747</v>
      </c>
      <c r="S25" s="47">
        <f t="shared" si="30"/>
        <v>550559.10952543747</v>
      </c>
      <c r="T25" s="47">
        <f t="shared" si="30"/>
        <v>550559.10952543747</v>
      </c>
      <c r="U25" s="44">
        <f>T25*(1+J25)</f>
        <v>567075.88281120057</v>
      </c>
      <c r="V25" s="47">
        <f t="shared" si="36"/>
        <v>567075.88281120057</v>
      </c>
      <c r="W25" s="67">
        <f>V25</f>
        <v>567075.88281120057</v>
      </c>
      <c r="X25" s="28">
        <f t="shared" si="42"/>
        <v>567075.88281120057</v>
      </c>
      <c r="Y25" s="28">
        <f t="shared" si="42"/>
        <v>567075.88281120057</v>
      </c>
    </row>
    <row r="26" spans="1:37" ht="12.95" hidden="1" customHeight="1">
      <c r="A26" s="29">
        <v>24</v>
      </c>
      <c r="B26" s="30" t="s">
        <v>81</v>
      </c>
      <c r="C26" s="31" t="s">
        <v>92</v>
      </c>
      <c r="D26" s="29" t="s">
        <v>93</v>
      </c>
      <c r="E26" s="32">
        <v>503.32</v>
      </c>
      <c r="F26" s="33">
        <v>42430</v>
      </c>
      <c r="G26" s="33">
        <v>44255</v>
      </c>
      <c r="H26" s="30">
        <v>2021</v>
      </c>
      <c r="I26" s="29">
        <f>I20</f>
        <v>6.67</v>
      </c>
      <c r="J26" s="175">
        <f t="shared" si="8"/>
        <v>0.03</v>
      </c>
      <c r="K26" s="29">
        <f>60398</f>
        <v>60398</v>
      </c>
      <c r="L26" s="47">
        <f>ROUND(I26*取费表!$B$2*E26*365,0)</f>
        <v>220564</v>
      </c>
      <c r="M26" s="44">
        <f t="shared" si="25"/>
        <v>315529.60929499997</v>
      </c>
      <c r="N26" s="47">
        <f t="shared" si="26"/>
        <v>315529.60929499997</v>
      </c>
      <c r="O26" s="47">
        <f t="shared" ref="O26:P26" si="44">$M$26</f>
        <v>315529.60929499997</v>
      </c>
      <c r="P26" s="47">
        <f t="shared" si="44"/>
        <v>315529.60929499997</v>
      </c>
      <c r="Q26" s="44">
        <f t="shared" si="29"/>
        <v>324995.49757384998</v>
      </c>
      <c r="R26" s="47">
        <f t="shared" si="30"/>
        <v>324995.49757384998</v>
      </c>
      <c r="S26" s="47">
        <f t="shared" si="30"/>
        <v>324995.49757384998</v>
      </c>
      <c r="T26" s="47">
        <f t="shared" si="30"/>
        <v>324995.49757384998</v>
      </c>
      <c r="U26" s="44">
        <f>T26*(1+J26)</f>
        <v>334745.36250106548</v>
      </c>
      <c r="V26" s="47">
        <f t="shared" si="36"/>
        <v>334745.36250106548</v>
      </c>
      <c r="W26" s="67">
        <f>V26</f>
        <v>334745.36250106548</v>
      </c>
      <c r="X26" s="28">
        <f t="shared" si="42"/>
        <v>334745.36250106548</v>
      </c>
      <c r="Y26" s="28">
        <f t="shared" si="42"/>
        <v>334745.36250106548</v>
      </c>
    </row>
    <row r="27" spans="1:37" ht="12.95" hidden="1" customHeight="1">
      <c r="A27" s="29">
        <v>25</v>
      </c>
      <c r="B27" s="45" t="s">
        <v>94</v>
      </c>
      <c r="C27" s="161" t="s">
        <v>95</v>
      </c>
      <c r="D27" s="29" t="s">
        <v>96</v>
      </c>
      <c r="E27" s="32">
        <v>18642</v>
      </c>
      <c r="F27" s="33">
        <v>42217</v>
      </c>
      <c r="G27" s="33">
        <v>44043</v>
      </c>
      <c r="H27" s="30">
        <v>2020</v>
      </c>
      <c r="I27" s="162">
        <f>I3</f>
        <v>6.67</v>
      </c>
      <c r="J27" s="175">
        <f t="shared" si="8"/>
        <v>0.03</v>
      </c>
      <c r="K27" s="29"/>
      <c r="L27" s="47">
        <f>ROUND(I27*取费表!$B$2*E27*365,0)</f>
        <v>8169279</v>
      </c>
      <c r="M27" s="44">
        <f t="shared" si="25"/>
        <v>11686606.88325</v>
      </c>
      <c r="N27" s="47">
        <f t="shared" si="26"/>
        <v>11686606.88325</v>
      </c>
      <c r="O27" s="47">
        <f t="shared" ref="O27:P27" si="45">$M$27</f>
        <v>11686606.88325</v>
      </c>
      <c r="P27" s="47">
        <f t="shared" si="45"/>
        <v>11686606.88325</v>
      </c>
      <c r="Q27" s="44">
        <f t="shared" si="29"/>
        <v>12037205.0897475</v>
      </c>
      <c r="R27" s="47">
        <f t="shared" si="30"/>
        <v>12037205.0897475</v>
      </c>
      <c r="S27" s="47">
        <f t="shared" si="30"/>
        <v>12037205.0897475</v>
      </c>
      <c r="T27" s="47">
        <f t="shared" si="30"/>
        <v>12037205.0897475</v>
      </c>
      <c r="U27" s="44">
        <f>T27</f>
        <v>12037205.0897475</v>
      </c>
    </row>
    <row r="28" spans="1:37" ht="12.95" hidden="1" customHeight="1">
      <c r="A28" s="29">
        <v>26</v>
      </c>
      <c r="B28" s="30" t="s">
        <v>97</v>
      </c>
      <c r="C28" s="31" t="s">
        <v>98</v>
      </c>
      <c r="D28" s="29" t="s">
        <v>99</v>
      </c>
      <c r="E28" s="32">
        <v>761</v>
      </c>
      <c r="F28" s="33">
        <v>42025</v>
      </c>
      <c r="G28" s="33">
        <v>43850</v>
      </c>
      <c r="H28" s="30">
        <v>2020</v>
      </c>
      <c r="I28" s="29">
        <f>I27</f>
        <v>6.67</v>
      </c>
      <c r="J28" s="175">
        <f t="shared" si="8"/>
        <v>0.03</v>
      </c>
      <c r="K28" s="29">
        <f>178804+41094+10273.5</f>
        <v>230171.5</v>
      </c>
      <c r="L28" s="47">
        <f>ROUND(I28*取费表!$B$2*E28*365,0)</f>
        <v>333485</v>
      </c>
      <c r="M28" s="44">
        <f t="shared" si="25"/>
        <v>477068.33162499999</v>
      </c>
      <c r="N28" s="47">
        <f t="shared" si="26"/>
        <v>477068.33162499999</v>
      </c>
      <c r="O28" s="47">
        <f t="shared" ref="O28:P28" si="46">$M$28</f>
        <v>477068.33162499999</v>
      </c>
      <c r="P28" s="47">
        <f t="shared" si="46"/>
        <v>477068.33162499999</v>
      </c>
      <c r="Q28" s="44">
        <f t="shared" si="29"/>
        <v>491380.38157375</v>
      </c>
      <c r="R28" s="47">
        <f>Q28</f>
        <v>491380.38157375</v>
      </c>
      <c r="S28" s="47">
        <f t="shared" ref="S28:T28" si="47">R28</f>
        <v>491380.38157375</v>
      </c>
      <c r="T28" s="47">
        <f t="shared" si="47"/>
        <v>491380.38157375</v>
      </c>
      <c r="U28" s="44">
        <f>T28</f>
        <v>491380.38157375</v>
      </c>
    </row>
    <row r="29" spans="1:37" ht="12.95" hidden="1" customHeight="1">
      <c r="A29" s="29">
        <v>27</v>
      </c>
      <c r="B29" s="30" t="s">
        <v>100</v>
      </c>
      <c r="C29" s="31" t="s">
        <v>101</v>
      </c>
      <c r="D29" s="29" t="s">
        <v>102</v>
      </c>
      <c r="E29" s="32">
        <v>2570</v>
      </c>
      <c r="F29" s="33">
        <v>42491</v>
      </c>
      <c r="G29" s="33">
        <v>45412</v>
      </c>
      <c r="H29" s="30">
        <v>2024</v>
      </c>
      <c r="I29" s="29">
        <f>I27</f>
        <v>6.67</v>
      </c>
      <c r="J29" s="175">
        <f t="shared" si="8"/>
        <v>0.03</v>
      </c>
      <c r="K29" s="29">
        <f>472880+179900+44975</f>
        <v>697755</v>
      </c>
      <c r="L29" s="47">
        <f>ROUND(I29*取费表!$B$2*E29*365,0)</f>
        <v>1126223</v>
      </c>
      <c r="M29" s="44">
        <f t="shared" si="25"/>
        <v>1611124.3262499999</v>
      </c>
      <c r="N29" s="47">
        <f t="shared" si="26"/>
        <v>1611124.3262499999</v>
      </c>
      <c r="O29" s="47">
        <f t="shared" ref="O29:P29" si="48">$M$29</f>
        <v>1611124.3262499999</v>
      </c>
      <c r="P29" s="47">
        <f t="shared" si="48"/>
        <v>1611124.3262499999</v>
      </c>
      <c r="Q29" s="44">
        <f t="shared" si="29"/>
        <v>1659458.0560375</v>
      </c>
      <c r="R29" s="47">
        <f>Q29</f>
        <v>1659458.0560375</v>
      </c>
      <c r="S29" s="47">
        <f t="shared" ref="S29:T29" si="49">R29</f>
        <v>1659458.0560375</v>
      </c>
      <c r="T29" s="47">
        <f t="shared" si="49"/>
        <v>1659458.0560375</v>
      </c>
      <c r="U29" s="44">
        <f>T29*(1+J29)</f>
        <v>1709241.7977186251</v>
      </c>
      <c r="V29" s="47">
        <f>U29</f>
        <v>1709241.7977186251</v>
      </c>
      <c r="W29" s="47">
        <f>V29</f>
        <v>1709241.7977186251</v>
      </c>
      <c r="X29" s="47">
        <f>W29</f>
        <v>1709241.7977186251</v>
      </c>
      <c r="Y29" s="44">
        <f>X29*(1+$J$29)</f>
        <v>1760519.0516501837</v>
      </c>
      <c r="Z29" s="47">
        <f>Y29</f>
        <v>1760519.0516501837</v>
      </c>
      <c r="AA29" s="47">
        <f>Z29</f>
        <v>1760519.0516501837</v>
      </c>
      <c r="AB29" s="47">
        <f>AA29</f>
        <v>1760519.0516501837</v>
      </c>
      <c r="AC29" s="44">
        <f t="shared" ref="AC29" si="50">AB29*(1+$J$29)</f>
        <v>1813334.6231996892</v>
      </c>
      <c r="AD29" s="47">
        <f t="shared" ref="AD29:AF29" si="51">AC29</f>
        <v>1813334.6231996892</v>
      </c>
      <c r="AE29" s="47">
        <f t="shared" si="51"/>
        <v>1813334.6231996892</v>
      </c>
      <c r="AF29" s="47">
        <f t="shared" si="51"/>
        <v>1813334.6231996892</v>
      </c>
      <c r="AG29" s="44">
        <f t="shared" ref="AG29" si="52">AF29*(1+$J$29)</f>
        <v>1867734.66189568</v>
      </c>
      <c r="AH29" s="47">
        <f t="shared" ref="AH29:AI29" si="53">AG29</f>
        <v>1867734.66189568</v>
      </c>
      <c r="AI29" s="47">
        <f t="shared" si="53"/>
        <v>1867734.66189568</v>
      </c>
      <c r="AJ29" s="67">
        <f>AI29</f>
        <v>1867734.66189568</v>
      </c>
      <c r="AK29" s="28">
        <f>AJ29</f>
        <v>1867734.66189568</v>
      </c>
    </row>
    <row r="30" spans="1:37" ht="12.95" hidden="1" customHeight="1">
      <c r="A30" s="29">
        <v>28</v>
      </c>
      <c r="B30" s="30" t="s">
        <v>103</v>
      </c>
      <c r="C30" s="161" t="s">
        <v>104</v>
      </c>
      <c r="D30" s="29" t="s">
        <v>105</v>
      </c>
      <c r="E30" s="32">
        <v>692</v>
      </c>
      <c r="F30" s="33">
        <v>42217</v>
      </c>
      <c r="G30" s="33">
        <v>44043</v>
      </c>
      <c r="H30" s="30">
        <v>2020</v>
      </c>
      <c r="I30" s="162">
        <f>I27</f>
        <v>6.67</v>
      </c>
      <c r="J30" s="175">
        <f t="shared" si="8"/>
        <v>0.03</v>
      </c>
      <c r="K30" s="29"/>
      <c r="L30" s="47">
        <f>ROUND(I30*取费表!$B$2*E30*365,0)</f>
        <v>303248</v>
      </c>
      <c r="M30" s="44">
        <f t="shared" si="25"/>
        <v>433812.4645</v>
      </c>
      <c r="N30" s="47">
        <f t="shared" si="26"/>
        <v>433812.4645</v>
      </c>
      <c r="O30" s="47">
        <f t="shared" ref="O30:P30" si="54">$M$30</f>
        <v>433812.4645</v>
      </c>
      <c r="P30" s="47">
        <f t="shared" si="54"/>
        <v>433812.4645</v>
      </c>
      <c r="Q30" s="44">
        <f t="shared" si="29"/>
        <v>446826.83843500004</v>
      </c>
      <c r="R30" s="47">
        <f>Q30</f>
        <v>446826.83843500004</v>
      </c>
      <c r="S30" s="47">
        <f t="shared" ref="S30:T30" si="55">R30</f>
        <v>446826.83843500004</v>
      </c>
      <c r="T30" s="47">
        <f t="shared" si="55"/>
        <v>446826.83843500004</v>
      </c>
      <c r="U30" s="47">
        <f>T30</f>
        <v>446826.83843500004</v>
      </c>
    </row>
    <row r="31" spans="1:37" ht="12.95" hidden="1" customHeight="1">
      <c r="A31" s="29">
        <v>29</v>
      </c>
      <c r="B31" s="30" t="s">
        <v>103</v>
      </c>
      <c r="C31" s="161" t="s">
        <v>106</v>
      </c>
      <c r="D31" s="29" t="s">
        <v>107</v>
      </c>
      <c r="E31" s="32">
        <v>382</v>
      </c>
      <c r="F31" s="33">
        <v>42217</v>
      </c>
      <c r="G31" s="33">
        <v>44043</v>
      </c>
      <c r="H31" s="30">
        <v>2020</v>
      </c>
      <c r="I31" s="162">
        <f>I27</f>
        <v>6.67</v>
      </c>
      <c r="J31" s="175">
        <f t="shared" si="8"/>
        <v>0.03</v>
      </c>
      <c r="K31" s="29"/>
      <c r="L31" s="47">
        <f>ROUND(I31*取费表!$B$2*E31*365,0)</f>
        <v>167400</v>
      </c>
      <c r="M31" s="44">
        <f t="shared" si="25"/>
        <v>239474.51075000002</v>
      </c>
      <c r="N31" s="47">
        <f t="shared" si="26"/>
        <v>239474.51075000002</v>
      </c>
      <c r="O31" s="47">
        <f t="shared" ref="O31:P31" si="56">$M$31</f>
        <v>239474.51075000002</v>
      </c>
      <c r="P31" s="47">
        <f t="shared" si="56"/>
        <v>239474.51075000002</v>
      </c>
      <c r="Q31" s="44">
        <f t="shared" si="29"/>
        <v>246658.74607250001</v>
      </c>
      <c r="R31" s="47">
        <f>Q31</f>
        <v>246658.74607250001</v>
      </c>
      <c r="S31" s="47">
        <f t="shared" ref="S31:T31" si="57">R31</f>
        <v>246658.74607250001</v>
      </c>
      <c r="T31" s="47">
        <f t="shared" si="57"/>
        <v>246658.74607250001</v>
      </c>
      <c r="U31" s="47">
        <f>T31</f>
        <v>246658.74607250001</v>
      </c>
    </row>
    <row r="32" spans="1:37" ht="12.95" hidden="1" customHeight="1">
      <c r="A32" s="29">
        <v>30</v>
      </c>
      <c r="B32" s="30" t="s">
        <v>108</v>
      </c>
      <c r="C32" s="31" t="s">
        <v>109</v>
      </c>
      <c r="D32" s="29" t="s">
        <v>110</v>
      </c>
      <c r="E32" s="32">
        <v>764</v>
      </c>
      <c r="F32" s="33">
        <v>40900</v>
      </c>
      <c r="G32" s="33">
        <v>43821</v>
      </c>
      <c r="H32" s="30">
        <v>2020</v>
      </c>
      <c r="I32" s="29">
        <f>I27</f>
        <v>6.67</v>
      </c>
      <c r="J32" s="175">
        <f>$J$3</f>
        <v>0.03</v>
      </c>
      <c r="K32" s="29"/>
      <c r="L32" s="47">
        <f>ROUND(I32*取费表!$B$2*E32*365,0)</f>
        <v>334799</v>
      </c>
      <c r="M32" s="44">
        <f t="shared" si="25"/>
        <v>478949.02150000003</v>
      </c>
      <c r="N32" s="47">
        <f>M32</f>
        <v>478949.02150000003</v>
      </c>
      <c r="O32" s="47">
        <f t="shared" ref="O32:P32" si="58">$M$32</f>
        <v>478949.02150000003</v>
      </c>
      <c r="P32" s="47">
        <f t="shared" si="58"/>
        <v>478949.02150000003</v>
      </c>
      <c r="Q32" s="44">
        <f t="shared" si="29"/>
        <v>493317.49214500003</v>
      </c>
      <c r="R32" s="47">
        <f>Q32</f>
        <v>493317.49214500003</v>
      </c>
      <c r="S32" s="47">
        <f t="shared" ref="S32:T32" si="59">R32</f>
        <v>493317.49214500003</v>
      </c>
      <c r="T32" s="47">
        <f t="shared" si="59"/>
        <v>493317.49214500003</v>
      </c>
      <c r="U32" s="47">
        <f>T32</f>
        <v>493317.49214500003</v>
      </c>
    </row>
    <row r="33" spans="1:95" hidden="1">
      <c r="A33" s="57"/>
      <c r="B33" s="58"/>
      <c r="C33" s="59" t="s">
        <v>270</v>
      </c>
      <c r="D33" s="57"/>
      <c r="E33" s="60">
        <f>基础数据!D29</f>
        <v>2151.1659999999974</v>
      </c>
      <c r="F33" s="61"/>
      <c r="G33" s="61"/>
      <c r="H33" s="58"/>
      <c r="I33" s="57">
        <f>I3</f>
        <v>6.67</v>
      </c>
      <c r="J33" s="57"/>
      <c r="K33" s="57"/>
      <c r="L33" s="47">
        <f>ROUND(I33*取费表!$B$2*E33*365*取费表!B17,0)</f>
        <v>848414</v>
      </c>
      <c r="M33" s="70">
        <f>ROUND(I33*365*E33*取费表!B17/4,0)</f>
        <v>1178352</v>
      </c>
    </row>
    <row r="34" spans="1:95" hidden="1">
      <c r="A34" s="232" t="s">
        <v>12</v>
      </c>
      <c r="B34" s="232"/>
      <c r="C34" s="232"/>
      <c r="E34" s="43">
        <f>SUM(E3:E33)</f>
        <v>39174.899999999994</v>
      </c>
      <c r="K34" s="28">
        <f>ROUND(SUM(K3:K33)/10000,0)</f>
        <v>453</v>
      </c>
    </row>
    <row r="35" spans="1:95" hidden="1">
      <c r="A35" s="75"/>
      <c r="B35" s="75"/>
      <c r="C35" s="75"/>
      <c r="E35" s="43"/>
      <c r="F35" s="43">
        <f>E27+E30+E31</f>
        <v>19716</v>
      </c>
      <c r="H35" s="44" t="s">
        <v>618</v>
      </c>
      <c r="I35" s="28">
        <f>I27*(E27+E30+E31)*365/10000</f>
        <v>4799.9587799999999</v>
      </c>
      <c r="K35" s="28">
        <f>I35-417</f>
        <v>4382.9587799999999</v>
      </c>
    </row>
    <row r="36" spans="1:95" hidden="1">
      <c r="M36" s="28"/>
      <c r="N36" s="28"/>
      <c r="R36" s="86"/>
      <c r="Z36" s="86"/>
      <c r="AH36" s="86"/>
      <c r="AP36" s="86"/>
      <c r="AX36" s="86"/>
      <c r="BF36" s="86"/>
      <c r="BN36" s="86"/>
      <c r="BV36" s="86"/>
      <c r="CD36" s="86"/>
      <c r="CL36" s="86"/>
    </row>
    <row r="37" spans="1:95" ht="20.25">
      <c r="A37" s="76" t="s">
        <v>135</v>
      </c>
      <c r="B37" s="30"/>
      <c r="C37" s="31"/>
      <c r="D37" s="29"/>
      <c r="E37" s="32"/>
      <c r="F37" s="29"/>
      <c r="G37" s="29"/>
      <c r="H37" s="30"/>
      <c r="I37" s="29"/>
      <c r="J37" s="29"/>
      <c r="K37" s="29"/>
      <c r="L37" s="224" t="s">
        <v>145</v>
      </c>
      <c r="M37" s="224"/>
      <c r="N37" s="224"/>
      <c r="O37" s="224" t="s">
        <v>221</v>
      </c>
      <c r="P37" s="224"/>
      <c r="Q37" s="224"/>
      <c r="R37" s="224"/>
      <c r="S37" s="224" t="s">
        <v>146</v>
      </c>
      <c r="T37" s="224"/>
      <c r="U37" s="224"/>
      <c r="V37" s="224"/>
      <c r="W37" s="224" t="s">
        <v>147</v>
      </c>
      <c r="X37" s="224"/>
      <c r="Y37" s="224"/>
      <c r="Z37" s="224"/>
      <c r="AA37" s="224" t="s">
        <v>148</v>
      </c>
      <c r="AB37" s="224"/>
      <c r="AC37" s="224"/>
      <c r="AD37" s="224"/>
      <c r="AE37" s="224" t="s">
        <v>149</v>
      </c>
      <c r="AF37" s="224"/>
      <c r="AG37" s="224"/>
      <c r="AH37" s="224"/>
      <c r="AI37" s="224" t="s">
        <v>150</v>
      </c>
      <c r="AJ37" s="224"/>
      <c r="AK37" s="224"/>
      <c r="AL37" s="224"/>
      <c r="AM37" s="224" t="s">
        <v>151</v>
      </c>
      <c r="AN37" s="224"/>
      <c r="AO37" s="224"/>
      <c r="AP37" s="224"/>
      <c r="AQ37" s="224" t="s">
        <v>152</v>
      </c>
      <c r="AR37" s="224"/>
      <c r="AS37" s="224"/>
      <c r="AT37" s="224"/>
      <c r="AU37" s="224" t="s">
        <v>153</v>
      </c>
      <c r="AV37" s="224"/>
      <c r="AW37" s="224"/>
      <c r="AX37" s="224"/>
      <c r="AY37" s="231" t="s">
        <v>154</v>
      </c>
      <c r="AZ37" s="231"/>
      <c r="BA37" s="231"/>
      <c r="BB37" s="231"/>
      <c r="BC37" s="224" t="s">
        <v>155</v>
      </c>
      <c r="BD37" s="224"/>
      <c r="BE37" s="224"/>
      <c r="BF37" s="224"/>
      <c r="BG37" s="224" t="s">
        <v>156</v>
      </c>
      <c r="BH37" s="224"/>
      <c r="BI37" s="224"/>
      <c r="BJ37" s="224"/>
      <c r="BK37" s="224" t="s">
        <v>157</v>
      </c>
      <c r="BL37" s="224"/>
      <c r="BM37" s="224"/>
      <c r="BN37" s="224"/>
      <c r="BO37" s="224" t="s">
        <v>158</v>
      </c>
      <c r="BP37" s="224"/>
      <c r="BQ37" s="224"/>
      <c r="BR37" s="224"/>
      <c r="BS37" s="224" t="s">
        <v>159</v>
      </c>
      <c r="BT37" s="224"/>
      <c r="BU37" s="224"/>
      <c r="BV37" s="224"/>
      <c r="BW37" s="224" t="s">
        <v>222</v>
      </c>
      <c r="BX37" s="224"/>
      <c r="BY37" s="224"/>
      <c r="BZ37" s="224"/>
      <c r="CA37" s="224" t="s">
        <v>223</v>
      </c>
      <c r="CB37" s="224"/>
      <c r="CC37" s="224"/>
      <c r="CD37" s="224"/>
      <c r="CE37" s="224" t="s">
        <v>160</v>
      </c>
      <c r="CF37" s="224"/>
      <c r="CG37" s="224"/>
      <c r="CH37" s="224"/>
      <c r="CI37" s="224" t="s">
        <v>161</v>
      </c>
      <c r="CJ37" s="224"/>
      <c r="CK37" s="224"/>
      <c r="CL37" s="224"/>
      <c r="CM37" s="224" t="s">
        <v>162</v>
      </c>
      <c r="CN37" s="224"/>
      <c r="CO37" s="224"/>
      <c r="CP37" s="224"/>
    </row>
    <row r="38" spans="1:95" s="40" customFormat="1" ht="36">
      <c r="A38" s="34" t="s">
        <v>272</v>
      </c>
      <c r="B38" s="35" t="s">
        <v>136</v>
      </c>
      <c r="C38" s="36" t="s">
        <v>137</v>
      </c>
      <c r="D38" s="34" t="s">
        <v>138</v>
      </c>
      <c r="E38" s="34" t="s">
        <v>139</v>
      </c>
      <c r="F38" s="34" t="s">
        <v>313</v>
      </c>
      <c r="G38" s="34" t="s">
        <v>643</v>
      </c>
      <c r="H38" s="35" t="s">
        <v>315</v>
      </c>
      <c r="I38" s="34" t="s">
        <v>142</v>
      </c>
      <c r="J38" s="34" t="s">
        <v>143</v>
      </c>
      <c r="K38" s="34" t="s">
        <v>144</v>
      </c>
      <c r="L38" s="39" t="s">
        <v>224</v>
      </c>
      <c r="M38" s="68" t="s">
        <v>163</v>
      </c>
      <c r="N38" s="39" t="s">
        <v>225</v>
      </c>
      <c r="O38" s="39" t="s">
        <v>164</v>
      </c>
      <c r="P38" s="39" t="s">
        <v>226</v>
      </c>
      <c r="Q38" s="68" t="s">
        <v>227</v>
      </c>
      <c r="R38" s="39" t="s">
        <v>165</v>
      </c>
      <c r="S38" s="39" t="s">
        <v>228</v>
      </c>
      <c r="T38" s="39" t="s">
        <v>166</v>
      </c>
      <c r="U38" s="68" t="s">
        <v>167</v>
      </c>
      <c r="V38" s="39" t="s">
        <v>229</v>
      </c>
      <c r="W38" s="39" t="s">
        <v>230</v>
      </c>
      <c r="X38" s="39" t="s">
        <v>231</v>
      </c>
      <c r="Y38" s="68" t="s">
        <v>168</v>
      </c>
      <c r="Z38" s="39" t="s">
        <v>169</v>
      </c>
      <c r="AA38" s="39" t="s">
        <v>232</v>
      </c>
      <c r="AB38" s="39" t="s">
        <v>170</v>
      </c>
      <c r="AC38" s="68" t="s">
        <v>233</v>
      </c>
      <c r="AD38" s="39" t="s">
        <v>234</v>
      </c>
      <c r="AE38" s="39" t="s">
        <v>171</v>
      </c>
      <c r="AF38" s="39" t="s">
        <v>172</v>
      </c>
      <c r="AG38" s="68" t="s">
        <v>173</v>
      </c>
      <c r="AH38" s="39" t="s">
        <v>174</v>
      </c>
      <c r="AI38" s="39" t="s">
        <v>175</v>
      </c>
      <c r="AJ38" s="39" t="s">
        <v>235</v>
      </c>
      <c r="AK38" s="68" t="s">
        <v>176</v>
      </c>
      <c r="AL38" s="39" t="s">
        <v>177</v>
      </c>
      <c r="AM38" s="39" t="s">
        <v>178</v>
      </c>
      <c r="AN38" s="39" t="s">
        <v>179</v>
      </c>
      <c r="AO38" s="68" t="s">
        <v>180</v>
      </c>
      <c r="AP38" s="39" t="s">
        <v>181</v>
      </c>
      <c r="AQ38" s="39" t="s">
        <v>182</v>
      </c>
      <c r="AR38" s="39" t="s">
        <v>236</v>
      </c>
      <c r="AS38" s="68" t="s">
        <v>183</v>
      </c>
      <c r="AT38" s="39" t="s">
        <v>237</v>
      </c>
      <c r="AU38" s="39" t="s">
        <v>184</v>
      </c>
      <c r="AV38" s="39" t="s">
        <v>238</v>
      </c>
      <c r="AW38" s="68" t="s">
        <v>239</v>
      </c>
      <c r="AX38" s="39" t="s">
        <v>185</v>
      </c>
      <c r="AY38" s="39" t="s">
        <v>186</v>
      </c>
      <c r="AZ38" s="39" t="s">
        <v>240</v>
      </c>
      <c r="BA38" s="68" t="s">
        <v>187</v>
      </c>
      <c r="BB38" s="78" t="s">
        <v>188</v>
      </c>
      <c r="BC38" s="39" t="s">
        <v>241</v>
      </c>
      <c r="BD38" s="39" t="s">
        <v>189</v>
      </c>
      <c r="BE38" s="39" t="s">
        <v>190</v>
      </c>
      <c r="BF38" s="39" t="s">
        <v>242</v>
      </c>
      <c r="BG38" s="39" t="s">
        <v>243</v>
      </c>
      <c r="BH38" s="39" t="s">
        <v>191</v>
      </c>
      <c r="BI38" s="39" t="s">
        <v>192</v>
      </c>
      <c r="BJ38" s="39" t="s">
        <v>193</v>
      </c>
      <c r="BK38" s="39" t="s">
        <v>244</v>
      </c>
      <c r="BL38" s="39" t="s">
        <v>194</v>
      </c>
      <c r="BM38" s="39" t="s">
        <v>195</v>
      </c>
      <c r="BN38" s="39" t="s">
        <v>196</v>
      </c>
      <c r="BO38" s="39" t="s">
        <v>245</v>
      </c>
      <c r="BP38" s="39" t="s">
        <v>197</v>
      </c>
      <c r="BQ38" s="39" t="s">
        <v>198</v>
      </c>
      <c r="BR38" s="39" t="s">
        <v>199</v>
      </c>
      <c r="BS38" s="39" t="s">
        <v>200</v>
      </c>
      <c r="BT38" s="39" t="s">
        <v>201</v>
      </c>
      <c r="BU38" s="39" t="s">
        <v>202</v>
      </c>
      <c r="BV38" s="39" t="s">
        <v>246</v>
      </c>
      <c r="BW38" s="39" t="s">
        <v>203</v>
      </c>
      <c r="BX38" s="39" t="s">
        <v>204</v>
      </c>
      <c r="BY38" s="39" t="s">
        <v>247</v>
      </c>
      <c r="BZ38" s="39" t="s">
        <v>205</v>
      </c>
      <c r="CA38" s="39" t="s">
        <v>206</v>
      </c>
      <c r="CB38" s="39" t="s">
        <v>207</v>
      </c>
      <c r="CC38" s="39" t="s">
        <v>208</v>
      </c>
      <c r="CD38" s="39" t="s">
        <v>209</v>
      </c>
      <c r="CE38" s="39" t="s">
        <v>210</v>
      </c>
      <c r="CF38" s="39" t="s">
        <v>211</v>
      </c>
      <c r="CG38" s="39" t="s">
        <v>212</v>
      </c>
      <c r="CH38" s="39" t="s">
        <v>213</v>
      </c>
      <c r="CI38" s="39" t="s">
        <v>214</v>
      </c>
      <c r="CJ38" s="39" t="s">
        <v>215</v>
      </c>
      <c r="CK38" s="39" t="s">
        <v>216</v>
      </c>
      <c r="CL38" s="39" t="s">
        <v>217</v>
      </c>
      <c r="CM38" s="39" t="s">
        <v>248</v>
      </c>
      <c r="CN38" s="39" t="s">
        <v>218</v>
      </c>
      <c r="CO38" s="39" t="s">
        <v>219</v>
      </c>
      <c r="CP38" s="39" t="s">
        <v>220</v>
      </c>
    </row>
    <row r="39" spans="1:95" s="40" customFormat="1">
      <c r="A39" s="82">
        <v>1</v>
      </c>
      <c r="B39" s="35"/>
      <c r="C39" s="77" t="s">
        <v>288</v>
      </c>
      <c r="D39" s="34">
        <v>1</v>
      </c>
      <c r="E39" s="84">
        <f>基础数据!G6</f>
        <v>39174.900000000009</v>
      </c>
      <c r="F39" s="34">
        <f>ROUND(基础数据!N23/30,2)</f>
        <v>6.67</v>
      </c>
      <c r="G39" s="190">
        <v>45931</v>
      </c>
      <c r="H39" s="35"/>
      <c r="I39" s="34"/>
      <c r="J39" s="189">
        <f>基础数据!O23</f>
        <v>3.5000000000000003E-2</v>
      </c>
      <c r="K39" s="34"/>
      <c r="L39" s="39">
        <f>ROUND(商业现金流!F39*365*商业现金流!E39*取费表!B2,0)</f>
        <v>17167186</v>
      </c>
      <c r="M39" s="39">
        <f>ROUND(F39*365*E39/4,0)</f>
        <v>23843313</v>
      </c>
      <c r="N39" s="39">
        <f>M39</f>
        <v>23843313</v>
      </c>
      <c r="O39" s="39">
        <f>N39*(1+$J$39)</f>
        <v>24677828.954999998</v>
      </c>
      <c r="P39" s="39">
        <f t="shared" ref="P39:AP39" si="60">O39</f>
        <v>24677828.954999998</v>
      </c>
      <c r="Q39" s="39">
        <f t="shared" si="60"/>
        <v>24677828.954999998</v>
      </c>
      <c r="R39" s="39">
        <f t="shared" si="60"/>
        <v>24677828.954999998</v>
      </c>
      <c r="S39" s="39">
        <f t="shared" ref="S39" si="61">R39*(1+$J$39)</f>
        <v>25541552.968424994</v>
      </c>
      <c r="T39" s="39">
        <f t="shared" si="60"/>
        <v>25541552.968424994</v>
      </c>
      <c r="U39" s="39">
        <f t="shared" si="60"/>
        <v>25541552.968424994</v>
      </c>
      <c r="V39" s="39">
        <f t="shared" si="60"/>
        <v>25541552.968424994</v>
      </c>
      <c r="W39" s="39">
        <f t="shared" ref="W39" si="62">V39*(1+$J$39)</f>
        <v>26435507.322319869</v>
      </c>
      <c r="X39" s="39">
        <f t="shared" si="60"/>
        <v>26435507.322319869</v>
      </c>
      <c r="Y39" s="39">
        <f t="shared" si="60"/>
        <v>26435507.322319869</v>
      </c>
      <c r="Z39" s="39">
        <f t="shared" si="60"/>
        <v>26435507.322319869</v>
      </c>
      <c r="AA39" s="39">
        <f t="shared" ref="AA39" si="63">Z39*(1+$J$39)</f>
        <v>27360750.078601062</v>
      </c>
      <c r="AB39" s="39">
        <f t="shared" si="60"/>
        <v>27360750.078601062</v>
      </c>
      <c r="AC39" s="39">
        <f t="shared" si="60"/>
        <v>27360750.078601062</v>
      </c>
      <c r="AD39" s="39">
        <f t="shared" si="60"/>
        <v>27360750.078601062</v>
      </c>
      <c r="AE39" s="39">
        <f t="shared" ref="AE39" si="64">AD39*(1+$J$39)</f>
        <v>28318376.331352096</v>
      </c>
      <c r="AF39" s="39">
        <f t="shared" si="60"/>
        <v>28318376.331352096</v>
      </c>
      <c r="AG39" s="39">
        <f t="shared" si="60"/>
        <v>28318376.331352096</v>
      </c>
      <c r="AH39" s="39">
        <f t="shared" si="60"/>
        <v>28318376.331352096</v>
      </c>
      <c r="AI39" s="39">
        <f t="shared" ref="AI39" si="65">AH39*(1+$J$39)</f>
        <v>29309519.502949417</v>
      </c>
      <c r="AJ39" s="39">
        <f t="shared" si="60"/>
        <v>29309519.502949417</v>
      </c>
      <c r="AK39" s="39">
        <f t="shared" si="60"/>
        <v>29309519.502949417</v>
      </c>
      <c r="AL39" s="39">
        <f t="shared" si="60"/>
        <v>29309519.502949417</v>
      </c>
      <c r="AM39" s="39">
        <f>AL39*(1+$J$39)</f>
        <v>30335352.685552645</v>
      </c>
      <c r="AN39" s="39">
        <f t="shared" si="60"/>
        <v>30335352.685552645</v>
      </c>
      <c r="AO39" s="39">
        <f t="shared" si="60"/>
        <v>30335352.685552645</v>
      </c>
      <c r="AP39" s="78">
        <f t="shared" si="60"/>
        <v>30335352.685552645</v>
      </c>
      <c r="AQ39" s="39">
        <f>AP39</f>
        <v>30335352.685552645</v>
      </c>
      <c r="AR39" s="39">
        <f>AQ39</f>
        <v>30335352.685552645</v>
      </c>
      <c r="AS39" s="39">
        <f>AR39</f>
        <v>30335352.685552645</v>
      </c>
      <c r="AT39" s="39">
        <f>ROUND(AS39*(1+取费表!$G$5)*取费表!G17,0)</f>
        <v>28393890</v>
      </c>
      <c r="AU39" s="39">
        <f t="shared" ref="AU39:AW39" si="66">AT39</f>
        <v>28393890</v>
      </c>
      <c r="AV39" s="39">
        <f t="shared" si="66"/>
        <v>28393890</v>
      </c>
      <c r="AW39" s="39">
        <f t="shared" si="66"/>
        <v>28393890</v>
      </c>
      <c r="AX39" s="39">
        <f>ROUND(AW39*(1+取费表!$G$5),0)</f>
        <v>29529646</v>
      </c>
      <c r="AY39" s="39">
        <f t="shared" ref="AY39:BA39" si="67">AX39</f>
        <v>29529646</v>
      </c>
      <c r="AZ39" s="39">
        <f>AY39</f>
        <v>29529646</v>
      </c>
      <c r="BA39" s="39">
        <f t="shared" si="67"/>
        <v>29529646</v>
      </c>
      <c r="BB39" s="39">
        <f>ROUND(BA39*(1+取费表!$H$5),0)</f>
        <v>30415535</v>
      </c>
      <c r="BC39" s="39">
        <f>$BB$39</f>
        <v>30415535</v>
      </c>
      <c r="BD39" s="39">
        <f t="shared" ref="BD39:CN39" si="68">$BB$39</f>
        <v>30415535</v>
      </c>
      <c r="BE39" s="39">
        <f t="shared" si="68"/>
        <v>30415535</v>
      </c>
      <c r="BF39" s="39">
        <f t="shared" si="68"/>
        <v>30415535</v>
      </c>
      <c r="BG39" s="39">
        <f t="shared" si="68"/>
        <v>30415535</v>
      </c>
      <c r="BH39" s="39">
        <f t="shared" si="68"/>
        <v>30415535</v>
      </c>
      <c r="BI39" s="39">
        <f t="shared" si="68"/>
        <v>30415535</v>
      </c>
      <c r="BJ39" s="39">
        <f t="shared" si="68"/>
        <v>30415535</v>
      </c>
      <c r="BK39" s="39">
        <f t="shared" si="68"/>
        <v>30415535</v>
      </c>
      <c r="BL39" s="39">
        <f t="shared" si="68"/>
        <v>30415535</v>
      </c>
      <c r="BM39" s="39">
        <f t="shared" si="68"/>
        <v>30415535</v>
      </c>
      <c r="BN39" s="39">
        <f t="shared" si="68"/>
        <v>30415535</v>
      </c>
      <c r="BO39" s="39">
        <f t="shared" si="68"/>
        <v>30415535</v>
      </c>
      <c r="BP39" s="39">
        <f t="shared" si="68"/>
        <v>30415535</v>
      </c>
      <c r="BQ39" s="39">
        <f t="shared" si="68"/>
        <v>30415535</v>
      </c>
      <c r="BR39" s="39">
        <f t="shared" si="68"/>
        <v>30415535</v>
      </c>
      <c r="BS39" s="39">
        <f t="shared" si="68"/>
        <v>30415535</v>
      </c>
      <c r="BT39" s="39">
        <f t="shared" si="68"/>
        <v>30415535</v>
      </c>
      <c r="BU39" s="39">
        <f t="shared" si="68"/>
        <v>30415535</v>
      </c>
      <c r="BV39" s="39">
        <f t="shared" si="68"/>
        <v>30415535</v>
      </c>
      <c r="BW39" s="39">
        <f t="shared" si="68"/>
        <v>30415535</v>
      </c>
      <c r="BX39" s="39">
        <f t="shared" si="68"/>
        <v>30415535</v>
      </c>
      <c r="BY39" s="39">
        <f t="shared" si="68"/>
        <v>30415535</v>
      </c>
      <c r="BZ39" s="39">
        <f t="shared" si="68"/>
        <v>30415535</v>
      </c>
      <c r="CA39" s="39">
        <f t="shared" si="68"/>
        <v>30415535</v>
      </c>
      <c r="CB39" s="39">
        <f t="shared" si="68"/>
        <v>30415535</v>
      </c>
      <c r="CC39" s="39">
        <f t="shared" si="68"/>
        <v>30415535</v>
      </c>
      <c r="CD39" s="39">
        <f t="shared" si="68"/>
        <v>30415535</v>
      </c>
      <c r="CE39" s="39">
        <f t="shared" si="68"/>
        <v>30415535</v>
      </c>
      <c r="CF39" s="39">
        <f t="shared" si="68"/>
        <v>30415535</v>
      </c>
      <c r="CG39" s="39">
        <f t="shared" si="68"/>
        <v>30415535</v>
      </c>
      <c r="CH39" s="39">
        <f t="shared" si="68"/>
        <v>30415535</v>
      </c>
      <c r="CI39" s="39">
        <f t="shared" si="68"/>
        <v>30415535</v>
      </c>
      <c r="CJ39" s="39">
        <f t="shared" si="68"/>
        <v>30415535</v>
      </c>
      <c r="CK39" s="39">
        <f t="shared" si="68"/>
        <v>30415535</v>
      </c>
      <c r="CL39" s="39">
        <f t="shared" si="68"/>
        <v>30415535</v>
      </c>
      <c r="CM39" s="39">
        <f t="shared" si="68"/>
        <v>30415535</v>
      </c>
      <c r="CN39" s="39">
        <f t="shared" si="68"/>
        <v>30415535</v>
      </c>
      <c r="CO39" s="39">
        <f>$BB$39</f>
        <v>30415535</v>
      </c>
      <c r="CP39" s="39">
        <f>$BB$39</f>
        <v>30415535</v>
      </c>
      <c r="CQ39" s="40">
        <f>SUBTOTAL(9,L39:CP39)</f>
        <v>2402506500.4334583</v>
      </c>
    </row>
    <row r="40" spans="1:95">
      <c r="A40" s="83"/>
      <c r="B40" s="49"/>
      <c r="C40" s="49"/>
      <c r="D40" s="49"/>
      <c r="E40" s="54"/>
      <c r="F40" s="71"/>
      <c r="G40" s="71"/>
      <c r="H40" s="35"/>
      <c r="I40" s="49"/>
      <c r="J40" s="49"/>
      <c r="K40" s="49"/>
      <c r="L40" s="53"/>
      <c r="M40" s="53"/>
      <c r="N40" s="49"/>
      <c r="O40" s="49"/>
      <c r="P40" s="49"/>
      <c r="Q40" s="80"/>
      <c r="R40" s="39"/>
      <c r="S40" s="49"/>
      <c r="T40" s="49"/>
      <c r="U40" s="49"/>
      <c r="V40" s="39"/>
      <c r="W40" s="49"/>
      <c r="X40" s="49"/>
      <c r="Y40" s="49"/>
      <c r="Z40" s="39"/>
      <c r="AA40" s="49"/>
      <c r="AB40" s="49"/>
      <c r="AC40" s="49"/>
      <c r="AD40" s="39"/>
      <c r="AE40" s="49"/>
      <c r="AF40" s="49"/>
      <c r="AG40" s="49"/>
      <c r="AH40" s="39"/>
      <c r="AI40" s="49"/>
      <c r="AJ40" s="49"/>
      <c r="AK40" s="4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40"/>
    </row>
    <row r="41" spans="1:95">
      <c r="A41" s="83"/>
      <c r="B41" s="49"/>
      <c r="C41" s="49"/>
      <c r="D41" s="49"/>
      <c r="E41" s="85"/>
      <c r="F41" s="52"/>
      <c r="G41" s="52"/>
      <c r="H41" s="35"/>
      <c r="I41" s="49"/>
      <c r="J41" s="49"/>
      <c r="K41" s="49"/>
      <c r="L41" s="53"/>
      <c r="M41" s="53"/>
      <c r="N41" s="49"/>
      <c r="O41" s="49"/>
      <c r="P41" s="49"/>
      <c r="Q41" s="49"/>
      <c r="R41" s="49"/>
      <c r="S41" s="49"/>
      <c r="T41" s="49"/>
      <c r="U41" s="80"/>
      <c r="V41" s="39"/>
      <c r="W41" s="49"/>
      <c r="X41" s="49"/>
      <c r="Y41" s="49"/>
      <c r="Z41" s="39"/>
      <c r="AA41" s="49"/>
      <c r="AB41" s="49"/>
      <c r="AC41" s="49"/>
      <c r="AD41" s="39"/>
      <c r="AE41" s="49"/>
      <c r="AF41" s="49"/>
      <c r="AG41" s="49"/>
      <c r="AH41" s="39"/>
      <c r="AI41" s="49"/>
      <c r="AJ41" s="49"/>
      <c r="AK41" s="4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40"/>
    </row>
    <row r="42" spans="1:95">
      <c r="A42" s="82"/>
      <c r="B42" s="49"/>
      <c r="C42" s="49"/>
      <c r="D42" s="49"/>
      <c r="E42" s="85"/>
      <c r="F42" s="52"/>
      <c r="G42" s="52"/>
      <c r="H42" s="35"/>
      <c r="I42" s="49"/>
      <c r="J42" s="49"/>
      <c r="K42" s="49"/>
      <c r="L42" s="53"/>
      <c r="M42" s="53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0"/>
      <c r="Z42" s="39"/>
      <c r="AA42" s="49"/>
      <c r="AB42" s="49"/>
      <c r="AC42" s="49"/>
      <c r="AD42" s="39"/>
      <c r="AE42" s="49"/>
      <c r="AF42" s="49"/>
      <c r="AG42" s="49"/>
      <c r="AH42" s="39"/>
      <c r="AI42" s="49"/>
      <c r="AJ42" s="49"/>
      <c r="AK42" s="4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40"/>
    </row>
    <row r="43" spans="1:95">
      <c r="A43" s="83"/>
      <c r="B43" s="49"/>
      <c r="C43" s="49"/>
      <c r="D43" s="49"/>
      <c r="E43" s="85"/>
      <c r="F43" s="52"/>
      <c r="G43" s="52"/>
      <c r="H43" s="35"/>
      <c r="I43" s="49"/>
      <c r="J43" s="49"/>
      <c r="K43" s="49"/>
      <c r="L43" s="53"/>
      <c r="M43" s="53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80"/>
      <c r="AD43" s="39"/>
      <c r="AE43" s="49"/>
      <c r="AF43" s="49"/>
      <c r="AG43" s="49"/>
      <c r="AH43" s="39"/>
      <c r="AI43" s="49"/>
      <c r="AJ43" s="49"/>
      <c r="AK43" s="4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40"/>
    </row>
    <row r="44" spans="1:95">
      <c r="A44" s="83"/>
      <c r="B44" s="49"/>
      <c r="C44" s="49"/>
      <c r="D44" s="49"/>
      <c r="E44" s="85"/>
      <c r="F44" s="52"/>
      <c r="G44" s="52"/>
      <c r="H44" s="35"/>
      <c r="I44" s="49"/>
      <c r="J44" s="49"/>
      <c r="K44" s="49"/>
      <c r="L44" s="53"/>
      <c r="M44" s="53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80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40"/>
    </row>
    <row r="45" spans="1:95">
      <c r="A45" s="82"/>
      <c r="B45" s="49"/>
      <c r="C45" s="49"/>
      <c r="D45" s="49"/>
      <c r="E45" s="85"/>
      <c r="F45" s="49"/>
      <c r="G45" s="49"/>
      <c r="H45" s="79"/>
      <c r="I45" s="49"/>
      <c r="J45" s="49"/>
      <c r="K45" s="49"/>
      <c r="L45" s="53"/>
      <c r="M45" s="81"/>
      <c r="N45" s="39"/>
      <c r="O45" s="49"/>
      <c r="P45" s="49"/>
      <c r="Q45" s="49"/>
      <c r="R45" s="39"/>
      <c r="S45" s="49"/>
      <c r="T45" s="49"/>
      <c r="U45" s="49"/>
      <c r="V45" s="39"/>
      <c r="W45" s="49"/>
      <c r="X45" s="49"/>
      <c r="Y45" s="49"/>
      <c r="Z45" s="39"/>
      <c r="AA45" s="49"/>
      <c r="AB45" s="49"/>
      <c r="AC45" s="49"/>
      <c r="AD45" s="39"/>
      <c r="AE45" s="49"/>
      <c r="AF45" s="49"/>
      <c r="AG45" s="49"/>
      <c r="AH45" s="39"/>
      <c r="AI45" s="49"/>
      <c r="AJ45" s="49"/>
      <c r="AK45" s="49"/>
      <c r="AL45" s="39"/>
      <c r="AM45" s="49"/>
      <c r="AN45" s="49"/>
      <c r="AO45" s="49"/>
      <c r="AP45" s="39"/>
      <c r="AQ45" s="49"/>
      <c r="AR45" s="49"/>
      <c r="AS45" s="49"/>
      <c r="AT45" s="39"/>
      <c r="AU45" s="49"/>
      <c r="AV45" s="49"/>
      <c r="AW45" s="49"/>
      <c r="AX45" s="39"/>
      <c r="AY45" s="49"/>
      <c r="AZ45" s="49"/>
      <c r="BA45" s="4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40"/>
    </row>
    <row r="46" spans="1:95">
      <c r="A46" s="228" t="s">
        <v>12</v>
      </c>
      <c r="B46" s="229"/>
      <c r="C46" s="230"/>
      <c r="D46" s="49"/>
      <c r="E46" s="54">
        <f>SUM(E39:E45)</f>
        <v>39174.900000000009</v>
      </c>
      <c r="F46" s="49"/>
      <c r="G46" s="49"/>
      <c r="H46" s="79"/>
      <c r="I46" s="49"/>
      <c r="J46" s="49"/>
      <c r="K46" s="49"/>
      <c r="L46" s="49">
        <f>SUM(L39:L45)</f>
        <v>17167186</v>
      </c>
      <c r="M46" s="49">
        <f>SUM(M39:M45)</f>
        <v>23843313</v>
      </c>
      <c r="N46" s="49">
        <f t="shared" ref="N46:BX46" si="69">SUM(N39:N45)</f>
        <v>23843313</v>
      </c>
      <c r="O46" s="49">
        <f t="shared" si="69"/>
        <v>24677828.954999998</v>
      </c>
      <c r="P46" s="49">
        <f t="shared" si="69"/>
        <v>24677828.954999998</v>
      </c>
      <c r="Q46" s="49">
        <f t="shared" si="69"/>
        <v>24677828.954999998</v>
      </c>
      <c r="R46" s="49">
        <f t="shared" si="69"/>
        <v>24677828.954999998</v>
      </c>
      <c r="S46" s="49">
        <f t="shared" si="69"/>
        <v>25541552.968424994</v>
      </c>
      <c r="T46" s="49">
        <f t="shared" si="69"/>
        <v>25541552.968424994</v>
      </c>
      <c r="U46" s="49">
        <f t="shared" si="69"/>
        <v>25541552.968424994</v>
      </c>
      <c r="V46" s="49">
        <f>SUM(V39:V45)</f>
        <v>25541552.968424994</v>
      </c>
      <c r="W46" s="49">
        <f t="shared" si="69"/>
        <v>26435507.322319869</v>
      </c>
      <c r="X46" s="49">
        <f t="shared" si="69"/>
        <v>26435507.322319869</v>
      </c>
      <c r="Y46" s="49">
        <f t="shared" si="69"/>
        <v>26435507.322319869</v>
      </c>
      <c r="Z46" s="49">
        <f t="shared" si="69"/>
        <v>26435507.322319869</v>
      </c>
      <c r="AA46" s="49">
        <f t="shared" si="69"/>
        <v>27360750.078601062</v>
      </c>
      <c r="AB46" s="49">
        <f t="shared" si="69"/>
        <v>27360750.078601062</v>
      </c>
      <c r="AC46" s="49">
        <f t="shared" si="69"/>
        <v>27360750.078601062</v>
      </c>
      <c r="AD46" s="49">
        <f t="shared" si="69"/>
        <v>27360750.078601062</v>
      </c>
      <c r="AE46" s="49">
        <f t="shared" si="69"/>
        <v>28318376.331352096</v>
      </c>
      <c r="AF46" s="49">
        <f t="shared" si="69"/>
        <v>28318376.331352096</v>
      </c>
      <c r="AG46" s="49">
        <f t="shared" si="69"/>
        <v>28318376.331352096</v>
      </c>
      <c r="AH46" s="49">
        <f t="shared" si="69"/>
        <v>28318376.331352096</v>
      </c>
      <c r="AI46" s="49">
        <f t="shared" si="69"/>
        <v>29309519.502949417</v>
      </c>
      <c r="AJ46" s="49">
        <f t="shared" si="69"/>
        <v>29309519.502949417</v>
      </c>
      <c r="AK46" s="49">
        <f t="shared" si="69"/>
        <v>29309519.502949417</v>
      </c>
      <c r="AL46" s="49">
        <f t="shared" si="69"/>
        <v>29309519.502949417</v>
      </c>
      <c r="AM46" s="49">
        <f t="shared" si="69"/>
        <v>30335352.685552645</v>
      </c>
      <c r="AN46" s="49">
        <f t="shared" si="69"/>
        <v>30335352.685552645</v>
      </c>
      <c r="AO46" s="49">
        <f t="shared" si="69"/>
        <v>30335352.685552645</v>
      </c>
      <c r="AP46" s="49">
        <f t="shared" si="69"/>
        <v>30335352.685552645</v>
      </c>
      <c r="AQ46" s="49">
        <f t="shared" si="69"/>
        <v>30335352.685552645</v>
      </c>
      <c r="AR46" s="49">
        <f t="shared" si="69"/>
        <v>30335352.685552645</v>
      </c>
      <c r="AS46" s="49">
        <f t="shared" si="69"/>
        <v>30335352.685552645</v>
      </c>
      <c r="AT46" s="49">
        <f t="shared" si="69"/>
        <v>28393890</v>
      </c>
      <c r="AU46" s="49">
        <f t="shared" si="69"/>
        <v>28393890</v>
      </c>
      <c r="AV46" s="49">
        <f t="shared" si="69"/>
        <v>28393890</v>
      </c>
      <c r="AW46" s="49">
        <f t="shared" si="69"/>
        <v>28393890</v>
      </c>
      <c r="AX46" s="49">
        <f t="shared" si="69"/>
        <v>29529646</v>
      </c>
      <c r="AY46" s="49">
        <f t="shared" si="69"/>
        <v>29529646</v>
      </c>
      <c r="AZ46" s="49">
        <f t="shared" si="69"/>
        <v>29529646</v>
      </c>
      <c r="BA46" s="49">
        <f t="shared" si="69"/>
        <v>29529646</v>
      </c>
      <c r="BB46" s="49">
        <f t="shared" si="69"/>
        <v>30415535</v>
      </c>
      <c r="BC46" s="49">
        <f t="shared" si="69"/>
        <v>30415535</v>
      </c>
      <c r="BD46" s="49">
        <f t="shared" si="69"/>
        <v>30415535</v>
      </c>
      <c r="BE46" s="49">
        <f t="shared" si="69"/>
        <v>30415535</v>
      </c>
      <c r="BF46" s="49">
        <f t="shared" si="69"/>
        <v>30415535</v>
      </c>
      <c r="BG46" s="49">
        <f t="shared" si="69"/>
        <v>30415535</v>
      </c>
      <c r="BH46" s="49">
        <f t="shared" si="69"/>
        <v>30415535</v>
      </c>
      <c r="BI46" s="49">
        <f t="shared" si="69"/>
        <v>30415535</v>
      </c>
      <c r="BJ46" s="49">
        <f t="shared" si="69"/>
        <v>30415535</v>
      </c>
      <c r="BK46" s="49">
        <f t="shared" si="69"/>
        <v>30415535</v>
      </c>
      <c r="BL46" s="49">
        <f t="shared" si="69"/>
        <v>30415535</v>
      </c>
      <c r="BM46" s="49">
        <f t="shared" si="69"/>
        <v>30415535</v>
      </c>
      <c r="BN46" s="49">
        <f t="shared" si="69"/>
        <v>30415535</v>
      </c>
      <c r="BO46" s="49">
        <f t="shared" si="69"/>
        <v>30415535</v>
      </c>
      <c r="BP46" s="49">
        <f t="shared" si="69"/>
        <v>30415535</v>
      </c>
      <c r="BQ46" s="49">
        <f t="shared" si="69"/>
        <v>30415535</v>
      </c>
      <c r="BR46" s="49">
        <f t="shared" si="69"/>
        <v>30415535</v>
      </c>
      <c r="BS46" s="49">
        <f t="shared" si="69"/>
        <v>30415535</v>
      </c>
      <c r="BT46" s="49">
        <f t="shared" si="69"/>
        <v>30415535</v>
      </c>
      <c r="BU46" s="49">
        <f t="shared" si="69"/>
        <v>30415535</v>
      </c>
      <c r="BV46" s="49">
        <f t="shared" si="69"/>
        <v>30415535</v>
      </c>
      <c r="BW46" s="49">
        <f t="shared" si="69"/>
        <v>30415535</v>
      </c>
      <c r="BX46" s="49">
        <f t="shared" si="69"/>
        <v>30415535</v>
      </c>
      <c r="BY46" s="49">
        <f t="shared" ref="BY46:CP46" si="70">SUM(BY39:BY45)</f>
        <v>30415535</v>
      </c>
      <c r="BZ46" s="49">
        <f t="shared" si="70"/>
        <v>30415535</v>
      </c>
      <c r="CA46" s="49">
        <f t="shared" si="70"/>
        <v>30415535</v>
      </c>
      <c r="CB46" s="49">
        <f t="shared" si="70"/>
        <v>30415535</v>
      </c>
      <c r="CC46" s="49">
        <f t="shared" si="70"/>
        <v>30415535</v>
      </c>
      <c r="CD46" s="49">
        <f t="shared" si="70"/>
        <v>30415535</v>
      </c>
      <c r="CE46" s="49">
        <f t="shared" si="70"/>
        <v>30415535</v>
      </c>
      <c r="CF46" s="49">
        <f t="shared" si="70"/>
        <v>30415535</v>
      </c>
      <c r="CG46" s="49">
        <f t="shared" si="70"/>
        <v>30415535</v>
      </c>
      <c r="CH46" s="49">
        <f t="shared" si="70"/>
        <v>30415535</v>
      </c>
      <c r="CI46" s="49">
        <f t="shared" si="70"/>
        <v>30415535</v>
      </c>
      <c r="CJ46" s="49">
        <f t="shared" si="70"/>
        <v>30415535</v>
      </c>
      <c r="CK46" s="49">
        <f t="shared" si="70"/>
        <v>30415535</v>
      </c>
      <c r="CL46" s="49">
        <f t="shared" si="70"/>
        <v>30415535</v>
      </c>
      <c r="CM46" s="49">
        <f t="shared" si="70"/>
        <v>30415535</v>
      </c>
      <c r="CN46" s="49">
        <f t="shared" si="70"/>
        <v>30415535</v>
      </c>
      <c r="CO46" s="49">
        <f t="shared" si="70"/>
        <v>30415535</v>
      </c>
      <c r="CP46" s="49">
        <f t="shared" si="70"/>
        <v>30415535</v>
      </c>
      <c r="CQ46" s="40">
        <f>SUBTOTAL(9,L46:CP46)</f>
        <v>2402506500.4334583</v>
      </c>
    </row>
    <row r="47" spans="1:95">
      <c r="A47" s="75"/>
      <c r="B47" s="75"/>
      <c r="C47" s="75"/>
      <c r="D47" s="112"/>
      <c r="E47" s="113"/>
      <c r="F47" s="112"/>
      <c r="G47" s="112"/>
      <c r="H47" s="114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</row>
    <row r="48" spans="1:95">
      <c r="L48" s="28">
        <f>取费表!B2</f>
        <v>0.18</v>
      </c>
      <c r="M48" s="47">
        <v>1</v>
      </c>
      <c r="Q48" s="28">
        <v>2</v>
      </c>
      <c r="U48" s="28">
        <v>3</v>
      </c>
      <c r="Y48" s="28">
        <v>4</v>
      </c>
      <c r="AC48" s="28">
        <v>5</v>
      </c>
      <c r="AG48" s="28">
        <v>6</v>
      </c>
      <c r="AK48" s="28">
        <v>7</v>
      </c>
      <c r="AO48" s="28">
        <v>8</v>
      </c>
      <c r="AS48" s="28">
        <v>9</v>
      </c>
      <c r="AW48" s="28">
        <v>10</v>
      </c>
      <c r="BA48" s="28">
        <v>11</v>
      </c>
      <c r="BE48" s="28">
        <v>12</v>
      </c>
      <c r="BI48" s="28">
        <v>13</v>
      </c>
      <c r="BM48" s="28">
        <v>14</v>
      </c>
      <c r="BQ48" s="28">
        <v>15</v>
      </c>
      <c r="BU48" s="28">
        <v>16</v>
      </c>
      <c r="BY48" s="28">
        <v>17</v>
      </c>
      <c r="CC48" s="28">
        <v>18</v>
      </c>
      <c r="CG48" s="28">
        <v>19</v>
      </c>
      <c r="CK48" s="28">
        <v>20</v>
      </c>
      <c r="CO48" s="28">
        <v>20.5</v>
      </c>
    </row>
    <row r="49" spans="1:95">
      <c r="C49" s="49"/>
      <c r="D49" s="49" t="s">
        <v>318</v>
      </c>
      <c r="E49" s="49"/>
      <c r="F49" s="49"/>
      <c r="G49" s="49"/>
      <c r="H49" s="79"/>
      <c r="I49" s="49"/>
      <c r="J49" s="49"/>
      <c r="K49" s="49"/>
      <c r="L49" s="224" t="s">
        <v>145</v>
      </c>
      <c r="M49" s="224"/>
      <c r="N49" s="224"/>
      <c r="O49" s="224" t="s">
        <v>221</v>
      </c>
      <c r="P49" s="224"/>
      <c r="Q49" s="224"/>
      <c r="R49" s="224"/>
      <c r="S49" s="224" t="s">
        <v>146</v>
      </c>
      <c r="T49" s="224"/>
      <c r="U49" s="224"/>
      <c r="V49" s="224"/>
      <c r="W49" s="224" t="s">
        <v>147</v>
      </c>
      <c r="X49" s="224"/>
      <c r="Y49" s="224"/>
      <c r="Z49" s="224"/>
      <c r="AA49" s="224" t="s">
        <v>148</v>
      </c>
      <c r="AB49" s="224"/>
      <c r="AC49" s="224"/>
      <c r="AD49" s="224"/>
      <c r="AE49" s="224" t="s">
        <v>149</v>
      </c>
      <c r="AF49" s="224"/>
      <c r="AG49" s="224"/>
      <c r="AH49" s="224"/>
      <c r="AI49" s="224" t="s">
        <v>150</v>
      </c>
      <c r="AJ49" s="224"/>
      <c r="AK49" s="224"/>
      <c r="AL49" s="224"/>
      <c r="AM49" s="224" t="s">
        <v>151</v>
      </c>
      <c r="AN49" s="224"/>
      <c r="AO49" s="224"/>
      <c r="AP49" s="224"/>
      <c r="AQ49" s="224" t="s">
        <v>152</v>
      </c>
      <c r="AR49" s="224"/>
      <c r="AS49" s="224"/>
      <c r="AT49" s="224"/>
      <c r="AU49" s="224" t="s">
        <v>153</v>
      </c>
      <c r="AV49" s="224"/>
      <c r="AW49" s="224"/>
      <c r="AX49" s="224"/>
      <c r="AY49" s="231" t="s">
        <v>154</v>
      </c>
      <c r="AZ49" s="231"/>
      <c r="BA49" s="231"/>
      <c r="BB49" s="231"/>
      <c r="BC49" s="224" t="s">
        <v>155</v>
      </c>
      <c r="BD49" s="224"/>
      <c r="BE49" s="224"/>
      <c r="BF49" s="224"/>
      <c r="BG49" s="224" t="s">
        <v>156</v>
      </c>
      <c r="BH49" s="224"/>
      <c r="BI49" s="224"/>
      <c r="BJ49" s="224"/>
      <c r="BK49" s="224" t="s">
        <v>157</v>
      </c>
      <c r="BL49" s="224"/>
      <c r="BM49" s="224"/>
      <c r="BN49" s="224"/>
      <c r="BO49" s="224" t="s">
        <v>158</v>
      </c>
      <c r="BP49" s="224"/>
      <c r="BQ49" s="224"/>
      <c r="BR49" s="224"/>
      <c r="BS49" s="224" t="s">
        <v>159</v>
      </c>
      <c r="BT49" s="224"/>
      <c r="BU49" s="224"/>
      <c r="BV49" s="224"/>
      <c r="BW49" s="224" t="s">
        <v>222</v>
      </c>
      <c r="BX49" s="224"/>
      <c r="BY49" s="224"/>
      <c r="BZ49" s="224"/>
      <c r="CA49" s="224" t="s">
        <v>223</v>
      </c>
      <c r="CB49" s="224"/>
      <c r="CC49" s="224"/>
      <c r="CD49" s="224"/>
      <c r="CE49" s="224" t="s">
        <v>160</v>
      </c>
      <c r="CF49" s="224"/>
      <c r="CG49" s="224"/>
      <c r="CH49" s="224"/>
      <c r="CI49" s="224" t="s">
        <v>161</v>
      </c>
      <c r="CJ49" s="224"/>
      <c r="CK49" s="224"/>
      <c r="CL49" s="224"/>
      <c r="CM49" s="224" t="s">
        <v>162</v>
      </c>
      <c r="CN49" s="224"/>
      <c r="CO49" s="224"/>
      <c r="CP49" s="224"/>
    </row>
    <row r="50" spans="1:95" ht="24">
      <c r="C50" s="87" t="s">
        <v>291</v>
      </c>
      <c r="D50" s="49"/>
      <c r="E50" s="49"/>
      <c r="F50" s="49"/>
      <c r="G50" s="49"/>
      <c r="H50" s="79"/>
      <c r="I50" s="49"/>
      <c r="J50" s="49"/>
      <c r="K50" s="49"/>
      <c r="L50" s="39" t="s">
        <v>224</v>
      </c>
      <c r="M50" s="68" t="s">
        <v>163</v>
      </c>
      <c r="N50" s="39" t="s">
        <v>225</v>
      </c>
      <c r="O50" s="39" t="s">
        <v>164</v>
      </c>
      <c r="P50" s="39" t="s">
        <v>226</v>
      </c>
      <c r="Q50" s="68" t="s">
        <v>227</v>
      </c>
      <c r="R50" s="39" t="s">
        <v>165</v>
      </c>
      <c r="S50" s="39" t="s">
        <v>228</v>
      </c>
      <c r="T50" s="39" t="s">
        <v>166</v>
      </c>
      <c r="U50" s="68" t="s">
        <v>167</v>
      </c>
      <c r="V50" s="39" t="s">
        <v>229</v>
      </c>
      <c r="W50" s="39" t="s">
        <v>230</v>
      </c>
      <c r="X50" s="39" t="s">
        <v>231</v>
      </c>
      <c r="Y50" s="68" t="s">
        <v>168</v>
      </c>
      <c r="Z50" s="39" t="s">
        <v>169</v>
      </c>
      <c r="AA50" s="39" t="s">
        <v>232</v>
      </c>
      <c r="AB50" s="39" t="s">
        <v>170</v>
      </c>
      <c r="AC50" s="68" t="s">
        <v>233</v>
      </c>
      <c r="AD50" s="39" t="s">
        <v>234</v>
      </c>
      <c r="AE50" s="39" t="s">
        <v>171</v>
      </c>
      <c r="AF50" s="39" t="s">
        <v>172</v>
      </c>
      <c r="AG50" s="68" t="s">
        <v>173</v>
      </c>
      <c r="AH50" s="39" t="s">
        <v>174</v>
      </c>
      <c r="AI50" s="39" t="s">
        <v>175</v>
      </c>
      <c r="AJ50" s="39" t="s">
        <v>235</v>
      </c>
      <c r="AK50" s="68" t="s">
        <v>176</v>
      </c>
      <c r="AL50" s="39" t="s">
        <v>177</v>
      </c>
      <c r="AM50" s="39" t="s">
        <v>178</v>
      </c>
      <c r="AN50" s="39" t="s">
        <v>179</v>
      </c>
      <c r="AO50" s="68" t="s">
        <v>180</v>
      </c>
      <c r="AP50" s="39" t="s">
        <v>181</v>
      </c>
      <c r="AQ50" s="39" t="s">
        <v>182</v>
      </c>
      <c r="AR50" s="39" t="s">
        <v>236</v>
      </c>
      <c r="AS50" s="68" t="s">
        <v>183</v>
      </c>
      <c r="AT50" s="39" t="s">
        <v>237</v>
      </c>
      <c r="AU50" s="39" t="s">
        <v>184</v>
      </c>
      <c r="AV50" s="39" t="s">
        <v>238</v>
      </c>
      <c r="AW50" s="68" t="s">
        <v>239</v>
      </c>
      <c r="AX50" s="39" t="s">
        <v>185</v>
      </c>
      <c r="AY50" s="39" t="s">
        <v>186</v>
      </c>
      <c r="AZ50" s="39" t="s">
        <v>240</v>
      </c>
      <c r="BA50" s="68" t="s">
        <v>187</v>
      </c>
      <c r="BB50" s="78" t="s">
        <v>188</v>
      </c>
      <c r="BC50" s="39" t="s">
        <v>241</v>
      </c>
      <c r="BD50" s="39" t="s">
        <v>189</v>
      </c>
      <c r="BE50" s="39" t="s">
        <v>190</v>
      </c>
      <c r="BF50" s="39" t="s">
        <v>242</v>
      </c>
      <c r="BG50" s="39" t="s">
        <v>243</v>
      </c>
      <c r="BH50" s="39" t="s">
        <v>191</v>
      </c>
      <c r="BI50" s="39" t="s">
        <v>192</v>
      </c>
      <c r="BJ50" s="39" t="s">
        <v>193</v>
      </c>
      <c r="BK50" s="39" t="s">
        <v>244</v>
      </c>
      <c r="BL50" s="39" t="s">
        <v>194</v>
      </c>
      <c r="BM50" s="39" t="s">
        <v>195</v>
      </c>
      <c r="BN50" s="39" t="s">
        <v>196</v>
      </c>
      <c r="BO50" s="39" t="s">
        <v>245</v>
      </c>
      <c r="BP50" s="39" t="s">
        <v>197</v>
      </c>
      <c r="BQ50" s="39" t="s">
        <v>198</v>
      </c>
      <c r="BR50" s="39" t="s">
        <v>199</v>
      </c>
      <c r="BS50" s="39" t="s">
        <v>200</v>
      </c>
      <c r="BT50" s="39" t="s">
        <v>201</v>
      </c>
      <c r="BU50" s="39" t="s">
        <v>202</v>
      </c>
      <c r="BV50" s="39" t="s">
        <v>246</v>
      </c>
      <c r="BW50" s="39" t="s">
        <v>203</v>
      </c>
      <c r="BX50" s="39" t="s">
        <v>204</v>
      </c>
      <c r="BY50" s="39" t="s">
        <v>247</v>
      </c>
      <c r="BZ50" s="39" t="s">
        <v>205</v>
      </c>
      <c r="CA50" s="39" t="s">
        <v>206</v>
      </c>
      <c r="CB50" s="39" t="s">
        <v>207</v>
      </c>
      <c r="CC50" s="39" t="s">
        <v>208</v>
      </c>
      <c r="CD50" s="39" t="s">
        <v>209</v>
      </c>
      <c r="CE50" s="39" t="s">
        <v>210</v>
      </c>
      <c r="CF50" s="39" t="s">
        <v>211</v>
      </c>
      <c r="CG50" s="39" t="s">
        <v>212</v>
      </c>
      <c r="CH50" s="39" t="s">
        <v>213</v>
      </c>
      <c r="CI50" s="39" t="s">
        <v>214</v>
      </c>
      <c r="CJ50" s="39" t="s">
        <v>215</v>
      </c>
      <c r="CK50" s="39" t="s">
        <v>216</v>
      </c>
      <c r="CL50" s="39" t="s">
        <v>217</v>
      </c>
      <c r="CM50" s="39" t="s">
        <v>248</v>
      </c>
      <c r="CN50" s="39" t="s">
        <v>218</v>
      </c>
      <c r="CO50" s="39" t="s">
        <v>219</v>
      </c>
      <c r="CP50" s="39" t="s">
        <v>220</v>
      </c>
    </row>
    <row r="51" spans="1:95" s="108" customFormat="1" ht="16.5" customHeight="1">
      <c r="C51" s="88" t="s">
        <v>292</v>
      </c>
      <c r="D51" s="106"/>
      <c r="E51" s="106"/>
      <c r="F51" s="106"/>
      <c r="G51" s="106"/>
      <c r="H51" s="107"/>
      <c r="I51" s="106"/>
      <c r="J51" s="106"/>
      <c r="K51" s="106"/>
      <c r="L51" s="106">
        <f>L52+L53+L54</f>
        <v>17167186</v>
      </c>
      <c r="M51" s="106">
        <f t="shared" ref="M51:BX51" si="71">M52+M53+M54</f>
        <v>23843313</v>
      </c>
      <c r="N51" s="106">
        <f t="shared" si="71"/>
        <v>23843313</v>
      </c>
      <c r="O51" s="106">
        <f t="shared" si="71"/>
        <v>24677828.954999998</v>
      </c>
      <c r="P51" s="106">
        <f t="shared" si="71"/>
        <v>24677828.954999998</v>
      </c>
      <c r="Q51" s="106">
        <f t="shared" si="71"/>
        <v>24677828.954999998</v>
      </c>
      <c r="R51" s="106">
        <f t="shared" si="71"/>
        <v>24677828.954999998</v>
      </c>
      <c r="S51" s="106">
        <f t="shared" si="71"/>
        <v>25541552.968424994</v>
      </c>
      <c r="T51" s="106">
        <f t="shared" si="71"/>
        <v>25541552.968424994</v>
      </c>
      <c r="U51" s="106">
        <f t="shared" si="71"/>
        <v>25541552.968424994</v>
      </c>
      <c r="V51" s="106">
        <f>V52+V53+V54</f>
        <v>25541552.968424994</v>
      </c>
      <c r="W51" s="106">
        <f>W52+W53+W54</f>
        <v>26435507.322319869</v>
      </c>
      <c r="X51" s="106">
        <f>X52+X53+X54</f>
        <v>26435507.322319869</v>
      </c>
      <c r="Y51" s="106">
        <f t="shared" si="71"/>
        <v>26435507.322319869</v>
      </c>
      <c r="Z51" s="106">
        <f t="shared" si="71"/>
        <v>26435507.322319869</v>
      </c>
      <c r="AA51" s="106">
        <f t="shared" si="71"/>
        <v>27360750.078601062</v>
      </c>
      <c r="AB51" s="106">
        <f t="shared" si="71"/>
        <v>27360750.078601062</v>
      </c>
      <c r="AC51" s="106">
        <f t="shared" si="71"/>
        <v>27360750.078601062</v>
      </c>
      <c r="AD51" s="106">
        <f t="shared" si="71"/>
        <v>27360750.078601062</v>
      </c>
      <c r="AE51" s="106">
        <f t="shared" si="71"/>
        <v>28318376.331352096</v>
      </c>
      <c r="AF51" s="106">
        <f t="shared" si="71"/>
        <v>28318376.331352096</v>
      </c>
      <c r="AG51" s="106">
        <f t="shared" si="71"/>
        <v>28318376.331352096</v>
      </c>
      <c r="AH51" s="106">
        <f t="shared" si="71"/>
        <v>28318376.331352096</v>
      </c>
      <c r="AI51" s="106">
        <f t="shared" si="71"/>
        <v>29309519.502949417</v>
      </c>
      <c r="AJ51" s="106">
        <f t="shared" si="71"/>
        <v>29309519.502949417</v>
      </c>
      <c r="AK51" s="106">
        <f t="shared" si="71"/>
        <v>29309519.502949417</v>
      </c>
      <c r="AL51" s="106">
        <f t="shared" si="71"/>
        <v>29309519.502949417</v>
      </c>
      <c r="AM51" s="106">
        <f t="shared" si="71"/>
        <v>30335352.685552645</v>
      </c>
      <c r="AN51" s="106">
        <f t="shared" si="71"/>
        <v>30335352.685552645</v>
      </c>
      <c r="AO51" s="106">
        <f t="shared" si="71"/>
        <v>30335352.685552645</v>
      </c>
      <c r="AP51" s="106">
        <f t="shared" si="71"/>
        <v>30335352.685552645</v>
      </c>
      <c r="AQ51" s="106">
        <f t="shared" si="71"/>
        <v>30335352.685552645</v>
      </c>
      <c r="AR51" s="106">
        <f t="shared" si="71"/>
        <v>30335352.685552645</v>
      </c>
      <c r="AS51" s="106">
        <f t="shared" si="71"/>
        <v>30335352.685552645</v>
      </c>
      <c r="AT51" s="106">
        <f t="shared" si="71"/>
        <v>28393890</v>
      </c>
      <c r="AU51" s="106">
        <f t="shared" si="71"/>
        <v>28393890</v>
      </c>
      <c r="AV51" s="106">
        <f t="shared" si="71"/>
        <v>28393890</v>
      </c>
      <c r="AW51" s="106">
        <f t="shared" si="71"/>
        <v>28393890</v>
      </c>
      <c r="AX51" s="106">
        <f t="shared" si="71"/>
        <v>29529646</v>
      </c>
      <c r="AY51" s="106">
        <f t="shared" si="71"/>
        <v>29529646</v>
      </c>
      <c r="AZ51" s="106">
        <f t="shared" si="71"/>
        <v>29529646</v>
      </c>
      <c r="BA51" s="106">
        <f t="shared" si="71"/>
        <v>29529646</v>
      </c>
      <c r="BB51" s="106">
        <f t="shared" si="71"/>
        <v>30415535</v>
      </c>
      <c r="BC51" s="106">
        <f t="shared" si="71"/>
        <v>30415535</v>
      </c>
      <c r="BD51" s="106">
        <f t="shared" si="71"/>
        <v>30415535</v>
      </c>
      <c r="BE51" s="106">
        <f t="shared" si="71"/>
        <v>30415535</v>
      </c>
      <c r="BF51" s="106">
        <f t="shared" si="71"/>
        <v>30415535</v>
      </c>
      <c r="BG51" s="106">
        <f t="shared" si="71"/>
        <v>30415535</v>
      </c>
      <c r="BH51" s="106">
        <f t="shared" si="71"/>
        <v>30415535</v>
      </c>
      <c r="BI51" s="106">
        <f t="shared" si="71"/>
        <v>30415535</v>
      </c>
      <c r="BJ51" s="106">
        <f t="shared" si="71"/>
        <v>30415535</v>
      </c>
      <c r="BK51" s="106">
        <f t="shared" si="71"/>
        <v>30415535</v>
      </c>
      <c r="BL51" s="106">
        <f t="shared" si="71"/>
        <v>30415535</v>
      </c>
      <c r="BM51" s="106">
        <f t="shared" si="71"/>
        <v>30415535</v>
      </c>
      <c r="BN51" s="106">
        <f t="shared" si="71"/>
        <v>30415535</v>
      </c>
      <c r="BO51" s="106">
        <f t="shared" si="71"/>
        <v>30415535</v>
      </c>
      <c r="BP51" s="106">
        <f t="shared" si="71"/>
        <v>30415535</v>
      </c>
      <c r="BQ51" s="106">
        <f t="shared" si="71"/>
        <v>30415535</v>
      </c>
      <c r="BR51" s="106">
        <f t="shared" si="71"/>
        <v>30415535</v>
      </c>
      <c r="BS51" s="106">
        <f t="shared" si="71"/>
        <v>30415535</v>
      </c>
      <c r="BT51" s="106">
        <f t="shared" si="71"/>
        <v>30415535</v>
      </c>
      <c r="BU51" s="106">
        <f t="shared" si="71"/>
        <v>30415535</v>
      </c>
      <c r="BV51" s="106">
        <f t="shared" si="71"/>
        <v>30415535</v>
      </c>
      <c r="BW51" s="106">
        <f t="shared" si="71"/>
        <v>30415535</v>
      </c>
      <c r="BX51" s="106">
        <f t="shared" si="71"/>
        <v>30415535</v>
      </c>
      <c r="BY51" s="106">
        <f t="shared" ref="BY51:CP51" si="72">BY52+BY53+BY54</f>
        <v>30415535</v>
      </c>
      <c r="BZ51" s="106">
        <f t="shared" si="72"/>
        <v>30415535</v>
      </c>
      <c r="CA51" s="106">
        <f t="shared" si="72"/>
        <v>30415535</v>
      </c>
      <c r="CB51" s="106">
        <f t="shared" si="72"/>
        <v>30415535</v>
      </c>
      <c r="CC51" s="106">
        <f t="shared" si="72"/>
        <v>30415535</v>
      </c>
      <c r="CD51" s="106">
        <f t="shared" si="72"/>
        <v>30415535</v>
      </c>
      <c r="CE51" s="106">
        <f t="shared" si="72"/>
        <v>30415535</v>
      </c>
      <c r="CF51" s="106">
        <f t="shared" si="72"/>
        <v>30415535</v>
      </c>
      <c r="CG51" s="106">
        <f t="shared" si="72"/>
        <v>30415535</v>
      </c>
      <c r="CH51" s="106">
        <f t="shared" si="72"/>
        <v>30415535</v>
      </c>
      <c r="CI51" s="106">
        <f t="shared" si="72"/>
        <v>30415535</v>
      </c>
      <c r="CJ51" s="106">
        <f t="shared" si="72"/>
        <v>30415535</v>
      </c>
      <c r="CK51" s="106">
        <f t="shared" si="72"/>
        <v>30415535</v>
      </c>
      <c r="CL51" s="106">
        <f t="shared" si="72"/>
        <v>30415535</v>
      </c>
      <c r="CM51" s="106">
        <f t="shared" si="72"/>
        <v>30415535</v>
      </c>
      <c r="CN51" s="106">
        <f t="shared" si="72"/>
        <v>30415535</v>
      </c>
      <c r="CO51" s="106">
        <f t="shared" si="72"/>
        <v>30415535</v>
      </c>
      <c r="CP51" s="106">
        <f t="shared" si="72"/>
        <v>30415535</v>
      </c>
      <c r="CQ51" s="108">
        <f>SUBTOTAL(9,L51:CP51)</f>
        <v>2402506500.4334583</v>
      </c>
    </row>
    <row r="52" spans="1:95">
      <c r="C52" s="88" t="s">
        <v>293</v>
      </c>
      <c r="D52" s="49"/>
      <c r="E52" s="49"/>
      <c r="F52" s="49"/>
      <c r="G52" s="49"/>
      <c r="H52" s="79"/>
      <c r="I52" s="49"/>
      <c r="J52" s="49"/>
      <c r="K52" s="49"/>
      <c r="L52" s="49">
        <f>L46</f>
        <v>17167186</v>
      </c>
      <c r="M52" s="49">
        <f>M46</f>
        <v>23843313</v>
      </c>
      <c r="N52" s="49">
        <f t="shared" ref="N52:BX52" si="73">N46</f>
        <v>23843313</v>
      </c>
      <c r="O52" s="49">
        <f t="shared" si="73"/>
        <v>24677828.954999998</v>
      </c>
      <c r="P52" s="49">
        <f t="shared" si="73"/>
        <v>24677828.954999998</v>
      </c>
      <c r="Q52" s="49">
        <f t="shared" si="73"/>
        <v>24677828.954999998</v>
      </c>
      <c r="R52" s="49">
        <f t="shared" si="73"/>
        <v>24677828.954999998</v>
      </c>
      <c r="S52" s="49">
        <f t="shared" si="73"/>
        <v>25541552.968424994</v>
      </c>
      <c r="T52" s="49">
        <f t="shared" si="73"/>
        <v>25541552.968424994</v>
      </c>
      <c r="U52" s="49">
        <f t="shared" si="73"/>
        <v>25541552.968424994</v>
      </c>
      <c r="V52" s="49">
        <f>V46</f>
        <v>25541552.968424994</v>
      </c>
      <c r="W52" s="49">
        <f>W46</f>
        <v>26435507.322319869</v>
      </c>
      <c r="X52" s="49">
        <f>X46</f>
        <v>26435507.322319869</v>
      </c>
      <c r="Y52" s="49">
        <f t="shared" si="73"/>
        <v>26435507.322319869</v>
      </c>
      <c r="Z52" s="49">
        <f t="shared" si="73"/>
        <v>26435507.322319869</v>
      </c>
      <c r="AA52" s="49">
        <f t="shared" si="73"/>
        <v>27360750.078601062</v>
      </c>
      <c r="AB52" s="49">
        <f t="shared" si="73"/>
        <v>27360750.078601062</v>
      </c>
      <c r="AC52" s="49">
        <f t="shared" si="73"/>
        <v>27360750.078601062</v>
      </c>
      <c r="AD52" s="49">
        <f t="shared" si="73"/>
        <v>27360750.078601062</v>
      </c>
      <c r="AE52" s="49">
        <f t="shared" si="73"/>
        <v>28318376.331352096</v>
      </c>
      <c r="AF52" s="49">
        <f t="shared" si="73"/>
        <v>28318376.331352096</v>
      </c>
      <c r="AG52" s="49">
        <f t="shared" si="73"/>
        <v>28318376.331352096</v>
      </c>
      <c r="AH52" s="49">
        <f t="shared" si="73"/>
        <v>28318376.331352096</v>
      </c>
      <c r="AI52" s="49">
        <f t="shared" si="73"/>
        <v>29309519.502949417</v>
      </c>
      <c r="AJ52" s="49">
        <f t="shared" si="73"/>
        <v>29309519.502949417</v>
      </c>
      <c r="AK52" s="49">
        <f t="shared" si="73"/>
        <v>29309519.502949417</v>
      </c>
      <c r="AL52" s="49">
        <f t="shared" si="73"/>
        <v>29309519.502949417</v>
      </c>
      <c r="AM52" s="49">
        <f t="shared" si="73"/>
        <v>30335352.685552645</v>
      </c>
      <c r="AN52" s="49">
        <f t="shared" si="73"/>
        <v>30335352.685552645</v>
      </c>
      <c r="AO52" s="49">
        <f t="shared" si="73"/>
        <v>30335352.685552645</v>
      </c>
      <c r="AP52" s="49">
        <f t="shared" si="73"/>
        <v>30335352.685552645</v>
      </c>
      <c r="AQ52" s="49">
        <f t="shared" si="73"/>
        <v>30335352.685552645</v>
      </c>
      <c r="AR52" s="49">
        <f t="shared" si="73"/>
        <v>30335352.685552645</v>
      </c>
      <c r="AS52" s="49">
        <f t="shared" si="73"/>
        <v>30335352.685552645</v>
      </c>
      <c r="AT52" s="49">
        <f t="shared" si="73"/>
        <v>28393890</v>
      </c>
      <c r="AU52" s="49">
        <f t="shared" si="73"/>
        <v>28393890</v>
      </c>
      <c r="AV52" s="49">
        <f t="shared" si="73"/>
        <v>28393890</v>
      </c>
      <c r="AW52" s="49">
        <f t="shared" si="73"/>
        <v>28393890</v>
      </c>
      <c r="AX52" s="49">
        <f t="shared" si="73"/>
        <v>29529646</v>
      </c>
      <c r="AY52" s="49">
        <f t="shared" si="73"/>
        <v>29529646</v>
      </c>
      <c r="AZ52" s="49">
        <f t="shared" si="73"/>
        <v>29529646</v>
      </c>
      <c r="BA52" s="49">
        <f t="shared" si="73"/>
        <v>29529646</v>
      </c>
      <c r="BB52" s="49">
        <f t="shared" si="73"/>
        <v>30415535</v>
      </c>
      <c r="BC52" s="49">
        <f t="shared" si="73"/>
        <v>30415535</v>
      </c>
      <c r="BD52" s="49">
        <f t="shared" si="73"/>
        <v>30415535</v>
      </c>
      <c r="BE52" s="49">
        <f t="shared" si="73"/>
        <v>30415535</v>
      </c>
      <c r="BF52" s="49">
        <f t="shared" si="73"/>
        <v>30415535</v>
      </c>
      <c r="BG52" s="49">
        <f t="shared" si="73"/>
        <v>30415535</v>
      </c>
      <c r="BH52" s="49">
        <f t="shared" si="73"/>
        <v>30415535</v>
      </c>
      <c r="BI52" s="49">
        <f t="shared" si="73"/>
        <v>30415535</v>
      </c>
      <c r="BJ52" s="49">
        <f t="shared" si="73"/>
        <v>30415535</v>
      </c>
      <c r="BK52" s="49">
        <f t="shared" si="73"/>
        <v>30415535</v>
      </c>
      <c r="BL52" s="49">
        <f t="shared" si="73"/>
        <v>30415535</v>
      </c>
      <c r="BM52" s="49">
        <f t="shared" si="73"/>
        <v>30415535</v>
      </c>
      <c r="BN52" s="49">
        <f t="shared" si="73"/>
        <v>30415535</v>
      </c>
      <c r="BO52" s="49">
        <f t="shared" si="73"/>
        <v>30415535</v>
      </c>
      <c r="BP52" s="49">
        <f t="shared" si="73"/>
        <v>30415535</v>
      </c>
      <c r="BQ52" s="49">
        <f t="shared" si="73"/>
        <v>30415535</v>
      </c>
      <c r="BR52" s="49">
        <f t="shared" si="73"/>
        <v>30415535</v>
      </c>
      <c r="BS52" s="49">
        <f t="shared" si="73"/>
        <v>30415535</v>
      </c>
      <c r="BT52" s="49">
        <f t="shared" si="73"/>
        <v>30415535</v>
      </c>
      <c r="BU52" s="49">
        <f t="shared" si="73"/>
        <v>30415535</v>
      </c>
      <c r="BV52" s="49">
        <f t="shared" si="73"/>
        <v>30415535</v>
      </c>
      <c r="BW52" s="49">
        <f t="shared" si="73"/>
        <v>30415535</v>
      </c>
      <c r="BX52" s="49">
        <f t="shared" si="73"/>
        <v>30415535</v>
      </c>
      <c r="BY52" s="49">
        <f t="shared" ref="BY52:CP52" si="74">BY46</f>
        <v>30415535</v>
      </c>
      <c r="BZ52" s="49">
        <f t="shared" si="74"/>
        <v>30415535</v>
      </c>
      <c r="CA52" s="49">
        <f t="shared" si="74"/>
        <v>30415535</v>
      </c>
      <c r="CB52" s="49">
        <f t="shared" si="74"/>
        <v>30415535</v>
      </c>
      <c r="CC52" s="49">
        <f t="shared" si="74"/>
        <v>30415535</v>
      </c>
      <c r="CD52" s="49">
        <f t="shared" si="74"/>
        <v>30415535</v>
      </c>
      <c r="CE52" s="49">
        <f t="shared" si="74"/>
        <v>30415535</v>
      </c>
      <c r="CF52" s="49">
        <f t="shared" si="74"/>
        <v>30415535</v>
      </c>
      <c r="CG52" s="49">
        <f t="shared" si="74"/>
        <v>30415535</v>
      </c>
      <c r="CH52" s="49">
        <f t="shared" si="74"/>
        <v>30415535</v>
      </c>
      <c r="CI52" s="49">
        <f t="shared" si="74"/>
        <v>30415535</v>
      </c>
      <c r="CJ52" s="49">
        <f t="shared" si="74"/>
        <v>30415535</v>
      </c>
      <c r="CK52" s="49">
        <f t="shared" si="74"/>
        <v>30415535</v>
      </c>
      <c r="CL52" s="49">
        <f t="shared" si="74"/>
        <v>30415535</v>
      </c>
      <c r="CM52" s="49">
        <f t="shared" si="74"/>
        <v>30415535</v>
      </c>
      <c r="CN52" s="49">
        <f t="shared" si="74"/>
        <v>30415535</v>
      </c>
      <c r="CO52" s="49">
        <f t="shared" si="74"/>
        <v>30415535</v>
      </c>
      <c r="CP52" s="49">
        <f t="shared" si="74"/>
        <v>30415535</v>
      </c>
      <c r="CQ52" s="108">
        <f t="shared" ref="CQ52:CQ67" si="75">SUBTOTAL(9,L52:CP52)</f>
        <v>2402506500.4334583</v>
      </c>
    </row>
    <row r="53" spans="1:95">
      <c r="C53" s="88" t="s">
        <v>316</v>
      </c>
      <c r="D53" s="49"/>
      <c r="E53" s="49"/>
      <c r="F53" s="49"/>
      <c r="G53" s="49"/>
      <c r="H53" s="79"/>
      <c r="I53" s="49"/>
      <c r="J53" s="49"/>
      <c r="K53" s="49"/>
      <c r="L53" s="49"/>
      <c r="M53" s="51"/>
      <c r="N53" s="51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108">
        <f t="shared" si="75"/>
        <v>0</v>
      </c>
    </row>
    <row r="54" spans="1:95">
      <c r="C54" s="88" t="s">
        <v>297</v>
      </c>
      <c r="D54" s="49"/>
      <c r="E54" s="49"/>
      <c r="F54" s="49"/>
      <c r="G54" s="49"/>
      <c r="H54" s="79"/>
      <c r="I54" s="49"/>
      <c r="J54" s="49"/>
      <c r="K54" s="49"/>
      <c r="L54" s="49"/>
      <c r="M54" s="51"/>
      <c r="N54" s="51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108">
        <f t="shared" si="75"/>
        <v>0</v>
      </c>
    </row>
    <row r="55" spans="1:95" s="108" customFormat="1" ht="14.25" customHeight="1">
      <c r="A55" s="233">
        <f>D56+D57</f>
        <v>0.11000000000000001</v>
      </c>
      <c r="B55" s="234"/>
      <c r="C55" s="89" t="s">
        <v>310</v>
      </c>
      <c r="D55" s="106"/>
      <c r="E55" s="106"/>
      <c r="F55" s="106"/>
      <c r="G55" s="106"/>
      <c r="H55" s="107"/>
      <c r="I55" s="106"/>
      <c r="J55" s="106"/>
      <c r="K55" s="106"/>
      <c r="L55" s="106">
        <f>L56+L57</f>
        <v>1888390.46</v>
      </c>
      <c r="M55" s="106">
        <f t="shared" ref="M55:N55" si="76">M56+M57</f>
        <v>2622764.4300000002</v>
      </c>
      <c r="N55" s="106">
        <f t="shared" si="76"/>
        <v>2622764.4300000002</v>
      </c>
      <c r="O55" s="106">
        <f>O56+O57</f>
        <v>2714561.18505</v>
      </c>
      <c r="P55" s="106">
        <f t="shared" ref="P55:CA55" si="77">P56+P57</f>
        <v>2714561.18505</v>
      </c>
      <c r="Q55" s="106">
        <f t="shared" si="77"/>
        <v>2714561.18505</v>
      </c>
      <c r="R55" s="106">
        <f t="shared" si="77"/>
        <v>2714561.18505</v>
      </c>
      <c r="S55" s="106">
        <f t="shared" si="77"/>
        <v>2809570.8265267499</v>
      </c>
      <c r="T55" s="106">
        <f t="shared" si="77"/>
        <v>2809570.8265267499</v>
      </c>
      <c r="U55" s="106">
        <f t="shared" si="77"/>
        <v>2809570.8265267499</v>
      </c>
      <c r="V55" s="106">
        <f t="shared" si="77"/>
        <v>2809570.8265267499</v>
      </c>
      <c r="W55" s="106">
        <f t="shared" si="77"/>
        <v>2907905.8054551859</v>
      </c>
      <c r="X55" s="106">
        <f t="shared" si="77"/>
        <v>2907905.8054551859</v>
      </c>
      <c r="Y55" s="106">
        <f t="shared" si="77"/>
        <v>2907905.8054551859</v>
      </c>
      <c r="Z55" s="106">
        <f t="shared" si="77"/>
        <v>2907905.8054551859</v>
      </c>
      <c r="AA55" s="106">
        <f t="shared" si="77"/>
        <v>3009682.5086461171</v>
      </c>
      <c r="AB55" s="106">
        <f t="shared" si="77"/>
        <v>3009682.5086461171</v>
      </c>
      <c r="AC55" s="106">
        <f t="shared" si="77"/>
        <v>3009682.5086461171</v>
      </c>
      <c r="AD55" s="106">
        <f t="shared" si="77"/>
        <v>3009682.5086461171</v>
      </c>
      <c r="AE55" s="106">
        <f t="shared" si="77"/>
        <v>3115021.396448731</v>
      </c>
      <c r="AF55" s="106">
        <f t="shared" si="77"/>
        <v>3115021.396448731</v>
      </c>
      <c r="AG55" s="106">
        <f t="shared" si="77"/>
        <v>3115021.396448731</v>
      </c>
      <c r="AH55" s="106">
        <f t="shared" si="77"/>
        <v>3115021.396448731</v>
      </c>
      <c r="AI55" s="106">
        <f t="shared" si="77"/>
        <v>3224047.145324436</v>
      </c>
      <c r="AJ55" s="106">
        <f t="shared" si="77"/>
        <v>3224047.145324436</v>
      </c>
      <c r="AK55" s="106">
        <f t="shared" si="77"/>
        <v>3224047.145324436</v>
      </c>
      <c r="AL55" s="106">
        <f t="shared" si="77"/>
        <v>3224047.145324436</v>
      </c>
      <c r="AM55" s="106">
        <f t="shared" si="77"/>
        <v>3336888.7954107914</v>
      </c>
      <c r="AN55" s="106">
        <f t="shared" si="77"/>
        <v>3336888.7954107914</v>
      </c>
      <c r="AO55" s="106">
        <f t="shared" si="77"/>
        <v>3336888.7954107914</v>
      </c>
      <c r="AP55" s="106">
        <f t="shared" si="77"/>
        <v>3336888.7954107914</v>
      </c>
      <c r="AQ55" s="106">
        <f t="shared" si="77"/>
        <v>3336888.7954107914</v>
      </c>
      <c r="AR55" s="106">
        <f t="shared" si="77"/>
        <v>3336888.7954107914</v>
      </c>
      <c r="AS55" s="106">
        <f t="shared" si="77"/>
        <v>3336888.7954107914</v>
      </c>
      <c r="AT55" s="106">
        <f t="shared" si="77"/>
        <v>3123327.9000000004</v>
      </c>
      <c r="AU55" s="106">
        <f t="shared" si="77"/>
        <v>3123327.9000000004</v>
      </c>
      <c r="AV55" s="106">
        <f t="shared" si="77"/>
        <v>3123327.9000000004</v>
      </c>
      <c r="AW55" s="106">
        <f t="shared" si="77"/>
        <v>3123327.9000000004</v>
      </c>
      <c r="AX55" s="106">
        <f t="shared" si="77"/>
        <v>3248261.0600000005</v>
      </c>
      <c r="AY55" s="106">
        <f t="shared" si="77"/>
        <v>3248261.0600000005</v>
      </c>
      <c r="AZ55" s="106">
        <f t="shared" si="77"/>
        <v>3248261.0600000005</v>
      </c>
      <c r="BA55" s="106">
        <f t="shared" si="77"/>
        <v>3248261.0600000005</v>
      </c>
      <c r="BB55" s="106">
        <f t="shared" si="77"/>
        <v>3345708.8500000006</v>
      </c>
      <c r="BC55" s="106">
        <f t="shared" si="77"/>
        <v>3345708.8500000006</v>
      </c>
      <c r="BD55" s="106">
        <f t="shared" si="77"/>
        <v>3345708.8500000006</v>
      </c>
      <c r="BE55" s="106">
        <f t="shared" si="77"/>
        <v>3345708.8500000006</v>
      </c>
      <c r="BF55" s="106">
        <f t="shared" si="77"/>
        <v>3345708.8500000006</v>
      </c>
      <c r="BG55" s="106">
        <f t="shared" si="77"/>
        <v>3345708.8500000006</v>
      </c>
      <c r="BH55" s="106">
        <f t="shared" si="77"/>
        <v>3345708.8500000006</v>
      </c>
      <c r="BI55" s="106">
        <f t="shared" si="77"/>
        <v>3345708.8500000006</v>
      </c>
      <c r="BJ55" s="106">
        <f t="shared" si="77"/>
        <v>3345708.8500000006</v>
      </c>
      <c r="BK55" s="106">
        <f t="shared" si="77"/>
        <v>3345708.8500000006</v>
      </c>
      <c r="BL55" s="106">
        <f t="shared" si="77"/>
        <v>3345708.8500000006</v>
      </c>
      <c r="BM55" s="106">
        <f t="shared" si="77"/>
        <v>3345708.8500000006</v>
      </c>
      <c r="BN55" s="106">
        <f t="shared" si="77"/>
        <v>3345708.8500000006</v>
      </c>
      <c r="BO55" s="106">
        <f t="shared" si="77"/>
        <v>3345708.8500000006</v>
      </c>
      <c r="BP55" s="106">
        <f t="shared" si="77"/>
        <v>3345708.8500000006</v>
      </c>
      <c r="BQ55" s="106">
        <f t="shared" si="77"/>
        <v>3345708.8500000006</v>
      </c>
      <c r="BR55" s="106">
        <f t="shared" si="77"/>
        <v>3345708.8500000006</v>
      </c>
      <c r="BS55" s="106">
        <f t="shared" si="77"/>
        <v>3345708.8500000006</v>
      </c>
      <c r="BT55" s="106">
        <f t="shared" si="77"/>
        <v>3345708.8500000006</v>
      </c>
      <c r="BU55" s="106">
        <f t="shared" si="77"/>
        <v>3345708.8500000006</v>
      </c>
      <c r="BV55" s="106">
        <f t="shared" si="77"/>
        <v>3345708.8500000006</v>
      </c>
      <c r="BW55" s="106">
        <f t="shared" si="77"/>
        <v>3345708.8500000006</v>
      </c>
      <c r="BX55" s="106">
        <f t="shared" si="77"/>
        <v>3345708.8500000006</v>
      </c>
      <c r="BY55" s="106">
        <f t="shared" si="77"/>
        <v>3345708.8500000006</v>
      </c>
      <c r="BZ55" s="106">
        <f t="shared" si="77"/>
        <v>3345708.8500000006</v>
      </c>
      <c r="CA55" s="106">
        <f t="shared" si="77"/>
        <v>3345708.8500000006</v>
      </c>
      <c r="CB55" s="106">
        <f t="shared" ref="CB55:CO55" si="78">CB56+CB57</f>
        <v>3345708.8500000006</v>
      </c>
      <c r="CC55" s="106">
        <f t="shared" si="78"/>
        <v>3345708.8500000006</v>
      </c>
      <c r="CD55" s="106">
        <f t="shared" si="78"/>
        <v>3345708.8500000006</v>
      </c>
      <c r="CE55" s="106">
        <f t="shared" si="78"/>
        <v>3345708.8500000006</v>
      </c>
      <c r="CF55" s="106">
        <f t="shared" si="78"/>
        <v>3345708.8500000006</v>
      </c>
      <c r="CG55" s="106">
        <f t="shared" si="78"/>
        <v>3345708.8500000006</v>
      </c>
      <c r="CH55" s="106">
        <f t="shared" si="78"/>
        <v>3345708.8500000006</v>
      </c>
      <c r="CI55" s="106">
        <f t="shared" si="78"/>
        <v>3345708.8500000006</v>
      </c>
      <c r="CJ55" s="106">
        <f t="shared" si="78"/>
        <v>3345708.8500000006</v>
      </c>
      <c r="CK55" s="106">
        <f t="shared" si="78"/>
        <v>3345708.8500000006</v>
      </c>
      <c r="CL55" s="106">
        <f t="shared" si="78"/>
        <v>3345708.8500000006</v>
      </c>
      <c r="CM55" s="106">
        <f t="shared" si="78"/>
        <v>3345708.8500000006</v>
      </c>
      <c r="CN55" s="106">
        <f t="shared" si="78"/>
        <v>3345708.8500000006</v>
      </c>
      <c r="CO55" s="106">
        <f t="shared" si="78"/>
        <v>3345708.8500000006</v>
      </c>
      <c r="CP55" s="106">
        <f>CP56+CP57</f>
        <v>3345708.8500000006</v>
      </c>
      <c r="CQ55" s="108">
        <f t="shared" si="75"/>
        <v>264275715.04768026</v>
      </c>
    </row>
    <row r="56" spans="1:95">
      <c r="C56" s="89" t="s">
        <v>311</v>
      </c>
      <c r="D56" s="105">
        <f>历史运营!E26</f>
        <v>0.04</v>
      </c>
      <c r="E56" s="49"/>
      <c r="F56" s="49"/>
      <c r="G56" s="49"/>
      <c r="H56" s="79"/>
      <c r="I56" s="49"/>
      <c r="J56" s="49"/>
      <c r="K56" s="49"/>
      <c r="L56" s="49">
        <f>D56*L51</f>
        <v>686687.44000000006</v>
      </c>
      <c r="M56" s="49">
        <f>$D$56*M51</f>
        <v>953732.52</v>
      </c>
      <c r="N56" s="49">
        <f t="shared" ref="N56:BY56" si="79">$D$56*N51</f>
        <v>953732.52</v>
      </c>
      <c r="O56" s="49">
        <f t="shared" si="79"/>
        <v>987113.15819999995</v>
      </c>
      <c r="P56" s="49">
        <f t="shared" si="79"/>
        <v>987113.15819999995</v>
      </c>
      <c r="Q56" s="49">
        <f t="shared" si="79"/>
        <v>987113.15819999995</v>
      </c>
      <c r="R56" s="49">
        <f t="shared" si="79"/>
        <v>987113.15819999995</v>
      </c>
      <c r="S56" s="49">
        <f t="shared" si="79"/>
        <v>1021662.1187369998</v>
      </c>
      <c r="T56" s="49">
        <f t="shared" si="79"/>
        <v>1021662.1187369998</v>
      </c>
      <c r="U56" s="49">
        <f t="shared" si="79"/>
        <v>1021662.1187369998</v>
      </c>
      <c r="V56" s="49">
        <f t="shared" si="79"/>
        <v>1021662.1187369998</v>
      </c>
      <c r="W56" s="49">
        <f t="shared" si="79"/>
        <v>1057420.2928927948</v>
      </c>
      <c r="X56" s="49">
        <f t="shared" si="79"/>
        <v>1057420.2928927948</v>
      </c>
      <c r="Y56" s="49">
        <f t="shared" si="79"/>
        <v>1057420.2928927948</v>
      </c>
      <c r="Z56" s="49">
        <f t="shared" si="79"/>
        <v>1057420.2928927948</v>
      </c>
      <c r="AA56" s="49">
        <f t="shared" si="79"/>
        <v>1094430.0031440426</v>
      </c>
      <c r="AB56" s="49">
        <f t="shared" si="79"/>
        <v>1094430.0031440426</v>
      </c>
      <c r="AC56" s="49">
        <f t="shared" si="79"/>
        <v>1094430.0031440426</v>
      </c>
      <c r="AD56" s="49">
        <f t="shared" si="79"/>
        <v>1094430.0031440426</v>
      </c>
      <c r="AE56" s="49">
        <f t="shared" si="79"/>
        <v>1132735.053254084</v>
      </c>
      <c r="AF56" s="49">
        <f t="shared" si="79"/>
        <v>1132735.053254084</v>
      </c>
      <c r="AG56" s="49">
        <f t="shared" si="79"/>
        <v>1132735.053254084</v>
      </c>
      <c r="AH56" s="49">
        <f t="shared" si="79"/>
        <v>1132735.053254084</v>
      </c>
      <c r="AI56" s="49">
        <f t="shared" si="79"/>
        <v>1172380.7801179767</v>
      </c>
      <c r="AJ56" s="49">
        <f t="shared" si="79"/>
        <v>1172380.7801179767</v>
      </c>
      <c r="AK56" s="49">
        <f t="shared" si="79"/>
        <v>1172380.7801179767</v>
      </c>
      <c r="AL56" s="49">
        <f t="shared" si="79"/>
        <v>1172380.7801179767</v>
      </c>
      <c r="AM56" s="49">
        <f t="shared" si="79"/>
        <v>1213414.1074221057</v>
      </c>
      <c r="AN56" s="49">
        <f t="shared" si="79"/>
        <v>1213414.1074221057</v>
      </c>
      <c r="AO56" s="49">
        <f t="shared" si="79"/>
        <v>1213414.1074221057</v>
      </c>
      <c r="AP56" s="49">
        <f t="shared" si="79"/>
        <v>1213414.1074221057</v>
      </c>
      <c r="AQ56" s="49">
        <f t="shared" si="79"/>
        <v>1213414.1074221057</v>
      </c>
      <c r="AR56" s="49">
        <f t="shared" si="79"/>
        <v>1213414.1074221057</v>
      </c>
      <c r="AS56" s="49">
        <f t="shared" si="79"/>
        <v>1213414.1074221057</v>
      </c>
      <c r="AT56" s="49">
        <f t="shared" si="79"/>
        <v>1135755.6000000001</v>
      </c>
      <c r="AU56" s="49">
        <f t="shared" si="79"/>
        <v>1135755.6000000001</v>
      </c>
      <c r="AV56" s="49">
        <f t="shared" si="79"/>
        <v>1135755.6000000001</v>
      </c>
      <c r="AW56" s="49">
        <f t="shared" si="79"/>
        <v>1135755.6000000001</v>
      </c>
      <c r="AX56" s="49">
        <f t="shared" si="79"/>
        <v>1181185.8400000001</v>
      </c>
      <c r="AY56" s="49">
        <f t="shared" si="79"/>
        <v>1181185.8400000001</v>
      </c>
      <c r="AZ56" s="49">
        <f t="shared" si="79"/>
        <v>1181185.8400000001</v>
      </c>
      <c r="BA56" s="49">
        <f t="shared" si="79"/>
        <v>1181185.8400000001</v>
      </c>
      <c r="BB56" s="49">
        <f t="shared" si="79"/>
        <v>1216621.4000000001</v>
      </c>
      <c r="BC56" s="49">
        <f t="shared" si="79"/>
        <v>1216621.4000000001</v>
      </c>
      <c r="BD56" s="49">
        <f t="shared" si="79"/>
        <v>1216621.4000000001</v>
      </c>
      <c r="BE56" s="49">
        <f t="shared" si="79"/>
        <v>1216621.4000000001</v>
      </c>
      <c r="BF56" s="49">
        <f t="shared" si="79"/>
        <v>1216621.4000000001</v>
      </c>
      <c r="BG56" s="49">
        <f t="shared" si="79"/>
        <v>1216621.4000000001</v>
      </c>
      <c r="BH56" s="49">
        <f t="shared" si="79"/>
        <v>1216621.4000000001</v>
      </c>
      <c r="BI56" s="49">
        <f t="shared" si="79"/>
        <v>1216621.4000000001</v>
      </c>
      <c r="BJ56" s="49">
        <f t="shared" si="79"/>
        <v>1216621.4000000001</v>
      </c>
      <c r="BK56" s="49">
        <f t="shared" si="79"/>
        <v>1216621.4000000001</v>
      </c>
      <c r="BL56" s="49">
        <f t="shared" si="79"/>
        <v>1216621.4000000001</v>
      </c>
      <c r="BM56" s="49">
        <f t="shared" si="79"/>
        <v>1216621.4000000001</v>
      </c>
      <c r="BN56" s="49">
        <f t="shared" si="79"/>
        <v>1216621.4000000001</v>
      </c>
      <c r="BO56" s="49">
        <f t="shared" si="79"/>
        <v>1216621.4000000001</v>
      </c>
      <c r="BP56" s="49">
        <f t="shared" si="79"/>
        <v>1216621.4000000001</v>
      </c>
      <c r="BQ56" s="49">
        <f t="shared" si="79"/>
        <v>1216621.4000000001</v>
      </c>
      <c r="BR56" s="49">
        <f t="shared" si="79"/>
        <v>1216621.4000000001</v>
      </c>
      <c r="BS56" s="49">
        <f t="shared" si="79"/>
        <v>1216621.4000000001</v>
      </c>
      <c r="BT56" s="49">
        <f t="shared" si="79"/>
        <v>1216621.4000000001</v>
      </c>
      <c r="BU56" s="49">
        <f t="shared" si="79"/>
        <v>1216621.4000000001</v>
      </c>
      <c r="BV56" s="49">
        <f t="shared" si="79"/>
        <v>1216621.4000000001</v>
      </c>
      <c r="BW56" s="49">
        <f t="shared" si="79"/>
        <v>1216621.4000000001</v>
      </c>
      <c r="BX56" s="49">
        <f t="shared" si="79"/>
        <v>1216621.4000000001</v>
      </c>
      <c r="BY56" s="49">
        <f t="shared" si="79"/>
        <v>1216621.4000000001</v>
      </c>
      <c r="BZ56" s="49">
        <f t="shared" ref="BZ56:CP56" si="80">$D$56*BZ51</f>
        <v>1216621.4000000001</v>
      </c>
      <c r="CA56" s="49">
        <f t="shared" si="80"/>
        <v>1216621.4000000001</v>
      </c>
      <c r="CB56" s="49">
        <f t="shared" si="80"/>
        <v>1216621.4000000001</v>
      </c>
      <c r="CC56" s="49">
        <f t="shared" si="80"/>
        <v>1216621.4000000001</v>
      </c>
      <c r="CD56" s="49">
        <f t="shared" si="80"/>
        <v>1216621.4000000001</v>
      </c>
      <c r="CE56" s="49">
        <f t="shared" si="80"/>
        <v>1216621.4000000001</v>
      </c>
      <c r="CF56" s="49">
        <f t="shared" si="80"/>
        <v>1216621.4000000001</v>
      </c>
      <c r="CG56" s="49">
        <f t="shared" si="80"/>
        <v>1216621.4000000001</v>
      </c>
      <c r="CH56" s="49">
        <f t="shared" si="80"/>
        <v>1216621.4000000001</v>
      </c>
      <c r="CI56" s="49">
        <f t="shared" si="80"/>
        <v>1216621.4000000001</v>
      </c>
      <c r="CJ56" s="49">
        <f t="shared" si="80"/>
        <v>1216621.4000000001</v>
      </c>
      <c r="CK56" s="49">
        <f t="shared" si="80"/>
        <v>1216621.4000000001</v>
      </c>
      <c r="CL56" s="49">
        <f t="shared" si="80"/>
        <v>1216621.4000000001</v>
      </c>
      <c r="CM56" s="49">
        <f t="shared" si="80"/>
        <v>1216621.4000000001</v>
      </c>
      <c r="CN56" s="49">
        <f t="shared" si="80"/>
        <v>1216621.4000000001</v>
      </c>
      <c r="CO56" s="49">
        <f t="shared" si="80"/>
        <v>1216621.4000000001</v>
      </c>
      <c r="CP56" s="49">
        <f t="shared" si="80"/>
        <v>1216621.4000000001</v>
      </c>
      <c r="CQ56" s="108">
        <f t="shared" si="75"/>
        <v>96100260.017338455</v>
      </c>
    </row>
    <row r="57" spans="1:95">
      <c r="C57" s="89" t="s">
        <v>312</v>
      </c>
      <c r="D57" s="105">
        <f>历史运营!E27</f>
        <v>7.0000000000000007E-2</v>
      </c>
      <c r="E57" s="49"/>
      <c r="F57" s="49"/>
      <c r="G57" s="49"/>
      <c r="H57" s="79"/>
      <c r="I57" s="49"/>
      <c r="J57" s="49"/>
      <c r="K57" s="49"/>
      <c r="L57" s="49">
        <f>L51*$D$57</f>
        <v>1201703.02</v>
      </c>
      <c r="M57" s="49">
        <f t="shared" ref="M57:BX57" si="81">M51*$D$57</f>
        <v>1669031.9100000001</v>
      </c>
      <c r="N57" s="49">
        <f t="shared" si="81"/>
        <v>1669031.9100000001</v>
      </c>
      <c r="O57" s="49">
        <f t="shared" si="81"/>
        <v>1727448.02685</v>
      </c>
      <c r="P57" s="49">
        <f t="shared" si="81"/>
        <v>1727448.02685</v>
      </c>
      <c r="Q57" s="49">
        <f t="shared" si="81"/>
        <v>1727448.02685</v>
      </c>
      <c r="R57" s="49">
        <f t="shared" si="81"/>
        <v>1727448.02685</v>
      </c>
      <c r="S57" s="49">
        <f t="shared" si="81"/>
        <v>1787908.7077897498</v>
      </c>
      <c r="T57" s="49">
        <f t="shared" si="81"/>
        <v>1787908.7077897498</v>
      </c>
      <c r="U57" s="49">
        <f t="shared" si="81"/>
        <v>1787908.7077897498</v>
      </c>
      <c r="V57" s="49">
        <f t="shared" si="81"/>
        <v>1787908.7077897498</v>
      </c>
      <c r="W57" s="49">
        <f t="shared" si="81"/>
        <v>1850485.5125623911</v>
      </c>
      <c r="X57" s="49">
        <f t="shared" si="81"/>
        <v>1850485.5125623911</v>
      </c>
      <c r="Y57" s="49">
        <f t="shared" si="81"/>
        <v>1850485.5125623911</v>
      </c>
      <c r="Z57" s="49">
        <f t="shared" si="81"/>
        <v>1850485.5125623911</v>
      </c>
      <c r="AA57" s="49">
        <f t="shared" si="81"/>
        <v>1915252.5055020745</v>
      </c>
      <c r="AB57" s="49">
        <f t="shared" si="81"/>
        <v>1915252.5055020745</v>
      </c>
      <c r="AC57" s="49">
        <f t="shared" si="81"/>
        <v>1915252.5055020745</v>
      </c>
      <c r="AD57" s="49">
        <f t="shared" si="81"/>
        <v>1915252.5055020745</v>
      </c>
      <c r="AE57" s="49">
        <f t="shared" si="81"/>
        <v>1982286.343194647</v>
      </c>
      <c r="AF57" s="49">
        <f t="shared" si="81"/>
        <v>1982286.343194647</v>
      </c>
      <c r="AG57" s="49">
        <f t="shared" si="81"/>
        <v>1982286.343194647</v>
      </c>
      <c r="AH57" s="49">
        <f t="shared" si="81"/>
        <v>1982286.343194647</v>
      </c>
      <c r="AI57" s="49">
        <f t="shared" si="81"/>
        <v>2051666.3652064593</v>
      </c>
      <c r="AJ57" s="49">
        <f t="shared" si="81"/>
        <v>2051666.3652064593</v>
      </c>
      <c r="AK57" s="49">
        <f t="shared" si="81"/>
        <v>2051666.3652064593</v>
      </c>
      <c r="AL57" s="49">
        <f t="shared" si="81"/>
        <v>2051666.3652064593</v>
      </c>
      <c r="AM57" s="49">
        <f t="shared" si="81"/>
        <v>2123474.6879886854</v>
      </c>
      <c r="AN57" s="49">
        <f t="shared" si="81"/>
        <v>2123474.6879886854</v>
      </c>
      <c r="AO57" s="49">
        <f t="shared" si="81"/>
        <v>2123474.6879886854</v>
      </c>
      <c r="AP57" s="49">
        <f t="shared" si="81"/>
        <v>2123474.6879886854</v>
      </c>
      <c r="AQ57" s="49">
        <f t="shared" si="81"/>
        <v>2123474.6879886854</v>
      </c>
      <c r="AR57" s="49">
        <f t="shared" si="81"/>
        <v>2123474.6879886854</v>
      </c>
      <c r="AS57" s="49">
        <f t="shared" si="81"/>
        <v>2123474.6879886854</v>
      </c>
      <c r="AT57" s="49">
        <f t="shared" si="81"/>
        <v>1987572.3000000003</v>
      </c>
      <c r="AU57" s="49">
        <f t="shared" si="81"/>
        <v>1987572.3000000003</v>
      </c>
      <c r="AV57" s="49">
        <f t="shared" si="81"/>
        <v>1987572.3000000003</v>
      </c>
      <c r="AW57" s="49">
        <f t="shared" si="81"/>
        <v>1987572.3000000003</v>
      </c>
      <c r="AX57" s="49">
        <f t="shared" si="81"/>
        <v>2067075.2200000002</v>
      </c>
      <c r="AY57" s="49">
        <f t="shared" si="81"/>
        <v>2067075.2200000002</v>
      </c>
      <c r="AZ57" s="49">
        <f t="shared" si="81"/>
        <v>2067075.2200000002</v>
      </c>
      <c r="BA57" s="49">
        <f t="shared" si="81"/>
        <v>2067075.2200000002</v>
      </c>
      <c r="BB57" s="49">
        <f t="shared" si="81"/>
        <v>2129087.4500000002</v>
      </c>
      <c r="BC57" s="49">
        <f t="shared" si="81"/>
        <v>2129087.4500000002</v>
      </c>
      <c r="BD57" s="49">
        <f t="shared" si="81"/>
        <v>2129087.4500000002</v>
      </c>
      <c r="BE57" s="49">
        <f t="shared" si="81"/>
        <v>2129087.4500000002</v>
      </c>
      <c r="BF57" s="49">
        <f t="shared" si="81"/>
        <v>2129087.4500000002</v>
      </c>
      <c r="BG57" s="49">
        <f t="shared" si="81"/>
        <v>2129087.4500000002</v>
      </c>
      <c r="BH57" s="49">
        <f t="shared" si="81"/>
        <v>2129087.4500000002</v>
      </c>
      <c r="BI57" s="49">
        <f t="shared" si="81"/>
        <v>2129087.4500000002</v>
      </c>
      <c r="BJ57" s="49">
        <f t="shared" si="81"/>
        <v>2129087.4500000002</v>
      </c>
      <c r="BK57" s="49">
        <f t="shared" si="81"/>
        <v>2129087.4500000002</v>
      </c>
      <c r="BL57" s="49">
        <f t="shared" si="81"/>
        <v>2129087.4500000002</v>
      </c>
      <c r="BM57" s="49">
        <f t="shared" si="81"/>
        <v>2129087.4500000002</v>
      </c>
      <c r="BN57" s="49">
        <f t="shared" si="81"/>
        <v>2129087.4500000002</v>
      </c>
      <c r="BO57" s="49">
        <f t="shared" si="81"/>
        <v>2129087.4500000002</v>
      </c>
      <c r="BP57" s="49">
        <f t="shared" si="81"/>
        <v>2129087.4500000002</v>
      </c>
      <c r="BQ57" s="49">
        <f t="shared" si="81"/>
        <v>2129087.4500000002</v>
      </c>
      <c r="BR57" s="49">
        <f t="shared" si="81"/>
        <v>2129087.4500000002</v>
      </c>
      <c r="BS57" s="49">
        <f t="shared" si="81"/>
        <v>2129087.4500000002</v>
      </c>
      <c r="BT57" s="49">
        <f t="shared" si="81"/>
        <v>2129087.4500000002</v>
      </c>
      <c r="BU57" s="49">
        <f t="shared" si="81"/>
        <v>2129087.4500000002</v>
      </c>
      <c r="BV57" s="49">
        <f t="shared" si="81"/>
        <v>2129087.4500000002</v>
      </c>
      <c r="BW57" s="49">
        <f t="shared" si="81"/>
        <v>2129087.4500000002</v>
      </c>
      <c r="BX57" s="49">
        <f t="shared" si="81"/>
        <v>2129087.4500000002</v>
      </c>
      <c r="BY57" s="49">
        <f t="shared" ref="BY57:CP57" si="82">BY51*$D$57</f>
        <v>2129087.4500000002</v>
      </c>
      <c r="BZ57" s="49">
        <f t="shared" si="82"/>
        <v>2129087.4500000002</v>
      </c>
      <c r="CA57" s="49">
        <f t="shared" si="82"/>
        <v>2129087.4500000002</v>
      </c>
      <c r="CB57" s="49">
        <f t="shared" si="82"/>
        <v>2129087.4500000002</v>
      </c>
      <c r="CC57" s="49">
        <f t="shared" si="82"/>
        <v>2129087.4500000002</v>
      </c>
      <c r="CD57" s="49">
        <f t="shared" si="82"/>
        <v>2129087.4500000002</v>
      </c>
      <c r="CE57" s="49">
        <f t="shared" si="82"/>
        <v>2129087.4500000002</v>
      </c>
      <c r="CF57" s="49">
        <f t="shared" si="82"/>
        <v>2129087.4500000002</v>
      </c>
      <c r="CG57" s="49">
        <f t="shared" si="82"/>
        <v>2129087.4500000002</v>
      </c>
      <c r="CH57" s="49">
        <f t="shared" si="82"/>
        <v>2129087.4500000002</v>
      </c>
      <c r="CI57" s="49">
        <f t="shared" si="82"/>
        <v>2129087.4500000002</v>
      </c>
      <c r="CJ57" s="49">
        <f t="shared" si="82"/>
        <v>2129087.4500000002</v>
      </c>
      <c r="CK57" s="49">
        <f t="shared" si="82"/>
        <v>2129087.4500000002</v>
      </c>
      <c r="CL57" s="49">
        <f t="shared" si="82"/>
        <v>2129087.4500000002</v>
      </c>
      <c r="CM57" s="49">
        <f t="shared" si="82"/>
        <v>2129087.4500000002</v>
      </c>
      <c r="CN57" s="49">
        <f t="shared" si="82"/>
        <v>2129087.4500000002</v>
      </c>
      <c r="CO57" s="49">
        <f t="shared" si="82"/>
        <v>2129087.4500000002</v>
      </c>
      <c r="CP57" s="49">
        <f t="shared" si="82"/>
        <v>2129087.4500000002</v>
      </c>
      <c r="CQ57" s="108">
        <f t="shared" si="75"/>
        <v>168175455.03034195</v>
      </c>
    </row>
    <row r="58" spans="1:95">
      <c r="C58" s="102" t="s">
        <v>34</v>
      </c>
      <c r="D58" s="105"/>
      <c r="E58" s="49"/>
      <c r="F58" s="49"/>
      <c r="G58" s="49"/>
      <c r="H58" s="7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108">
        <f t="shared" si="75"/>
        <v>0</v>
      </c>
    </row>
    <row r="59" spans="1:95">
      <c r="C59" s="102" t="s">
        <v>35</v>
      </c>
      <c r="D59" s="105"/>
      <c r="E59" s="49"/>
      <c r="F59" s="49"/>
      <c r="G59" s="49"/>
      <c r="H59" s="7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108">
        <f t="shared" si="75"/>
        <v>0</v>
      </c>
    </row>
    <row r="60" spans="1:95">
      <c r="C60" s="102" t="s">
        <v>36</v>
      </c>
      <c r="D60" s="105"/>
      <c r="E60" s="49"/>
      <c r="F60" s="49"/>
      <c r="G60" s="49"/>
      <c r="H60" s="7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108">
        <f t="shared" si="75"/>
        <v>0</v>
      </c>
    </row>
    <row r="61" spans="1:95">
      <c r="C61" s="102" t="s">
        <v>37</v>
      </c>
      <c r="D61" s="105"/>
      <c r="E61" s="49"/>
      <c r="F61" s="49"/>
      <c r="G61" s="49"/>
      <c r="H61" s="7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108">
        <f t="shared" si="75"/>
        <v>0</v>
      </c>
    </row>
    <row r="62" spans="1:95" s="108" customFormat="1">
      <c r="A62" s="235">
        <f>D63+D64</f>
        <v>0.17599999999999999</v>
      </c>
      <c r="B62" s="236"/>
      <c r="C62" s="89" t="s">
        <v>309</v>
      </c>
      <c r="D62" s="106"/>
      <c r="E62" s="106"/>
      <c r="F62" s="106"/>
      <c r="G62" s="106"/>
      <c r="H62" s="107"/>
      <c r="I62" s="106"/>
      <c r="J62" s="106"/>
      <c r="K62" s="106"/>
      <c r="L62" s="106">
        <f>L63+L64+L65</f>
        <v>2982054</v>
      </c>
      <c r="M62" s="106">
        <f>M63+M64+M65</f>
        <v>4141742</v>
      </c>
      <c r="N62" s="106">
        <f t="shared" ref="N62:Q62" si="83">N63+N64+N65</f>
        <v>4141742</v>
      </c>
      <c r="O62" s="106">
        <f t="shared" si="83"/>
        <v>4286391</v>
      </c>
      <c r="P62" s="106">
        <f t="shared" si="83"/>
        <v>4286391</v>
      </c>
      <c r="Q62" s="106">
        <f t="shared" si="83"/>
        <v>4286391</v>
      </c>
      <c r="R62" s="106">
        <f t="shared" ref="R62" si="84">R63+R64+R65</f>
        <v>4286391</v>
      </c>
      <c r="S62" s="106">
        <f t="shared" ref="S62" si="85">S63+S64+S65</f>
        <v>4436103</v>
      </c>
      <c r="T62" s="106">
        <f t="shared" ref="T62" si="86">T63+T64+T65</f>
        <v>4436103</v>
      </c>
      <c r="U62" s="106">
        <f t="shared" ref="U62" si="87">U63+U64+U65</f>
        <v>4436103</v>
      </c>
      <c r="V62" s="106">
        <f t="shared" ref="V62" si="88">V63+V64+V65</f>
        <v>4436103</v>
      </c>
      <c r="W62" s="106">
        <f t="shared" ref="W62" si="89">W63+W64+W65</f>
        <v>4591056</v>
      </c>
      <c r="X62" s="106">
        <f t="shared" ref="X62" si="90">X63+X64+X65</f>
        <v>4591056</v>
      </c>
      <c r="Y62" s="106">
        <f t="shared" ref="Y62" si="91">Y63+Y64+Y65</f>
        <v>4591056</v>
      </c>
      <c r="Z62" s="106">
        <f t="shared" ref="Z62" si="92">Z63+Z64+Z65</f>
        <v>4591056</v>
      </c>
      <c r="AA62" s="106">
        <f t="shared" ref="AA62" si="93">AA63+AA64+AA65</f>
        <v>4751431</v>
      </c>
      <c r="AB62" s="106">
        <f t="shared" ref="AB62" si="94">AB63+AB64+AB65</f>
        <v>4751431</v>
      </c>
      <c r="AC62" s="106">
        <f t="shared" ref="AC62" si="95">AC63+AC64+AC65</f>
        <v>4751431</v>
      </c>
      <c r="AD62" s="106">
        <f t="shared" ref="AD62" si="96">AD63+AD64+AD65</f>
        <v>4751431</v>
      </c>
      <c r="AE62" s="106">
        <f t="shared" ref="AE62" si="97">AE63+AE64+AE65</f>
        <v>4917419</v>
      </c>
      <c r="AF62" s="106">
        <f t="shared" ref="AF62" si="98">AF63+AF64+AF65</f>
        <v>4917419</v>
      </c>
      <c r="AG62" s="106">
        <f t="shared" ref="AG62" si="99">AG63+AG64+AG65</f>
        <v>4917419</v>
      </c>
      <c r="AH62" s="106">
        <f t="shared" ref="AH62" si="100">AH63+AH64+AH65</f>
        <v>4917419</v>
      </c>
      <c r="AI62" s="106">
        <f t="shared" ref="AI62" si="101">AI63+AI64+AI65</f>
        <v>5089217</v>
      </c>
      <c r="AJ62" s="106">
        <f t="shared" ref="AJ62" si="102">AJ63+AJ64+AJ65</f>
        <v>5089217</v>
      </c>
      <c r="AK62" s="106">
        <f t="shared" ref="AK62" si="103">AK63+AK64+AK65</f>
        <v>5089217</v>
      </c>
      <c r="AL62" s="106">
        <f t="shared" ref="AL62" si="104">AL63+AL64+AL65</f>
        <v>5089217</v>
      </c>
      <c r="AM62" s="106">
        <f t="shared" ref="AM62" si="105">AM63+AM64+AM65</f>
        <v>5267028</v>
      </c>
      <c r="AN62" s="106">
        <f t="shared" ref="AN62" si="106">AN63+AN64+AN65</f>
        <v>5267028</v>
      </c>
      <c r="AO62" s="106">
        <f t="shared" ref="AO62" si="107">AO63+AO64+AO65</f>
        <v>5267028</v>
      </c>
      <c r="AP62" s="106">
        <f t="shared" ref="AP62" si="108">AP63+AP64+AP65</f>
        <v>5267028</v>
      </c>
      <c r="AQ62" s="106">
        <f t="shared" ref="AQ62" si="109">AQ63+AQ64+AQ65</f>
        <v>5267028</v>
      </c>
      <c r="AR62" s="106">
        <f t="shared" ref="AR62" si="110">AR63+AR64+AR65</f>
        <v>5267028</v>
      </c>
      <c r="AS62" s="106">
        <f t="shared" ref="AS62" si="111">AS63+AS64+AS65</f>
        <v>5267028</v>
      </c>
      <c r="AT62" s="106">
        <f t="shared" ref="AT62" si="112">AT63+AT64+AT65</f>
        <v>4930509</v>
      </c>
      <c r="AU62" s="106">
        <f t="shared" ref="AU62" si="113">AU63+AU64+AU65</f>
        <v>4930509</v>
      </c>
      <c r="AV62" s="106">
        <f t="shared" ref="AV62" si="114">AV63+AV64+AV65</f>
        <v>4930509</v>
      </c>
      <c r="AW62" s="106">
        <f t="shared" ref="AW62" si="115">AW63+AW64+AW65</f>
        <v>4930509</v>
      </c>
      <c r="AX62" s="106">
        <f t="shared" ref="AX62" si="116">AX63+AX64+AX65</f>
        <v>5127373</v>
      </c>
      <c r="AY62" s="106">
        <f t="shared" ref="AY62" si="117">AY63+AY64+AY65</f>
        <v>5127373</v>
      </c>
      <c r="AZ62" s="106">
        <f t="shared" ref="AZ62" si="118">AZ63+AZ64+AZ65</f>
        <v>5127373</v>
      </c>
      <c r="BA62" s="106">
        <f t="shared" ref="BA62" si="119">BA63+BA64+BA65</f>
        <v>5127373</v>
      </c>
      <c r="BB62" s="106">
        <f t="shared" ref="BB62" si="120">BB63+BB64+BB65</f>
        <v>5280927</v>
      </c>
      <c r="BC62" s="106">
        <f t="shared" ref="BC62" si="121">BC63+BC64+BC65</f>
        <v>5280927</v>
      </c>
      <c r="BD62" s="106">
        <f t="shared" ref="BD62" si="122">BD63+BD64+BD65</f>
        <v>5280927</v>
      </c>
      <c r="BE62" s="106">
        <f t="shared" ref="BE62" si="123">BE63+BE64+BE65</f>
        <v>5280927</v>
      </c>
      <c r="BF62" s="106">
        <f t="shared" ref="BF62" si="124">BF63+BF64+BF65</f>
        <v>5280927</v>
      </c>
      <c r="BG62" s="106">
        <f t="shared" ref="BG62" si="125">BG63+BG64+BG65</f>
        <v>5280927</v>
      </c>
      <c r="BH62" s="106">
        <f t="shared" ref="BH62" si="126">BH63+BH64+BH65</f>
        <v>5280927</v>
      </c>
      <c r="BI62" s="106">
        <f t="shared" ref="BI62" si="127">BI63+BI64+BI65</f>
        <v>5280927</v>
      </c>
      <c r="BJ62" s="106">
        <f t="shared" ref="BJ62" si="128">BJ63+BJ64+BJ65</f>
        <v>5280927</v>
      </c>
      <c r="BK62" s="106">
        <f t="shared" ref="BK62" si="129">BK63+BK64+BK65</f>
        <v>5280927</v>
      </c>
      <c r="BL62" s="106">
        <f t="shared" ref="BL62" si="130">BL63+BL64+BL65</f>
        <v>5280927</v>
      </c>
      <c r="BM62" s="106">
        <f t="shared" ref="BM62" si="131">BM63+BM64+BM65</f>
        <v>5280927</v>
      </c>
      <c r="BN62" s="106">
        <f t="shared" ref="BN62" si="132">BN63+BN64+BN65</f>
        <v>5280927</v>
      </c>
      <c r="BO62" s="106">
        <f t="shared" ref="BO62" si="133">BO63+BO64+BO65</f>
        <v>5280927</v>
      </c>
      <c r="BP62" s="106">
        <f t="shared" ref="BP62" si="134">BP63+BP64+BP65</f>
        <v>5280927</v>
      </c>
      <c r="BQ62" s="106">
        <f t="shared" ref="BQ62" si="135">BQ63+BQ64+BQ65</f>
        <v>5280927</v>
      </c>
      <c r="BR62" s="106">
        <f t="shared" ref="BR62" si="136">BR63+BR64+BR65</f>
        <v>5280927</v>
      </c>
      <c r="BS62" s="106">
        <f t="shared" ref="BS62" si="137">BS63+BS64+BS65</f>
        <v>5280927</v>
      </c>
      <c r="BT62" s="106">
        <f t="shared" ref="BT62" si="138">BT63+BT64+BT65</f>
        <v>5280927</v>
      </c>
      <c r="BU62" s="106">
        <f t="shared" ref="BU62" si="139">BU63+BU64+BU65</f>
        <v>5280927</v>
      </c>
      <c r="BV62" s="106">
        <f t="shared" ref="BV62" si="140">BV63+BV64+BV65</f>
        <v>5280927</v>
      </c>
      <c r="BW62" s="106">
        <f t="shared" ref="BW62" si="141">BW63+BW64+BW65</f>
        <v>5280927</v>
      </c>
      <c r="BX62" s="106">
        <f t="shared" ref="BX62" si="142">BX63+BX64+BX65</f>
        <v>5280927</v>
      </c>
      <c r="BY62" s="106">
        <f t="shared" ref="BY62" si="143">BY63+BY64+BY65</f>
        <v>5280927</v>
      </c>
      <c r="BZ62" s="106">
        <f t="shared" ref="BZ62" si="144">BZ63+BZ64+BZ65</f>
        <v>5280927</v>
      </c>
      <c r="CA62" s="106">
        <f t="shared" ref="CA62" si="145">CA63+CA64+CA65</f>
        <v>5280927</v>
      </c>
      <c r="CB62" s="106">
        <f t="shared" ref="CB62" si="146">CB63+CB64+CB65</f>
        <v>5280927</v>
      </c>
      <c r="CC62" s="106">
        <f t="shared" ref="CC62" si="147">CC63+CC64+CC65</f>
        <v>5280927</v>
      </c>
      <c r="CD62" s="106">
        <f t="shared" ref="CD62" si="148">CD63+CD64+CD65</f>
        <v>5280927</v>
      </c>
      <c r="CE62" s="106">
        <f t="shared" ref="CE62" si="149">CE63+CE64+CE65</f>
        <v>5280927</v>
      </c>
      <c r="CF62" s="106">
        <f t="shared" ref="CF62" si="150">CF63+CF64+CF65</f>
        <v>5280927</v>
      </c>
      <c r="CG62" s="106">
        <f t="shared" ref="CG62" si="151">CG63+CG64+CG65</f>
        <v>5280927</v>
      </c>
      <c r="CH62" s="106">
        <f t="shared" ref="CH62" si="152">CH63+CH64+CH65</f>
        <v>5280927</v>
      </c>
      <c r="CI62" s="106">
        <f t="shared" ref="CI62" si="153">CI63+CI64+CI65</f>
        <v>5280927</v>
      </c>
      <c r="CJ62" s="106">
        <f t="shared" ref="CJ62" si="154">CJ63+CJ64+CJ65</f>
        <v>5280927</v>
      </c>
      <c r="CK62" s="106">
        <f t="shared" ref="CK62" si="155">CK63+CK64+CK65</f>
        <v>5280927</v>
      </c>
      <c r="CL62" s="106">
        <f t="shared" ref="CL62" si="156">CL63+CL64+CL65</f>
        <v>5280927</v>
      </c>
      <c r="CM62" s="106">
        <f t="shared" ref="CM62" si="157">CM63+CM64+CM65</f>
        <v>5280927</v>
      </c>
      <c r="CN62" s="106">
        <f t="shared" ref="CN62" si="158">CN63+CN64+CN65</f>
        <v>5280927</v>
      </c>
      <c r="CO62" s="106">
        <f t="shared" ref="CO62" si="159">CO63+CO64+CO65</f>
        <v>5280927</v>
      </c>
      <c r="CP62" s="106">
        <f t="shared" ref="CP62" si="160">CP63+CP64+CP65</f>
        <v>5280927</v>
      </c>
      <c r="CQ62" s="108">
        <f t="shared" si="75"/>
        <v>417170737</v>
      </c>
    </row>
    <row r="63" spans="1:95">
      <c r="C63" s="88" t="s">
        <v>294</v>
      </c>
      <c r="D63" s="111">
        <v>0.12</v>
      </c>
      <c r="E63" s="49"/>
      <c r="F63" s="49"/>
      <c r="G63" s="49"/>
      <c r="H63" s="79"/>
      <c r="I63" s="49"/>
      <c r="J63" s="49"/>
      <c r="K63" s="49"/>
      <c r="L63" s="49">
        <f>ROUND(L51*$D$63,0)</f>
        <v>2060062</v>
      </c>
      <c r="M63" s="49">
        <f>ROUND(M51*$D$63,0)</f>
        <v>2861198</v>
      </c>
      <c r="N63" s="49">
        <f t="shared" ref="N63:Q63" si="161">ROUND(N51*$D$63,0)</f>
        <v>2861198</v>
      </c>
      <c r="O63" s="49">
        <f t="shared" si="161"/>
        <v>2961339</v>
      </c>
      <c r="P63" s="49">
        <f t="shared" si="161"/>
        <v>2961339</v>
      </c>
      <c r="Q63" s="49">
        <f t="shared" si="161"/>
        <v>2961339</v>
      </c>
      <c r="R63" s="49">
        <f t="shared" ref="R63:CC63" si="162">ROUND(R51*$D$63,0)</f>
        <v>2961339</v>
      </c>
      <c r="S63" s="49">
        <f t="shared" si="162"/>
        <v>3064986</v>
      </c>
      <c r="T63" s="49">
        <f t="shared" si="162"/>
        <v>3064986</v>
      </c>
      <c r="U63" s="49">
        <f t="shared" si="162"/>
        <v>3064986</v>
      </c>
      <c r="V63" s="49">
        <f t="shared" si="162"/>
        <v>3064986</v>
      </c>
      <c r="W63" s="49">
        <f t="shared" si="162"/>
        <v>3172261</v>
      </c>
      <c r="X63" s="49">
        <f t="shared" si="162"/>
        <v>3172261</v>
      </c>
      <c r="Y63" s="49">
        <f t="shared" si="162"/>
        <v>3172261</v>
      </c>
      <c r="Z63" s="49">
        <f t="shared" si="162"/>
        <v>3172261</v>
      </c>
      <c r="AA63" s="49">
        <f t="shared" si="162"/>
        <v>3283290</v>
      </c>
      <c r="AB63" s="49">
        <f t="shared" si="162"/>
        <v>3283290</v>
      </c>
      <c r="AC63" s="49">
        <f t="shared" si="162"/>
        <v>3283290</v>
      </c>
      <c r="AD63" s="49">
        <f t="shared" si="162"/>
        <v>3283290</v>
      </c>
      <c r="AE63" s="49">
        <f t="shared" si="162"/>
        <v>3398205</v>
      </c>
      <c r="AF63" s="49">
        <f t="shared" si="162"/>
        <v>3398205</v>
      </c>
      <c r="AG63" s="49">
        <f t="shared" si="162"/>
        <v>3398205</v>
      </c>
      <c r="AH63" s="49">
        <f t="shared" si="162"/>
        <v>3398205</v>
      </c>
      <c r="AI63" s="49">
        <f t="shared" si="162"/>
        <v>3517142</v>
      </c>
      <c r="AJ63" s="49">
        <f t="shared" si="162"/>
        <v>3517142</v>
      </c>
      <c r="AK63" s="49">
        <f t="shared" si="162"/>
        <v>3517142</v>
      </c>
      <c r="AL63" s="49">
        <f t="shared" si="162"/>
        <v>3517142</v>
      </c>
      <c r="AM63" s="49">
        <f t="shared" si="162"/>
        <v>3640242</v>
      </c>
      <c r="AN63" s="49">
        <f t="shared" si="162"/>
        <v>3640242</v>
      </c>
      <c r="AO63" s="49">
        <f t="shared" si="162"/>
        <v>3640242</v>
      </c>
      <c r="AP63" s="49">
        <f t="shared" si="162"/>
        <v>3640242</v>
      </c>
      <c r="AQ63" s="49">
        <f t="shared" si="162"/>
        <v>3640242</v>
      </c>
      <c r="AR63" s="49">
        <f t="shared" si="162"/>
        <v>3640242</v>
      </c>
      <c r="AS63" s="49">
        <f t="shared" si="162"/>
        <v>3640242</v>
      </c>
      <c r="AT63" s="49">
        <f t="shared" si="162"/>
        <v>3407267</v>
      </c>
      <c r="AU63" s="49">
        <f t="shared" si="162"/>
        <v>3407267</v>
      </c>
      <c r="AV63" s="49">
        <f t="shared" si="162"/>
        <v>3407267</v>
      </c>
      <c r="AW63" s="49">
        <f t="shared" si="162"/>
        <v>3407267</v>
      </c>
      <c r="AX63" s="49">
        <f t="shared" si="162"/>
        <v>3543558</v>
      </c>
      <c r="AY63" s="49">
        <f t="shared" si="162"/>
        <v>3543558</v>
      </c>
      <c r="AZ63" s="49">
        <f t="shared" si="162"/>
        <v>3543558</v>
      </c>
      <c r="BA63" s="49">
        <f t="shared" si="162"/>
        <v>3543558</v>
      </c>
      <c r="BB63" s="49">
        <f t="shared" si="162"/>
        <v>3649864</v>
      </c>
      <c r="BC63" s="49">
        <f t="shared" si="162"/>
        <v>3649864</v>
      </c>
      <c r="BD63" s="49">
        <f t="shared" si="162"/>
        <v>3649864</v>
      </c>
      <c r="BE63" s="49">
        <f t="shared" si="162"/>
        <v>3649864</v>
      </c>
      <c r="BF63" s="49">
        <f t="shared" si="162"/>
        <v>3649864</v>
      </c>
      <c r="BG63" s="49">
        <f t="shared" si="162"/>
        <v>3649864</v>
      </c>
      <c r="BH63" s="49">
        <f t="shared" si="162"/>
        <v>3649864</v>
      </c>
      <c r="BI63" s="49">
        <f t="shared" si="162"/>
        <v>3649864</v>
      </c>
      <c r="BJ63" s="49">
        <f t="shared" si="162"/>
        <v>3649864</v>
      </c>
      <c r="BK63" s="49">
        <f t="shared" si="162"/>
        <v>3649864</v>
      </c>
      <c r="BL63" s="49">
        <f t="shared" si="162"/>
        <v>3649864</v>
      </c>
      <c r="BM63" s="49">
        <f t="shared" si="162"/>
        <v>3649864</v>
      </c>
      <c r="BN63" s="49">
        <f t="shared" si="162"/>
        <v>3649864</v>
      </c>
      <c r="BO63" s="49">
        <f t="shared" si="162"/>
        <v>3649864</v>
      </c>
      <c r="BP63" s="49">
        <f t="shared" si="162"/>
        <v>3649864</v>
      </c>
      <c r="BQ63" s="49">
        <f t="shared" si="162"/>
        <v>3649864</v>
      </c>
      <c r="BR63" s="49">
        <f t="shared" si="162"/>
        <v>3649864</v>
      </c>
      <c r="BS63" s="49">
        <f t="shared" si="162"/>
        <v>3649864</v>
      </c>
      <c r="BT63" s="49">
        <f t="shared" si="162"/>
        <v>3649864</v>
      </c>
      <c r="BU63" s="49">
        <f t="shared" si="162"/>
        <v>3649864</v>
      </c>
      <c r="BV63" s="49">
        <f t="shared" si="162"/>
        <v>3649864</v>
      </c>
      <c r="BW63" s="49">
        <f t="shared" si="162"/>
        <v>3649864</v>
      </c>
      <c r="BX63" s="49">
        <f t="shared" si="162"/>
        <v>3649864</v>
      </c>
      <c r="BY63" s="49">
        <f t="shared" si="162"/>
        <v>3649864</v>
      </c>
      <c r="BZ63" s="49">
        <f t="shared" si="162"/>
        <v>3649864</v>
      </c>
      <c r="CA63" s="49">
        <f t="shared" si="162"/>
        <v>3649864</v>
      </c>
      <c r="CB63" s="49">
        <f t="shared" si="162"/>
        <v>3649864</v>
      </c>
      <c r="CC63" s="49">
        <f t="shared" si="162"/>
        <v>3649864</v>
      </c>
      <c r="CD63" s="49">
        <f t="shared" ref="CD63:CP63" si="163">ROUND(CD51*$D$63,0)</f>
        <v>3649864</v>
      </c>
      <c r="CE63" s="49">
        <f t="shared" si="163"/>
        <v>3649864</v>
      </c>
      <c r="CF63" s="49">
        <f t="shared" si="163"/>
        <v>3649864</v>
      </c>
      <c r="CG63" s="49">
        <f t="shared" si="163"/>
        <v>3649864</v>
      </c>
      <c r="CH63" s="49">
        <f t="shared" si="163"/>
        <v>3649864</v>
      </c>
      <c r="CI63" s="49">
        <f t="shared" si="163"/>
        <v>3649864</v>
      </c>
      <c r="CJ63" s="49">
        <f t="shared" si="163"/>
        <v>3649864</v>
      </c>
      <c r="CK63" s="49">
        <f t="shared" si="163"/>
        <v>3649864</v>
      </c>
      <c r="CL63" s="49">
        <f t="shared" si="163"/>
        <v>3649864</v>
      </c>
      <c r="CM63" s="49">
        <f t="shared" si="163"/>
        <v>3649864</v>
      </c>
      <c r="CN63" s="49">
        <f t="shared" si="163"/>
        <v>3649864</v>
      </c>
      <c r="CO63" s="49">
        <f t="shared" si="163"/>
        <v>3649864</v>
      </c>
      <c r="CP63" s="49">
        <f t="shared" si="163"/>
        <v>3649864</v>
      </c>
      <c r="CQ63" s="108">
        <f t="shared" si="75"/>
        <v>288300768</v>
      </c>
    </row>
    <row r="64" spans="1:95">
      <c r="C64" s="88" t="s">
        <v>295</v>
      </c>
      <c r="D64" s="105">
        <v>5.6000000000000001E-2</v>
      </c>
      <c r="E64" s="49"/>
      <c r="F64" s="49"/>
      <c r="G64" s="49"/>
      <c r="H64" s="79"/>
      <c r="I64" s="49"/>
      <c r="J64" s="49"/>
      <c r="K64" s="49"/>
      <c r="L64" s="49">
        <f>ROUND(L51*$D$64/(1+5%),0)</f>
        <v>915583</v>
      </c>
      <c r="M64" s="49">
        <f>ROUND(M51*$D$64/(1+5%),0)</f>
        <v>1271643</v>
      </c>
      <c r="N64" s="49">
        <f t="shared" ref="N64:Q64" si="164">ROUND(N51*$D$64/(1+5%),0)</f>
        <v>1271643</v>
      </c>
      <c r="O64" s="49">
        <f t="shared" si="164"/>
        <v>1316151</v>
      </c>
      <c r="P64" s="49">
        <f t="shared" si="164"/>
        <v>1316151</v>
      </c>
      <c r="Q64" s="49">
        <f t="shared" si="164"/>
        <v>1316151</v>
      </c>
      <c r="R64" s="49">
        <f t="shared" ref="R64:CC64" si="165">ROUND(R51*$D$64/(1+5%),0)</f>
        <v>1316151</v>
      </c>
      <c r="S64" s="49">
        <f t="shared" si="165"/>
        <v>1362216</v>
      </c>
      <c r="T64" s="49">
        <f t="shared" si="165"/>
        <v>1362216</v>
      </c>
      <c r="U64" s="49">
        <f t="shared" si="165"/>
        <v>1362216</v>
      </c>
      <c r="V64" s="49">
        <f t="shared" si="165"/>
        <v>1362216</v>
      </c>
      <c r="W64" s="49">
        <f t="shared" si="165"/>
        <v>1409894</v>
      </c>
      <c r="X64" s="49">
        <f t="shared" si="165"/>
        <v>1409894</v>
      </c>
      <c r="Y64" s="49">
        <f t="shared" si="165"/>
        <v>1409894</v>
      </c>
      <c r="Z64" s="49">
        <f t="shared" si="165"/>
        <v>1409894</v>
      </c>
      <c r="AA64" s="49">
        <f t="shared" si="165"/>
        <v>1459240</v>
      </c>
      <c r="AB64" s="49">
        <f t="shared" si="165"/>
        <v>1459240</v>
      </c>
      <c r="AC64" s="49">
        <f t="shared" si="165"/>
        <v>1459240</v>
      </c>
      <c r="AD64" s="49">
        <f t="shared" si="165"/>
        <v>1459240</v>
      </c>
      <c r="AE64" s="49">
        <f t="shared" si="165"/>
        <v>1510313</v>
      </c>
      <c r="AF64" s="49">
        <f t="shared" si="165"/>
        <v>1510313</v>
      </c>
      <c r="AG64" s="49">
        <f t="shared" si="165"/>
        <v>1510313</v>
      </c>
      <c r="AH64" s="49">
        <f t="shared" si="165"/>
        <v>1510313</v>
      </c>
      <c r="AI64" s="49">
        <f t="shared" si="165"/>
        <v>1563174</v>
      </c>
      <c r="AJ64" s="49">
        <f t="shared" si="165"/>
        <v>1563174</v>
      </c>
      <c r="AK64" s="49">
        <f t="shared" si="165"/>
        <v>1563174</v>
      </c>
      <c r="AL64" s="49">
        <f t="shared" si="165"/>
        <v>1563174</v>
      </c>
      <c r="AM64" s="49">
        <f t="shared" si="165"/>
        <v>1617885</v>
      </c>
      <c r="AN64" s="49">
        <f t="shared" si="165"/>
        <v>1617885</v>
      </c>
      <c r="AO64" s="49">
        <f t="shared" si="165"/>
        <v>1617885</v>
      </c>
      <c r="AP64" s="49">
        <f t="shared" si="165"/>
        <v>1617885</v>
      </c>
      <c r="AQ64" s="49">
        <f t="shared" si="165"/>
        <v>1617885</v>
      </c>
      <c r="AR64" s="49">
        <f t="shared" si="165"/>
        <v>1617885</v>
      </c>
      <c r="AS64" s="49">
        <f t="shared" si="165"/>
        <v>1617885</v>
      </c>
      <c r="AT64" s="49">
        <f t="shared" si="165"/>
        <v>1514341</v>
      </c>
      <c r="AU64" s="49">
        <f t="shared" si="165"/>
        <v>1514341</v>
      </c>
      <c r="AV64" s="49">
        <f t="shared" si="165"/>
        <v>1514341</v>
      </c>
      <c r="AW64" s="49">
        <f t="shared" si="165"/>
        <v>1514341</v>
      </c>
      <c r="AX64" s="49">
        <f t="shared" si="165"/>
        <v>1574914</v>
      </c>
      <c r="AY64" s="49">
        <f t="shared" si="165"/>
        <v>1574914</v>
      </c>
      <c r="AZ64" s="49">
        <f t="shared" si="165"/>
        <v>1574914</v>
      </c>
      <c r="BA64" s="49">
        <f t="shared" si="165"/>
        <v>1574914</v>
      </c>
      <c r="BB64" s="49">
        <f t="shared" si="165"/>
        <v>1622162</v>
      </c>
      <c r="BC64" s="49">
        <f t="shared" si="165"/>
        <v>1622162</v>
      </c>
      <c r="BD64" s="49">
        <f t="shared" si="165"/>
        <v>1622162</v>
      </c>
      <c r="BE64" s="49">
        <f t="shared" si="165"/>
        <v>1622162</v>
      </c>
      <c r="BF64" s="49">
        <f t="shared" si="165"/>
        <v>1622162</v>
      </c>
      <c r="BG64" s="49">
        <f t="shared" si="165"/>
        <v>1622162</v>
      </c>
      <c r="BH64" s="49">
        <f t="shared" si="165"/>
        <v>1622162</v>
      </c>
      <c r="BI64" s="49">
        <f t="shared" si="165"/>
        <v>1622162</v>
      </c>
      <c r="BJ64" s="49">
        <f t="shared" si="165"/>
        <v>1622162</v>
      </c>
      <c r="BK64" s="49">
        <f t="shared" si="165"/>
        <v>1622162</v>
      </c>
      <c r="BL64" s="49">
        <f t="shared" si="165"/>
        <v>1622162</v>
      </c>
      <c r="BM64" s="49">
        <f t="shared" si="165"/>
        <v>1622162</v>
      </c>
      <c r="BN64" s="49">
        <f t="shared" si="165"/>
        <v>1622162</v>
      </c>
      <c r="BO64" s="49">
        <f t="shared" si="165"/>
        <v>1622162</v>
      </c>
      <c r="BP64" s="49">
        <f t="shared" si="165"/>
        <v>1622162</v>
      </c>
      <c r="BQ64" s="49">
        <f t="shared" si="165"/>
        <v>1622162</v>
      </c>
      <c r="BR64" s="49">
        <f t="shared" si="165"/>
        <v>1622162</v>
      </c>
      <c r="BS64" s="49">
        <f t="shared" si="165"/>
        <v>1622162</v>
      </c>
      <c r="BT64" s="49">
        <f t="shared" si="165"/>
        <v>1622162</v>
      </c>
      <c r="BU64" s="49">
        <f t="shared" si="165"/>
        <v>1622162</v>
      </c>
      <c r="BV64" s="49">
        <f t="shared" si="165"/>
        <v>1622162</v>
      </c>
      <c r="BW64" s="49">
        <f t="shared" si="165"/>
        <v>1622162</v>
      </c>
      <c r="BX64" s="49">
        <f t="shared" si="165"/>
        <v>1622162</v>
      </c>
      <c r="BY64" s="49">
        <f t="shared" si="165"/>
        <v>1622162</v>
      </c>
      <c r="BZ64" s="49">
        <f t="shared" si="165"/>
        <v>1622162</v>
      </c>
      <c r="CA64" s="49">
        <f t="shared" si="165"/>
        <v>1622162</v>
      </c>
      <c r="CB64" s="49">
        <f t="shared" si="165"/>
        <v>1622162</v>
      </c>
      <c r="CC64" s="49">
        <f t="shared" si="165"/>
        <v>1622162</v>
      </c>
      <c r="CD64" s="49">
        <f t="shared" ref="CD64:CP64" si="166">ROUND(CD51*$D$64/(1+5%),0)</f>
        <v>1622162</v>
      </c>
      <c r="CE64" s="49">
        <f t="shared" si="166"/>
        <v>1622162</v>
      </c>
      <c r="CF64" s="49">
        <f t="shared" si="166"/>
        <v>1622162</v>
      </c>
      <c r="CG64" s="49">
        <f t="shared" si="166"/>
        <v>1622162</v>
      </c>
      <c r="CH64" s="49">
        <f t="shared" si="166"/>
        <v>1622162</v>
      </c>
      <c r="CI64" s="49">
        <f t="shared" si="166"/>
        <v>1622162</v>
      </c>
      <c r="CJ64" s="49">
        <f t="shared" si="166"/>
        <v>1622162</v>
      </c>
      <c r="CK64" s="49">
        <f t="shared" si="166"/>
        <v>1622162</v>
      </c>
      <c r="CL64" s="49">
        <f t="shared" si="166"/>
        <v>1622162</v>
      </c>
      <c r="CM64" s="49">
        <f t="shared" si="166"/>
        <v>1622162</v>
      </c>
      <c r="CN64" s="49">
        <f t="shared" si="166"/>
        <v>1622162</v>
      </c>
      <c r="CO64" s="49">
        <f t="shared" si="166"/>
        <v>1622162</v>
      </c>
      <c r="CP64" s="49">
        <f t="shared" si="166"/>
        <v>1622162</v>
      </c>
      <c r="CQ64" s="108">
        <f t="shared" si="75"/>
        <v>128133678</v>
      </c>
    </row>
    <row r="65" spans="3:95">
      <c r="C65" s="88" t="s">
        <v>308</v>
      </c>
      <c r="D65" s="49">
        <v>12</v>
      </c>
      <c r="E65" s="49">
        <f>基础数据!H6</f>
        <v>2967.11</v>
      </c>
      <c r="F65" s="49"/>
      <c r="G65" s="49"/>
      <c r="H65" s="79"/>
      <c r="I65" s="49"/>
      <c r="J65" s="49"/>
      <c r="K65" s="49"/>
      <c r="L65" s="49">
        <f>ROUND(E65*D65*取费表!B2,0)</f>
        <v>6409</v>
      </c>
      <c r="M65" s="51">
        <f>ROUND(E65*D65/4,0)</f>
        <v>8901</v>
      </c>
      <c r="N65" s="51">
        <f>M65</f>
        <v>8901</v>
      </c>
      <c r="O65" s="49">
        <f>N65</f>
        <v>8901</v>
      </c>
      <c r="P65" s="49">
        <f>O65</f>
        <v>8901</v>
      </c>
      <c r="Q65" s="49">
        <f>P65</f>
        <v>8901</v>
      </c>
      <c r="R65" s="49">
        <f t="shared" ref="R65:CC65" si="167">Q65</f>
        <v>8901</v>
      </c>
      <c r="S65" s="49">
        <f t="shared" si="167"/>
        <v>8901</v>
      </c>
      <c r="T65" s="49">
        <f t="shared" si="167"/>
        <v>8901</v>
      </c>
      <c r="U65" s="49">
        <f t="shared" si="167"/>
        <v>8901</v>
      </c>
      <c r="V65" s="49">
        <f t="shared" si="167"/>
        <v>8901</v>
      </c>
      <c r="W65" s="49">
        <f t="shared" si="167"/>
        <v>8901</v>
      </c>
      <c r="X65" s="49">
        <f t="shared" si="167"/>
        <v>8901</v>
      </c>
      <c r="Y65" s="49">
        <f t="shared" si="167"/>
        <v>8901</v>
      </c>
      <c r="Z65" s="49">
        <f t="shared" si="167"/>
        <v>8901</v>
      </c>
      <c r="AA65" s="49">
        <f t="shared" si="167"/>
        <v>8901</v>
      </c>
      <c r="AB65" s="49">
        <f t="shared" si="167"/>
        <v>8901</v>
      </c>
      <c r="AC65" s="49">
        <f t="shared" si="167"/>
        <v>8901</v>
      </c>
      <c r="AD65" s="49">
        <f t="shared" si="167"/>
        <v>8901</v>
      </c>
      <c r="AE65" s="49">
        <f t="shared" si="167"/>
        <v>8901</v>
      </c>
      <c r="AF65" s="49">
        <f t="shared" si="167"/>
        <v>8901</v>
      </c>
      <c r="AG65" s="49">
        <f t="shared" si="167"/>
        <v>8901</v>
      </c>
      <c r="AH65" s="49">
        <f t="shared" si="167"/>
        <v>8901</v>
      </c>
      <c r="AI65" s="49">
        <f t="shared" si="167"/>
        <v>8901</v>
      </c>
      <c r="AJ65" s="49">
        <f t="shared" si="167"/>
        <v>8901</v>
      </c>
      <c r="AK65" s="49">
        <f t="shared" si="167"/>
        <v>8901</v>
      </c>
      <c r="AL65" s="49">
        <f t="shared" si="167"/>
        <v>8901</v>
      </c>
      <c r="AM65" s="49">
        <f t="shared" si="167"/>
        <v>8901</v>
      </c>
      <c r="AN65" s="49">
        <f t="shared" si="167"/>
        <v>8901</v>
      </c>
      <c r="AO65" s="49">
        <f t="shared" si="167"/>
        <v>8901</v>
      </c>
      <c r="AP65" s="49">
        <f t="shared" si="167"/>
        <v>8901</v>
      </c>
      <c r="AQ65" s="49">
        <f t="shared" si="167"/>
        <v>8901</v>
      </c>
      <c r="AR65" s="49">
        <f t="shared" si="167"/>
        <v>8901</v>
      </c>
      <c r="AS65" s="49">
        <f t="shared" si="167"/>
        <v>8901</v>
      </c>
      <c r="AT65" s="49">
        <f t="shared" si="167"/>
        <v>8901</v>
      </c>
      <c r="AU65" s="49">
        <f t="shared" si="167"/>
        <v>8901</v>
      </c>
      <c r="AV65" s="49">
        <f t="shared" si="167"/>
        <v>8901</v>
      </c>
      <c r="AW65" s="49">
        <f t="shared" si="167"/>
        <v>8901</v>
      </c>
      <c r="AX65" s="49">
        <f t="shared" si="167"/>
        <v>8901</v>
      </c>
      <c r="AY65" s="49">
        <f t="shared" si="167"/>
        <v>8901</v>
      </c>
      <c r="AZ65" s="49">
        <f t="shared" si="167"/>
        <v>8901</v>
      </c>
      <c r="BA65" s="49">
        <f t="shared" si="167"/>
        <v>8901</v>
      </c>
      <c r="BB65" s="49">
        <f t="shared" si="167"/>
        <v>8901</v>
      </c>
      <c r="BC65" s="49">
        <f t="shared" si="167"/>
        <v>8901</v>
      </c>
      <c r="BD65" s="49">
        <f t="shared" si="167"/>
        <v>8901</v>
      </c>
      <c r="BE65" s="49">
        <f t="shared" si="167"/>
        <v>8901</v>
      </c>
      <c r="BF65" s="49">
        <f t="shared" si="167"/>
        <v>8901</v>
      </c>
      <c r="BG65" s="49">
        <f t="shared" si="167"/>
        <v>8901</v>
      </c>
      <c r="BH65" s="49">
        <f t="shared" si="167"/>
        <v>8901</v>
      </c>
      <c r="BI65" s="49">
        <f t="shared" si="167"/>
        <v>8901</v>
      </c>
      <c r="BJ65" s="49">
        <f t="shared" si="167"/>
        <v>8901</v>
      </c>
      <c r="BK65" s="49">
        <f t="shared" si="167"/>
        <v>8901</v>
      </c>
      <c r="BL65" s="49">
        <f t="shared" si="167"/>
        <v>8901</v>
      </c>
      <c r="BM65" s="49">
        <f t="shared" si="167"/>
        <v>8901</v>
      </c>
      <c r="BN65" s="49">
        <f t="shared" si="167"/>
        <v>8901</v>
      </c>
      <c r="BO65" s="49">
        <f t="shared" si="167"/>
        <v>8901</v>
      </c>
      <c r="BP65" s="49">
        <f t="shared" si="167"/>
        <v>8901</v>
      </c>
      <c r="BQ65" s="49">
        <f t="shared" si="167"/>
        <v>8901</v>
      </c>
      <c r="BR65" s="49">
        <f t="shared" si="167"/>
        <v>8901</v>
      </c>
      <c r="BS65" s="49">
        <f t="shared" si="167"/>
        <v>8901</v>
      </c>
      <c r="BT65" s="49">
        <f t="shared" si="167"/>
        <v>8901</v>
      </c>
      <c r="BU65" s="49">
        <f t="shared" si="167"/>
        <v>8901</v>
      </c>
      <c r="BV65" s="49">
        <f t="shared" si="167"/>
        <v>8901</v>
      </c>
      <c r="BW65" s="49">
        <f t="shared" si="167"/>
        <v>8901</v>
      </c>
      <c r="BX65" s="49">
        <f t="shared" si="167"/>
        <v>8901</v>
      </c>
      <c r="BY65" s="49">
        <f t="shared" si="167"/>
        <v>8901</v>
      </c>
      <c r="BZ65" s="49">
        <f t="shared" si="167"/>
        <v>8901</v>
      </c>
      <c r="CA65" s="49">
        <f t="shared" si="167"/>
        <v>8901</v>
      </c>
      <c r="CB65" s="49">
        <f t="shared" si="167"/>
        <v>8901</v>
      </c>
      <c r="CC65" s="49">
        <f t="shared" si="167"/>
        <v>8901</v>
      </c>
      <c r="CD65" s="49">
        <f t="shared" ref="CD65:CP65" si="168">CC65</f>
        <v>8901</v>
      </c>
      <c r="CE65" s="49">
        <f t="shared" si="168"/>
        <v>8901</v>
      </c>
      <c r="CF65" s="49">
        <f t="shared" si="168"/>
        <v>8901</v>
      </c>
      <c r="CG65" s="49">
        <f t="shared" si="168"/>
        <v>8901</v>
      </c>
      <c r="CH65" s="49">
        <f t="shared" si="168"/>
        <v>8901</v>
      </c>
      <c r="CI65" s="49">
        <f t="shared" si="168"/>
        <v>8901</v>
      </c>
      <c r="CJ65" s="49">
        <f t="shared" si="168"/>
        <v>8901</v>
      </c>
      <c r="CK65" s="49">
        <f t="shared" si="168"/>
        <v>8901</v>
      </c>
      <c r="CL65" s="49">
        <f t="shared" si="168"/>
        <v>8901</v>
      </c>
      <c r="CM65" s="49">
        <f t="shared" si="168"/>
        <v>8901</v>
      </c>
      <c r="CN65" s="49">
        <f t="shared" si="168"/>
        <v>8901</v>
      </c>
      <c r="CO65" s="49">
        <f t="shared" si="168"/>
        <v>8901</v>
      </c>
      <c r="CP65" s="49">
        <f t="shared" si="168"/>
        <v>8901</v>
      </c>
      <c r="CQ65" s="108">
        <f t="shared" si="75"/>
        <v>736291</v>
      </c>
    </row>
    <row r="66" spans="3:95">
      <c r="C66" s="101" t="s">
        <v>307</v>
      </c>
      <c r="D66" s="49"/>
      <c r="E66" s="49"/>
      <c r="F66" s="49"/>
      <c r="G66" s="49"/>
      <c r="H66" s="79"/>
      <c r="I66" s="49"/>
      <c r="J66" s="49"/>
      <c r="K66" s="49"/>
      <c r="L66" s="49">
        <f>L51-L55-L62</f>
        <v>12296741.539999999</v>
      </c>
      <c r="M66" s="49">
        <f>M51-M55-M62</f>
        <v>17078806.57</v>
      </c>
      <c r="N66" s="49">
        <f t="shared" ref="N66:BX66" si="169">N51-N55-N62</f>
        <v>17078806.57</v>
      </c>
      <c r="O66" s="49">
        <f t="shared" si="169"/>
        <v>17676876.769949999</v>
      </c>
      <c r="P66" s="49">
        <f t="shared" si="169"/>
        <v>17676876.769949999</v>
      </c>
      <c r="Q66" s="49">
        <f t="shared" si="169"/>
        <v>17676876.769949999</v>
      </c>
      <c r="R66" s="49">
        <f t="shared" si="169"/>
        <v>17676876.769949999</v>
      </c>
      <c r="S66" s="49">
        <f t="shared" si="169"/>
        <v>18295879.141898245</v>
      </c>
      <c r="T66" s="49">
        <f t="shared" si="169"/>
        <v>18295879.141898245</v>
      </c>
      <c r="U66" s="49">
        <f t="shared" si="169"/>
        <v>18295879.141898245</v>
      </c>
      <c r="V66" s="49">
        <f t="shared" si="169"/>
        <v>18295879.141898245</v>
      </c>
      <c r="W66" s="49">
        <f t="shared" si="169"/>
        <v>18936545.516864683</v>
      </c>
      <c r="X66" s="49">
        <f t="shared" si="169"/>
        <v>18936545.516864683</v>
      </c>
      <c r="Y66" s="49">
        <f t="shared" si="169"/>
        <v>18936545.516864683</v>
      </c>
      <c r="Z66" s="49">
        <f t="shared" si="169"/>
        <v>18936545.516864683</v>
      </c>
      <c r="AA66" s="49">
        <f t="shared" si="169"/>
        <v>19599636.569954947</v>
      </c>
      <c r="AB66" s="49">
        <f t="shared" si="169"/>
        <v>19599636.569954947</v>
      </c>
      <c r="AC66" s="49">
        <f t="shared" si="169"/>
        <v>19599636.569954947</v>
      </c>
      <c r="AD66" s="49">
        <f t="shared" si="169"/>
        <v>19599636.569954947</v>
      </c>
      <c r="AE66" s="49">
        <f t="shared" si="169"/>
        <v>20285935.934903365</v>
      </c>
      <c r="AF66" s="49">
        <f t="shared" si="169"/>
        <v>20285935.934903365</v>
      </c>
      <c r="AG66" s="49">
        <f t="shared" si="169"/>
        <v>20285935.934903365</v>
      </c>
      <c r="AH66" s="49">
        <f t="shared" si="169"/>
        <v>20285935.934903365</v>
      </c>
      <c r="AI66" s="49">
        <f t="shared" si="169"/>
        <v>20996255.357624982</v>
      </c>
      <c r="AJ66" s="49">
        <f t="shared" si="169"/>
        <v>20996255.357624982</v>
      </c>
      <c r="AK66" s="49">
        <f t="shared" si="169"/>
        <v>20996255.357624982</v>
      </c>
      <c r="AL66" s="49">
        <f t="shared" si="169"/>
        <v>20996255.357624982</v>
      </c>
      <c r="AM66" s="49">
        <f t="shared" si="169"/>
        <v>21731435.890141852</v>
      </c>
      <c r="AN66" s="49">
        <f t="shared" si="169"/>
        <v>21731435.890141852</v>
      </c>
      <c r="AO66" s="49">
        <f t="shared" si="169"/>
        <v>21731435.890141852</v>
      </c>
      <c r="AP66" s="49">
        <f t="shared" si="169"/>
        <v>21731435.890141852</v>
      </c>
      <c r="AQ66" s="49">
        <f t="shared" si="169"/>
        <v>21731435.890141852</v>
      </c>
      <c r="AR66" s="49">
        <f t="shared" si="169"/>
        <v>21731435.890141852</v>
      </c>
      <c r="AS66" s="49">
        <f t="shared" si="169"/>
        <v>21731435.890141852</v>
      </c>
      <c r="AT66" s="49">
        <f t="shared" si="169"/>
        <v>20340053.100000001</v>
      </c>
      <c r="AU66" s="49">
        <f t="shared" si="169"/>
        <v>20340053.100000001</v>
      </c>
      <c r="AV66" s="49">
        <f t="shared" si="169"/>
        <v>20340053.100000001</v>
      </c>
      <c r="AW66" s="49">
        <f t="shared" si="169"/>
        <v>20340053.100000001</v>
      </c>
      <c r="AX66" s="49">
        <f t="shared" si="169"/>
        <v>21154011.939999998</v>
      </c>
      <c r="AY66" s="49">
        <f t="shared" si="169"/>
        <v>21154011.939999998</v>
      </c>
      <c r="AZ66" s="49">
        <f t="shared" si="169"/>
        <v>21154011.939999998</v>
      </c>
      <c r="BA66" s="49">
        <f t="shared" si="169"/>
        <v>21154011.939999998</v>
      </c>
      <c r="BB66" s="49">
        <f t="shared" si="169"/>
        <v>21788899.149999999</v>
      </c>
      <c r="BC66" s="49">
        <f t="shared" si="169"/>
        <v>21788899.149999999</v>
      </c>
      <c r="BD66" s="49">
        <f t="shared" si="169"/>
        <v>21788899.149999999</v>
      </c>
      <c r="BE66" s="49">
        <f t="shared" si="169"/>
        <v>21788899.149999999</v>
      </c>
      <c r="BF66" s="49">
        <f t="shared" si="169"/>
        <v>21788899.149999999</v>
      </c>
      <c r="BG66" s="49">
        <f t="shared" si="169"/>
        <v>21788899.149999999</v>
      </c>
      <c r="BH66" s="49">
        <f t="shared" si="169"/>
        <v>21788899.149999999</v>
      </c>
      <c r="BI66" s="49">
        <f t="shared" si="169"/>
        <v>21788899.149999999</v>
      </c>
      <c r="BJ66" s="49">
        <f t="shared" si="169"/>
        <v>21788899.149999999</v>
      </c>
      <c r="BK66" s="49">
        <f t="shared" si="169"/>
        <v>21788899.149999999</v>
      </c>
      <c r="BL66" s="49">
        <f t="shared" si="169"/>
        <v>21788899.149999999</v>
      </c>
      <c r="BM66" s="49">
        <f t="shared" si="169"/>
        <v>21788899.149999999</v>
      </c>
      <c r="BN66" s="49">
        <f t="shared" si="169"/>
        <v>21788899.149999999</v>
      </c>
      <c r="BO66" s="49">
        <f t="shared" si="169"/>
        <v>21788899.149999999</v>
      </c>
      <c r="BP66" s="49">
        <f t="shared" si="169"/>
        <v>21788899.149999999</v>
      </c>
      <c r="BQ66" s="49">
        <f t="shared" si="169"/>
        <v>21788899.149999999</v>
      </c>
      <c r="BR66" s="49">
        <f t="shared" si="169"/>
        <v>21788899.149999999</v>
      </c>
      <c r="BS66" s="49">
        <f t="shared" si="169"/>
        <v>21788899.149999999</v>
      </c>
      <c r="BT66" s="49">
        <f t="shared" si="169"/>
        <v>21788899.149999999</v>
      </c>
      <c r="BU66" s="49">
        <f t="shared" si="169"/>
        <v>21788899.149999999</v>
      </c>
      <c r="BV66" s="49">
        <f t="shared" si="169"/>
        <v>21788899.149999999</v>
      </c>
      <c r="BW66" s="49">
        <f t="shared" si="169"/>
        <v>21788899.149999999</v>
      </c>
      <c r="BX66" s="49">
        <f t="shared" si="169"/>
        <v>21788899.149999999</v>
      </c>
      <c r="BY66" s="49">
        <f t="shared" ref="BY66:CP66" si="170">BY51-BY55-BY62</f>
        <v>21788899.149999999</v>
      </c>
      <c r="BZ66" s="49">
        <f t="shared" si="170"/>
        <v>21788899.149999999</v>
      </c>
      <c r="CA66" s="49">
        <f t="shared" si="170"/>
        <v>21788899.149999999</v>
      </c>
      <c r="CB66" s="49">
        <f t="shared" si="170"/>
        <v>21788899.149999999</v>
      </c>
      <c r="CC66" s="49">
        <f t="shared" si="170"/>
        <v>21788899.149999999</v>
      </c>
      <c r="CD66" s="49">
        <f t="shared" si="170"/>
        <v>21788899.149999999</v>
      </c>
      <c r="CE66" s="49">
        <f t="shared" si="170"/>
        <v>21788899.149999999</v>
      </c>
      <c r="CF66" s="49">
        <f t="shared" si="170"/>
        <v>21788899.149999999</v>
      </c>
      <c r="CG66" s="49">
        <f t="shared" si="170"/>
        <v>21788899.149999999</v>
      </c>
      <c r="CH66" s="49">
        <f t="shared" si="170"/>
        <v>21788899.149999999</v>
      </c>
      <c r="CI66" s="49">
        <f t="shared" si="170"/>
        <v>21788899.149999999</v>
      </c>
      <c r="CJ66" s="49">
        <f t="shared" si="170"/>
        <v>21788899.149999999</v>
      </c>
      <c r="CK66" s="49">
        <f t="shared" si="170"/>
        <v>21788899.149999999</v>
      </c>
      <c r="CL66" s="49">
        <f t="shared" si="170"/>
        <v>21788899.149999999</v>
      </c>
      <c r="CM66" s="49">
        <f t="shared" si="170"/>
        <v>21788899.149999999</v>
      </c>
      <c r="CN66" s="49">
        <f t="shared" si="170"/>
        <v>21788899.149999999</v>
      </c>
      <c r="CO66" s="49">
        <f t="shared" si="170"/>
        <v>21788899.149999999</v>
      </c>
      <c r="CP66" s="49">
        <f t="shared" si="170"/>
        <v>21788899.149999999</v>
      </c>
      <c r="CQ66" s="108">
        <f t="shared" si="75"/>
        <v>1721060048.3857808</v>
      </c>
    </row>
    <row r="67" spans="3:95">
      <c r="C67" s="88" t="s">
        <v>296</v>
      </c>
      <c r="D67" s="49"/>
      <c r="E67" s="49"/>
      <c r="F67" s="49"/>
      <c r="G67" s="49"/>
      <c r="H67" s="79"/>
      <c r="I67" s="49"/>
      <c r="J67" s="49"/>
      <c r="K67" s="49"/>
      <c r="L67" s="49">
        <f>L66</f>
        <v>12296741.539999999</v>
      </c>
      <c r="M67" s="225">
        <f>M66+N66+O66+P66</f>
        <v>69511366.679900005</v>
      </c>
      <c r="N67" s="226"/>
      <c r="O67" s="226"/>
      <c r="P67" s="227"/>
      <c r="Q67" s="225">
        <f>Q66+R66+S66+T66</f>
        <v>71945511.823696494</v>
      </c>
      <c r="R67" s="226"/>
      <c r="S67" s="226"/>
      <c r="T67" s="227"/>
      <c r="U67" s="225">
        <f>U66+V66+W66+X66</f>
        <v>74464849.317525864</v>
      </c>
      <c r="V67" s="226"/>
      <c r="W67" s="226"/>
      <c r="X67" s="227"/>
      <c r="Y67" s="225">
        <f t="shared" ref="Y67" si="171">Y66+Z66+AA66+AB66</f>
        <v>77072364.173639268</v>
      </c>
      <c r="Z67" s="226"/>
      <c r="AA67" s="226"/>
      <c r="AB67" s="227"/>
      <c r="AC67" s="225">
        <f t="shared" ref="AC67" si="172">AC66+AD66+AE66+AF66</f>
        <v>79771145.00971663</v>
      </c>
      <c r="AD67" s="226"/>
      <c r="AE67" s="226"/>
      <c r="AF67" s="227"/>
      <c r="AG67" s="225">
        <f t="shared" ref="AG67" si="173">AG66+AH66+AI66+AJ66</f>
        <v>82564382.585056692</v>
      </c>
      <c r="AH67" s="226"/>
      <c r="AI67" s="226"/>
      <c r="AJ67" s="227"/>
      <c r="AK67" s="225">
        <f t="shared" ref="AK67" si="174">AK66+AL66+AM66+AN66</f>
        <v>85455382.495533675</v>
      </c>
      <c r="AL67" s="226"/>
      <c r="AM67" s="226"/>
      <c r="AN67" s="227"/>
      <c r="AO67" s="225">
        <f t="shared" ref="AO67" si="175">AO66+AP66+AQ66+AR66</f>
        <v>86925743.560567409</v>
      </c>
      <c r="AP67" s="226"/>
      <c r="AQ67" s="226"/>
      <c r="AR67" s="227"/>
      <c r="AS67" s="225">
        <f t="shared" ref="AS67" si="176">AS66+AT66+AU66+AV66</f>
        <v>82751595.190141857</v>
      </c>
      <c r="AT67" s="226"/>
      <c r="AU67" s="226"/>
      <c r="AV67" s="227"/>
      <c r="AW67" s="225">
        <f t="shared" ref="AW67" si="177">AW66+AX66+AY66+AZ66</f>
        <v>83802088.919999987</v>
      </c>
      <c r="AX67" s="226"/>
      <c r="AY67" s="226"/>
      <c r="AZ67" s="227"/>
      <c r="BA67" s="225">
        <f t="shared" ref="BA67" si="178">BA66+BB66+BC66+BD66</f>
        <v>86520709.389999986</v>
      </c>
      <c r="BB67" s="226"/>
      <c r="BC67" s="226"/>
      <c r="BD67" s="227"/>
      <c r="BE67" s="225">
        <f t="shared" ref="BE67" si="179">BE66+BF66+BG66+BH66</f>
        <v>87155596.599999994</v>
      </c>
      <c r="BF67" s="226"/>
      <c r="BG67" s="226"/>
      <c r="BH67" s="227"/>
      <c r="BI67" s="225">
        <f t="shared" ref="BI67" si="180">BI66+BJ66+BK66+BL66</f>
        <v>87155596.599999994</v>
      </c>
      <c r="BJ67" s="226"/>
      <c r="BK67" s="226"/>
      <c r="BL67" s="227"/>
      <c r="BM67" s="225">
        <f t="shared" ref="BM67" si="181">BM66+BN66+BO66+BP66</f>
        <v>87155596.599999994</v>
      </c>
      <c r="BN67" s="226"/>
      <c r="BO67" s="226"/>
      <c r="BP67" s="227"/>
      <c r="BQ67" s="225">
        <f t="shared" ref="BQ67" si="182">BQ66+BR66+BS66+BT66</f>
        <v>87155596.599999994</v>
      </c>
      <c r="BR67" s="226"/>
      <c r="BS67" s="226"/>
      <c r="BT67" s="227"/>
      <c r="BU67" s="225">
        <f t="shared" ref="BU67" si="183">BU66+BV66+BW66+BX66</f>
        <v>87155596.599999994</v>
      </c>
      <c r="BV67" s="226"/>
      <c r="BW67" s="226"/>
      <c r="BX67" s="227"/>
      <c r="BY67" s="225">
        <f t="shared" ref="BY67" si="184">BY66+BZ66+CA66+CB66</f>
        <v>87155596.599999994</v>
      </c>
      <c r="BZ67" s="226"/>
      <c r="CA67" s="226"/>
      <c r="CB67" s="227"/>
      <c r="CC67" s="225">
        <f t="shared" ref="CC67" si="185">CC66+CD66+CE66+CF66</f>
        <v>87155596.599999994</v>
      </c>
      <c r="CD67" s="226"/>
      <c r="CE67" s="226"/>
      <c r="CF67" s="227"/>
      <c r="CG67" s="225">
        <f t="shared" ref="CG67" si="186">CG66+CH66+CI66+CJ66</f>
        <v>87155596.599999994</v>
      </c>
      <c r="CH67" s="226"/>
      <c r="CI67" s="226"/>
      <c r="CJ67" s="227"/>
      <c r="CK67" s="225">
        <f t="shared" ref="CK67" si="187">CK66+CL66+CM66+CN66</f>
        <v>87155596.599999994</v>
      </c>
      <c r="CL67" s="226"/>
      <c r="CM67" s="226"/>
      <c r="CN67" s="227"/>
      <c r="CO67" s="228">
        <f>CO66+CP66</f>
        <v>43577798.299999997</v>
      </c>
      <c r="CP67" s="230"/>
      <c r="CQ67" s="108">
        <f t="shared" si="75"/>
        <v>1721060048.3857772</v>
      </c>
    </row>
    <row r="68" spans="3:95">
      <c r="C68" s="49" t="s">
        <v>322</v>
      </c>
      <c r="D68" s="111">
        <v>0.05</v>
      </c>
      <c r="E68" s="49"/>
      <c r="F68" s="49"/>
      <c r="G68" s="49"/>
      <c r="H68" s="79"/>
      <c r="I68" s="49"/>
      <c r="J68" s="49"/>
      <c r="K68" s="49"/>
      <c r="L68" s="49">
        <f>ROUND(L67/(1+D68)^L48,0)</f>
        <v>12189222</v>
      </c>
      <c r="M68" s="225">
        <f>ROUND(M67/(1+$D$68)^(M48+$L$48),0)</f>
        <v>65622452</v>
      </c>
      <c r="N68" s="226"/>
      <c r="O68" s="226"/>
      <c r="P68" s="227"/>
      <c r="Q68" s="225">
        <f>ROUND(Q67/(1+$D$68)^(Q48+$L$48),0)</f>
        <v>64686110</v>
      </c>
      <c r="R68" s="226"/>
      <c r="S68" s="226"/>
      <c r="T68" s="227"/>
      <c r="U68" s="225">
        <f t="shared" ref="U68" si="188">ROUND(U67/(1+$D$68)^(U48+$L$48),0)</f>
        <v>63763088</v>
      </c>
      <c r="V68" s="226"/>
      <c r="W68" s="226"/>
      <c r="X68" s="227"/>
      <c r="Y68" s="225">
        <f t="shared" ref="Y68" si="189">ROUND(Y67/(1+$D$68)^(Y48+$L$48),0)</f>
        <v>62853203</v>
      </c>
      <c r="Z68" s="226"/>
      <c r="AA68" s="226"/>
      <c r="AB68" s="227"/>
      <c r="AC68" s="225">
        <f t="shared" ref="AC68" si="190">ROUND(AC67/(1+$D$68)^(AC48+$L$48),0)</f>
        <v>61956269</v>
      </c>
      <c r="AD68" s="226"/>
      <c r="AE68" s="226"/>
      <c r="AF68" s="227"/>
      <c r="AG68" s="225">
        <f t="shared" ref="AG68" si="191">ROUND(AG67/(1+$D$68)^(AG48+$L$48),0)</f>
        <v>61072102</v>
      </c>
      <c r="AH68" s="226"/>
      <c r="AI68" s="226"/>
      <c r="AJ68" s="227"/>
      <c r="AK68" s="225">
        <f t="shared" ref="AK68" si="192">ROUND(AK67/(1+$D$68)^(AK48+$L$48),0)</f>
        <v>60200522</v>
      </c>
      <c r="AL68" s="226"/>
      <c r="AM68" s="226"/>
      <c r="AN68" s="227"/>
      <c r="AO68" s="225">
        <f t="shared" ref="AO68" si="193">ROUND(AO67/(1+$D$68)^(AO48+$L$48),0)</f>
        <v>58320327</v>
      </c>
      <c r="AP68" s="226"/>
      <c r="AQ68" s="226"/>
      <c r="AR68" s="227"/>
      <c r="AS68" s="225">
        <f t="shared" ref="AS68" si="194">ROUND(AS67/(1+$D$68)^(AS48+$L$48),0)</f>
        <v>52876002</v>
      </c>
      <c r="AT68" s="226"/>
      <c r="AU68" s="226"/>
      <c r="AV68" s="227"/>
      <c r="AW68" s="225">
        <f t="shared" ref="AW68" si="195">ROUND(AW67/(1+$D$68)^(AW48+$L$48),0)</f>
        <v>50997370</v>
      </c>
      <c r="AX68" s="226"/>
      <c r="AY68" s="226"/>
      <c r="AZ68" s="227"/>
      <c r="BA68" s="225">
        <f t="shared" ref="BA68" si="196">ROUND(BA67/(1+$D$68)^(BA48+$L$48),0)</f>
        <v>50144547</v>
      </c>
      <c r="BB68" s="226"/>
      <c r="BC68" s="226"/>
      <c r="BD68" s="227"/>
      <c r="BE68" s="225">
        <f t="shared" ref="BE68" si="197">ROUND(BE67/(1+$D$68)^(BE48+$L$48),0)</f>
        <v>48107149</v>
      </c>
      <c r="BF68" s="226"/>
      <c r="BG68" s="226"/>
      <c r="BH68" s="227"/>
      <c r="BI68" s="225">
        <f t="shared" ref="BI68" si="198">ROUND(BI67/(1+$D$68)^(BI48+$L$48),0)</f>
        <v>45816332</v>
      </c>
      <c r="BJ68" s="226"/>
      <c r="BK68" s="226"/>
      <c r="BL68" s="227"/>
      <c r="BM68" s="225">
        <f t="shared" ref="BM68" si="199">ROUND(BM67/(1+$D$68)^(BM48+$L$48),0)</f>
        <v>43634602</v>
      </c>
      <c r="BN68" s="226"/>
      <c r="BO68" s="226"/>
      <c r="BP68" s="227"/>
      <c r="BQ68" s="225">
        <f t="shared" ref="BQ68" si="200">ROUND(BQ67/(1+$D$68)^(BQ48+$L$48),0)</f>
        <v>41556764</v>
      </c>
      <c r="BR68" s="226"/>
      <c r="BS68" s="226"/>
      <c r="BT68" s="227"/>
      <c r="BU68" s="225">
        <f t="shared" ref="BU68" si="201">ROUND(BU67/(1+$D$68)^(BU48+$L$48),0)</f>
        <v>39577870</v>
      </c>
      <c r="BV68" s="226"/>
      <c r="BW68" s="226"/>
      <c r="BX68" s="227"/>
      <c r="BY68" s="225">
        <f t="shared" ref="BY68" si="202">ROUND(BY67/(1+$D$68)^(BY48+$L$48),0)</f>
        <v>37693210</v>
      </c>
      <c r="BZ68" s="226"/>
      <c r="CA68" s="226"/>
      <c r="CB68" s="227"/>
      <c r="CC68" s="225">
        <f t="shared" ref="CC68" si="203">ROUND(CC67/(1+$D$68)^(CC48+$L$48),0)</f>
        <v>35898295</v>
      </c>
      <c r="CD68" s="226"/>
      <c r="CE68" s="226"/>
      <c r="CF68" s="227"/>
      <c r="CG68" s="225">
        <f t="shared" ref="CG68" si="204">ROUND(CG67/(1+$D$68)^(CG48+$L$48),0)</f>
        <v>34188852</v>
      </c>
      <c r="CH68" s="226"/>
      <c r="CI68" s="226"/>
      <c r="CJ68" s="227"/>
      <c r="CK68" s="225">
        <f t="shared" ref="CK68" si="205">ROUND(CK67/(1+$D$68)^(CK48+$L$48),0)</f>
        <v>32560812</v>
      </c>
      <c r="CL68" s="226"/>
      <c r="CM68" s="226"/>
      <c r="CN68" s="227"/>
      <c r="CO68" s="228">
        <f>ROUND(CO67/(1+$D$68)^(CO48+$L$48),0)</f>
        <v>15888049</v>
      </c>
      <c r="CP68" s="230"/>
      <c r="CQ68" s="108">
        <f>SUBTOTAL(9,L68:CP68)</f>
        <v>1039603149</v>
      </c>
    </row>
    <row r="69" spans="3:95">
      <c r="F69" s="28" t="s">
        <v>323</v>
      </c>
      <c r="G69" s="115">
        <f>ROUND(CQ68/10000,0)</f>
        <v>103960</v>
      </c>
      <c r="H69" s="115"/>
      <c r="I69" s="115"/>
      <c r="J69" s="115"/>
    </row>
    <row r="70" spans="3:95">
      <c r="F70" s="28" t="s">
        <v>324</v>
      </c>
      <c r="G70" s="116">
        <f>ROUND(G69/E46*10000,0)</f>
        <v>26537</v>
      </c>
      <c r="H70" s="116"/>
      <c r="I70" s="116"/>
      <c r="J70" s="116"/>
    </row>
    <row r="71" spans="3:95">
      <c r="G71" s="116"/>
      <c r="H71" s="116"/>
      <c r="I71" s="116"/>
      <c r="J71" s="116"/>
      <c r="L71" s="28" t="str">
        <f>L50</f>
        <v>2018年2季度</v>
      </c>
      <c r="M71" s="28" t="str">
        <f t="shared" ref="M71:BX71" si="206">M50</f>
        <v>2018年3季度</v>
      </c>
      <c r="N71" s="28" t="str">
        <f t="shared" si="206"/>
        <v>2018年4季度</v>
      </c>
      <c r="O71" s="28" t="str">
        <f t="shared" si="206"/>
        <v>2019年1季度</v>
      </c>
      <c r="P71" s="28" t="str">
        <f t="shared" si="206"/>
        <v>2019年2季度</v>
      </c>
      <c r="Q71" s="28" t="str">
        <f t="shared" si="206"/>
        <v>2019年3季度</v>
      </c>
      <c r="R71" s="28" t="str">
        <f t="shared" si="206"/>
        <v>2019年4季度</v>
      </c>
      <c r="S71" s="28" t="str">
        <f t="shared" si="206"/>
        <v>2020年1季度</v>
      </c>
      <c r="T71" s="28" t="str">
        <f t="shared" si="206"/>
        <v>2020年2季度</v>
      </c>
      <c r="U71" s="28" t="str">
        <f t="shared" si="206"/>
        <v>2020年3季度</v>
      </c>
      <c r="V71" s="28" t="str">
        <f t="shared" si="206"/>
        <v>2020年4季度</v>
      </c>
      <c r="W71" s="28" t="str">
        <f t="shared" si="206"/>
        <v>2021年1季度</v>
      </c>
      <c r="X71" s="28" t="str">
        <f t="shared" si="206"/>
        <v>2021年2季度</v>
      </c>
      <c r="Y71" s="28" t="str">
        <f t="shared" si="206"/>
        <v>2021年3季度</v>
      </c>
      <c r="Z71" s="28" t="str">
        <f t="shared" si="206"/>
        <v>2021年4季度</v>
      </c>
      <c r="AA71" s="28" t="str">
        <f t="shared" si="206"/>
        <v>2022年1季度</v>
      </c>
      <c r="AB71" s="28" t="str">
        <f t="shared" si="206"/>
        <v>2022年2季度</v>
      </c>
      <c r="AC71" s="28" t="str">
        <f t="shared" si="206"/>
        <v>2022年3季度</v>
      </c>
      <c r="AD71" s="28" t="str">
        <f t="shared" si="206"/>
        <v>2022年4季度</v>
      </c>
      <c r="AE71" s="28" t="str">
        <f t="shared" si="206"/>
        <v>2023年1季度</v>
      </c>
      <c r="AF71" s="28" t="str">
        <f t="shared" si="206"/>
        <v>2023年2季度</v>
      </c>
      <c r="AG71" s="28" t="str">
        <f t="shared" si="206"/>
        <v>2023年3季度</v>
      </c>
      <c r="AH71" s="28" t="str">
        <f t="shared" si="206"/>
        <v>2023年4季度</v>
      </c>
      <c r="AI71" s="28" t="str">
        <f t="shared" si="206"/>
        <v>2024年1季度</v>
      </c>
      <c r="AJ71" s="28" t="str">
        <f t="shared" si="206"/>
        <v>2024年2季度</v>
      </c>
      <c r="AK71" s="28" t="str">
        <f t="shared" si="206"/>
        <v>2024年3季度</v>
      </c>
      <c r="AL71" s="28" t="str">
        <f t="shared" si="206"/>
        <v>2024年4季度</v>
      </c>
      <c r="AM71" s="28" t="str">
        <f t="shared" si="206"/>
        <v>2025年1季度</v>
      </c>
      <c r="AN71" s="28" t="str">
        <f t="shared" si="206"/>
        <v>2025年2季度</v>
      </c>
      <c r="AO71" s="28" t="str">
        <f t="shared" si="206"/>
        <v>2025年3季度</v>
      </c>
      <c r="AP71" s="28" t="str">
        <f t="shared" si="206"/>
        <v>2025年4季度</v>
      </c>
      <c r="AQ71" s="28" t="str">
        <f t="shared" si="206"/>
        <v>2026年1季度</v>
      </c>
      <c r="AR71" s="28" t="str">
        <f t="shared" si="206"/>
        <v>2026年2季度</v>
      </c>
      <c r="AS71" s="28" t="str">
        <f t="shared" si="206"/>
        <v>2026年3季度</v>
      </c>
      <c r="AT71" s="28" t="str">
        <f t="shared" si="206"/>
        <v>2026年4季度</v>
      </c>
      <c r="AU71" s="28" t="str">
        <f t="shared" si="206"/>
        <v>2027年1季度</v>
      </c>
      <c r="AV71" s="28" t="str">
        <f t="shared" si="206"/>
        <v>2027年2季度</v>
      </c>
      <c r="AW71" s="28" t="str">
        <f t="shared" si="206"/>
        <v>2027年3季度</v>
      </c>
      <c r="AX71" s="28" t="str">
        <f t="shared" si="206"/>
        <v>2027年4季度</v>
      </c>
      <c r="AY71" s="28" t="str">
        <f t="shared" si="206"/>
        <v>2028年1季度</v>
      </c>
      <c r="AZ71" s="28" t="str">
        <f t="shared" si="206"/>
        <v>2028年2季度</v>
      </c>
      <c r="BA71" s="28" t="str">
        <f t="shared" si="206"/>
        <v>2028年3季度</v>
      </c>
      <c r="BB71" s="28" t="str">
        <f t="shared" si="206"/>
        <v>2028年4季度</v>
      </c>
      <c r="BC71" s="28" t="str">
        <f t="shared" si="206"/>
        <v>2029年1季度</v>
      </c>
      <c r="BD71" s="28" t="str">
        <f t="shared" si="206"/>
        <v>2029年2季度</v>
      </c>
      <c r="BE71" s="28" t="str">
        <f t="shared" si="206"/>
        <v>2029年3季度</v>
      </c>
      <c r="BF71" s="28" t="str">
        <f t="shared" si="206"/>
        <v>2029年4季度</v>
      </c>
      <c r="BG71" s="28" t="str">
        <f t="shared" si="206"/>
        <v>2030年1季度</v>
      </c>
      <c r="BH71" s="28" t="str">
        <f t="shared" si="206"/>
        <v>2030年2季度</v>
      </c>
      <c r="BI71" s="28" t="str">
        <f t="shared" si="206"/>
        <v>2030年3季度</v>
      </c>
      <c r="BJ71" s="28" t="str">
        <f t="shared" si="206"/>
        <v>2030年4季度</v>
      </c>
      <c r="BK71" s="28" t="str">
        <f t="shared" si="206"/>
        <v>2031年1季度</v>
      </c>
      <c r="BL71" s="28" t="str">
        <f t="shared" si="206"/>
        <v>2031年2季度</v>
      </c>
      <c r="BM71" s="28" t="str">
        <f t="shared" si="206"/>
        <v>2031年3季度</v>
      </c>
      <c r="BN71" s="28" t="str">
        <f t="shared" si="206"/>
        <v>2031年4季度</v>
      </c>
      <c r="BO71" s="28" t="str">
        <f t="shared" si="206"/>
        <v>2032年1季度</v>
      </c>
      <c r="BP71" s="28" t="str">
        <f t="shared" si="206"/>
        <v>2032年2季度</v>
      </c>
      <c r="BQ71" s="28" t="str">
        <f t="shared" si="206"/>
        <v>2032年3季度</v>
      </c>
      <c r="BR71" s="28" t="str">
        <f t="shared" si="206"/>
        <v>2032年4季度</v>
      </c>
      <c r="BS71" s="28" t="str">
        <f t="shared" si="206"/>
        <v>2033年1季度</v>
      </c>
      <c r="BT71" s="28" t="str">
        <f t="shared" si="206"/>
        <v>2033年2季度</v>
      </c>
      <c r="BU71" s="28" t="str">
        <f t="shared" si="206"/>
        <v>2033年3季度</v>
      </c>
      <c r="BV71" s="28" t="str">
        <f t="shared" si="206"/>
        <v>2033年4季度</v>
      </c>
      <c r="BW71" s="28" t="str">
        <f t="shared" si="206"/>
        <v>2034年1季度</v>
      </c>
      <c r="BX71" s="28" t="str">
        <f t="shared" si="206"/>
        <v>2034年2季度</v>
      </c>
      <c r="BY71" s="28" t="str">
        <f t="shared" ref="BY71:CP71" si="207">BY50</f>
        <v>2034年3季度</v>
      </c>
      <c r="BZ71" s="28" t="str">
        <f t="shared" si="207"/>
        <v>2034年4季度</v>
      </c>
      <c r="CA71" s="28" t="str">
        <f t="shared" si="207"/>
        <v>2035年1季度</v>
      </c>
      <c r="CB71" s="28" t="str">
        <f t="shared" si="207"/>
        <v>2035年2季度</v>
      </c>
      <c r="CC71" s="28" t="str">
        <f t="shared" si="207"/>
        <v>2035年3季度</v>
      </c>
      <c r="CD71" s="28" t="str">
        <f t="shared" si="207"/>
        <v>2035年4季度</v>
      </c>
      <c r="CE71" s="28" t="str">
        <f t="shared" si="207"/>
        <v>2036年1季度</v>
      </c>
      <c r="CF71" s="28" t="str">
        <f t="shared" si="207"/>
        <v>2036年2季度</v>
      </c>
      <c r="CG71" s="28" t="str">
        <f t="shared" si="207"/>
        <v>2036年3季度</v>
      </c>
      <c r="CH71" s="28" t="str">
        <f t="shared" si="207"/>
        <v>2036年4季度</v>
      </c>
      <c r="CI71" s="28" t="str">
        <f t="shared" si="207"/>
        <v>2037年1季度</v>
      </c>
      <c r="CJ71" s="28" t="str">
        <f t="shared" si="207"/>
        <v>2037年2季度</v>
      </c>
      <c r="CK71" s="28" t="str">
        <f t="shared" si="207"/>
        <v>2037年3季度</v>
      </c>
      <c r="CL71" s="28" t="str">
        <f t="shared" si="207"/>
        <v>2037年4季度</v>
      </c>
      <c r="CM71" s="28" t="str">
        <f t="shared" si="207"/>
        <v>2038年1季度</v>
      </c>
      <c r="CN71" s="28" t="str">
        <f t="shared" si="207"/>
        <v>2038年2季度</v>
      </c>
      <c r="CO71" s="28" t="str">
        <f t="shared" si="207"/>
        <v>2038年3季度</v>
      </c>
      <c r="CP71" s="28" t="str">
        <f t="shared" si="207"/>
        <v>2038年4季度</v>
      </c>
    </row>
    <row r="72" spans="3:95">
      <c r="G72" s="116"/>
      <c r="H72" s="116"/>
      <c r="I72" s="116"/>
      <c r="J72" s="116"/>
      <c r="K72" s="28" t="s">
        <v>631</v>
      </c>
      <c r="L72" s="28">
        <f>(L51+M51+N51+O51)/10000</f>
        <v>8953.1640955000003</v>
      </c>
      <c r="M72" s="28"/>
      <c r="P72" s="28">
        <f>(P51+Q51+R51+S51)/10000</f>
        <v>9957.503983342498</v>
      </c>
      <c r="T72" s="28">
        <f>(T51+U51+V51+W51)/10000</f>
        <v>10306.016622759485</v>
      </c>
      <c r="X72" s="28">
        <f>(X51+Y51+Z51+AA51)/10000</f>
        <v>10666.727204556068</v>
      </c>
      <c r="AB72" s="28">
        <f>(AB51+AC51+AD51+AE51)/10000</f>
        <v>11040.062656715529</v>
      </c>
      <c r="AF72" s="28">
        <f>(AF51+AG51+AH51+AI51)/10000</f>
        <v>11426.464849700571</v>
      </c>
      <c r="AJ72" s="28">
        <f>(AJ51+AK51+AL51+AM51)/10000</f>
        <v>11826.39111944009</v>
      </c>
      <c r="AN72" s="28">
        <f>(AN51+AO51+AP51+AQ51)/10000</f>
        <v>12134.141074221057</v>
      </c>
      <c r="AR72" s="28">
        <f>(AR51+AS51+AT51+AU51)/10000</f>
        <v>11745.848537110529</v>
      </c>
      <c r="AV72" s="28">
        <f>(AV51+AW51+AX51+AY51)/10000</f>
        <v>11584.707200000001</v>
      </c>
      <c r="AZ72" s="28">
        <f>(AZ51+BA51+BB51+BC51)/10000</f>
        <v>11989.0362</v>
      </c>
      <c r="BD72" s="28">
        <f>(BD51+BE51+BF51+BG51)/10000</f>
        <v>12166.214</v>
      </c>
      <c r="BH72" s="28">
        <f>(BH51+BI51+BJ51+BK51)/10000</f>
        <v>12166.214</v>
      </c>
      <c r="BL72" s="28">
        <f>(BL51+BM51+BN51+BO51)/10000</f>
        <v>12166.214</v>
      </c>
      <c r="BP72" s="28">
        <f>(BP51+BQ51+BR51+BS51)/10000</f>
        <v>12166.214</v>
      </c>
      <c r="BT72" s="28">
        <f>(BT51+BU51+BV51+BW51)/10000</f>
        <v>12166.214</v>
      </c>
      <c r="BX72" s="28">
        <f>(BX51+BY51+BZ51+CA51)/10000</f>
        <v>12166.214</v>
      </c>
      <c r="CB72" s="28">
        <f>(CB51+CC51+CD51+CE51)/10000</f>
        <v>12166.214</v>
      </c>
      <c r="CF72" s="28">
        <f>(CF51+CG51+CH51+CI51)/10000</f>
        <v>12166.214</v>
      </c>
      <c r="CJ72" s="28">
        <f>(CJ51+CK51+CL51+CM51)/10000</f>
        <v>12166.214</v>
      </c>
      <c r="CN72" s="28">
        <f>(CN51+CO51+CP51+CQ51)/10000</f>
        <v>249375.31054334584</v>
      </c>
    </row>
    <row r="73" spans="3:95">
      <c r="G73" s="116"/>
      <c r="H73" s="116"/>
      <c r="I73" s="116"/>
      <c r="J73" s="116"/>
      <c r="K73" s="28" t="s">
        <v>633</v>
      </c>
      <c r="L73" s="28">
        <f>(L55+M55+N55+O55)/10000</f>
        <v>984.84805050499995</v>
      </c>
      <c r="P73" s="28">
        <f>(P55+Q55+R55+S55)/10000</f>
        <v>1095.325438167675</v>
      </c>
      <c r="T73" s="28">
        <f>(T55+U55+V55+W55)/10000</f>
        <v>1133.6618285035436</v>
      </c>
      <c r="X73" s="28">
        <f>(X55+Y55+Z55+AA55)/10000</f>
        <v>1173.3399925011677</v>
      </c>
      <c r="AB73" s="28">
        <f>(AB55+AC55+AD55+AE55)/10000</f>
        <v>1214.4068922387082</v>
      </c>
      <c r="AF73" s="28">
        <f>(AF55+AG55+AH55+AI55)/10000</f>
        <v>1256.9111334670629</v>
      </c>
      <c r="AJ73" s="28">
        <f>(AJ55+AK55+AL55+AM55)/10000</f>
        <v>1300.9030231384099</v>
      </c>
      <c r="AN73" s="28">
        <f>(AN55+AO55+AP55+AQ55)/10000</f>
        <v>1334.7555181643165</v>
      </c>
      <c r="AR73" s="28">
        <f>(AR55+AS55+AT55+AU55)/10000</f>
        <v>1292.0433390821584</v>
      </c>
      <c r="AV73" s="28">
        <f>(AV55+AW55+AX55+AY55)/10000</f>
        <v>1274.3177920000003</v>
      </c>
      <c r="AZ73" s="28">
        <f>(AZ55+BA55+BB55+BC55)/10000</f>
        <v>1318.7939820000004</v>
      </c>
      <c r="BD73" s="28">
        <f>(BD55+BE55+BF55+BG55)/10000</f>
        <v>1338.2835400000001</v>
      </c>
      <c r="BH73" s="28">
        <f>(BH55+BI55+BJ55+BK55)/10000</f>
        <v>1338.2835400000001</v>
      </c>
      <c r="BL73" s="28">
        <f>(BL55+BM55+BN55+BO55)/10000</f>
        <v>1338.2835400000001</v>
      </c>
      <c r="BP73" s="28">
        <f>(BP55+BQ55+BR55+BS55)/10000</f>
        <v>1338.2835400000001</v>
      </c>
      <c r="BT73" s="28">
        <f>(BT55+BU55+BV55+BW55)/10000</f>
        <v>1338.2835400000001</v>
      </c>
      <c r="BX73" s="28">
        <f>(BX55+BY55+BZ55+CA55)/10000</f>
        <v>1338.2835400000001</v>
      </c>
      <c r="CB73" s="28">
        <f>(CB55+CC55+CD55+CE55)/10000</f>
        <v>1338.2835400000001</v>
      </c>
      <c r="CF73" s="28">
        <f>(CF55+CG55+CH55+CI55)/10000</f>
        <v>1338.2835400000001</v>
      </c>
      <c r="CJ73" s="28">
        <f>(CJ55+CK55+CL55+CM55)/10000</f>
        <v>1338.2835400000001</v>
      </c>
      <c r="CN73" s="28">
        <f>(CN55+CO55+CP55+CQ55)/10000</f>
        <v>27431.284159768027</v>
      </c>
    </row>
    <row r="74" spans="3:95">
      <c r="G74" s="116"/>
      <c r="H74" s="116"/>
      <c r="I74" s="116"/>
      <c r="J74" s="116"/>
      <c r="K74" s="28" t="s">
        <v>639</v>
      </c>
      <c r="L74" s="28">
        <f>(L62+M62+N62+O62)/10000</f>
        <v>1555.1929</v>
      </c>
      <c r="P74" s="28">
        <f>(P62+Q62+R62+S62)/10000</f>
        <v>1729.5275999999999</v>
      </c>
      <c r="T74" s="28">
        <f>(T62+U62+V62+W62)/10000</f>
        <v>1789.9365</v>
      </c>
      <c r="X74" s="28">
        <f>(X62+Y62+Z62+AA62)/10000</f>
        <v>1852.4599000000001</v>
      </c>
      <c r="AB74" s="28">
        <f>(AB62+AC62+AD62+AE62)/10000</f>
        <v>1917.1712</v>
      </c>
      <c r="AF74" s="28">
        <f>(AF62+AG62+AH62+AI62)/10000</f>
        <v>1984.1474000000001</v>
      </c>
      <c r="AJ74" s="28">
        <f>(AJ62+AK62+AL62+AM62)/10000</f>
        <v>2053.4679000000001</v>
      </c>
      <c r="AN74" s="28">
        <f>(AN62+AO62+AP62+AQ62)/10000</f>
        <v>2106.8112000000001</v>
      </c>
      <c r="AR74" s="28">
        <f>(AR62+AS62+AT62+AU62)/10000</f>
        <v>2039.5074</v>
      </c>
      <c r="AV74" s="28">
        <f>(AV62+AW62+AX62+AY62)/10000</f>
        <v>2011.5763999999999</v>
      </c>
      <c r="AZ74" s="28">
        <f>(AZ62+BA62+BB62+BC62)/10000</f>
        <v>2081.66</v>
      </c>
      <c r="BD74" s="28">
        <f>(BD62+BE62+BF62+BG62)/10000</f>
        <v>2112.3708000000001</v>
      </c>
      <c r="BH74" s="28">
        <f>(BH62+BI62+BJ62+BK62)/10000</f>
        <v>2112.3708000000001</v>
      </c>
      <c r="BL74" s="28">
        <f>(BL62+BM62+BN62+BO62)/10000</f>
        <v>2112.3708000000001</v>
      </c>
      <c r="BP74" s="28">
        <f>(BP62+BQ62+BR62+BS62)/10000</f>
        <v>2112.3708000000001</v>
      </c>
      <c r="BT74" s="28">
        <f>(BT62+BU62+BV62+BW62)/10000</f>
        <v>2112.3708000000001</v>
      </c>
      <c r="BX74" s="28">
        <f>(BX62+BY62+BZ62+CA62)/10000</f>
        <v>2112.3708000000001</v>
      </c>
      <c r="CB74" s="28">
        <f>(CB62+CC62+CD62+CE62)/10000</f>
        <v>2112.3708000000001</v>
      </c>
      <c r="CF74" s="28">
        <f>(CF62+CG62+CH62+CI62)/10000</f>
        <v>2112.3708000000001</v>
      </c>
      <c r="CJ74" s="28">
        <f>(CJ62+CK62+CL62+CM62)/10000</f>
        <v>2112.3708000000001</v>
      </c>
      <c r="CN74" s="28">
        <f>(CN62+CO62+CP62+CQ62)/10000</f>
        <v>43301.351799999997</v>
      </c>
    </row>
    <row r="75" spans="3:95">
      <c r="G75" s="116"/>
      <c r="H75" s="116"/>
      <c r="I75" s="116"/>
      <c r="J75" s="116"/>
      <c r="K75" s="28" t="s">
        <v>635</v>
      </c>
      <c r="L75" s="28">
        <f>L72-L73-L74</f>
        <v>6413.1231449950001</v>
      </c>
      <c r="P75" s="28">
        <f>P72-P73-P74</f>
        <v>7132.6509451748243</v>
      </c>
      <c r="T75" s="28">
        <f>T72-T73-T74</f>
        <v>7382.4182942559419</v>
      </c>
      <c r="X75" s="28">
        <f>X72-X73-X74</f>
        <v>7640.9273120549005</v>
      </c>
      <c r="AB75" s="28">
        <f>AB72-AB73-AB74</f>
        <v>7908.4845644768202</v>
      </c>
      <c r="AF75" s="28">
        <f>AF72-AF73-AF74</f>
        <v>8185.4063162335078</v>
      </c>
      <c r="AJ75" s="28">
        <f>AJ72-AJ73-AJ74</f>
        <v>8472.0201963016807</v>
      </c>
      <c r="AN75" s="28">
        <f>AN72-AN73-AN74</f>
        <v>8692.5743560567407</v>
      </c>
      <c r="AR75" s="28">
        <f>AR72-AR73-AR74</f>
        <v>8414.2977980283704</v>
      </c>
      <c r="AV75" s="28">
        <f>AV72-AV73-AV74</f>
        <v>8298.813008000001</v>
      </c>
      <c r="AZ75" s="28">
        <f>AZ72-AZ73-AZ74</f>
        <v>8588.5822179999996</v>
      </c>
      <c r="BD75" s="28">
        <f>BD72-BD73-BD74</f>
        <v>8715.559659999999</v>
      </c>
      <c r="BH75" s="28">
        <f>BH72-BH73-BH74</f>
        <v>8715.559659999999</v>
      </c>
      <c r="BL75" s="28">
        <f>BL72-BL73-BL74</f>
        <v>8715.559659999999</v>
      </c>
      <c r="BP75" s="28">
        <f>BP72-BP73-BP74</f>
        <v>8715.559659999999</v>
      </c>
      <c r="BT75" s="28">
        <f>BT72-BT73-BT74</f>
        <v>8715.559659999999</v>
      </c>
      <c r="BX75" s="28">
        <f>BX72-BX73-BX74</f>
        <v>8715.559659999999</v>
      </c>
      <c r="CB75" s="28">
        <f>CB72-CB73-CB74</f>
        <v>8715.559659999999</v>
      </c>
      <c r="CF75" s="28">
        <f>CF72-CF73-CF74</f>
        <v>8715.559659999999</v>
      </c>
      <c r="CJ75" s="28">
        <f>CJ72-CJ73-CJ74</f>
        <v>8715.559659999999</v>
      </c>
      <c r="CN75" s="28">
        <f>CN72-CN73-CN74</f>
        <v>178642.67458357781</v>
      </c>
    </row>
    <row r="76" spans="3:95">
      <c r="G76" s="116"/>
      <c r="H76" s="116"/>
      <c r="I76" s="116"/>
      <c r="J76" s="116"/>
    </row>
    <row r="77" spans="3:95">
      <c r="G77" s="116"/>
      <c r="H77" s="116"/>
      <c r="I77" s="116"/>
      <c r="J77" s="116"/>
      <c r="K77" s="28" t="s">
        <v>637</v>
      </c>
      <c r="L77" s="28">
        <f>(L66+M66+N66+O66)/10000</f>
        <v>6413.1231449949992</v>
      </c>
      <c r="P77" s="28">
        <f>(P66+Q66+R66+S66)/10000</f>
        <v>7132.6509451748234</v>
      </c>
      <c r="T77" s="28">
        <f>(T66+U66+V66+W66)/10000</f>
        <v>7382.4182942559419</v>
      </c>
      <c r="X77" s="28">
        <f>(X66+Y66+Z66+AA66)/10000</f>
        <v>7640.9273120548996</v>
      </c>
      <c r="AB77" s="28">
        <f>(AB66+AC66+AD66+AE66)/10000</f>
        <v>7908.4845644768211</v>
      </c>
      <c r="AF77" s="28">
        <f>(AF66+AG66+AH66+AI66)/10000</f>
        <v>8185.4063162335069</v>
      </c>
      <c r="AJ77" s="28">
        <f>(AJ66+AK66+AL66+AM66)/10000</f>
        <v>8472.0201963016807</v>
      </c>
      <c r="AN77" s="28">
        <f>(AN66+AO66+AP66+AQ66)/10000</f>
        <v>8692.5743560567407</v>
      </c>
      <c r="AR77" s="28">
        <f>(AR66+AS66+AT66+AU66)/10000</f>
        <v>8414.2977980283704</v>
      </c>
      <c r="AV77" s="28">
        <f>(AV66+AW66+AX66+AY66)/10000</f>
        <v>8298.8130079999992</v>
      </c>
      <c r="AZ77" s="28">
        <f>(AZ66+BA66+BB66+BC66)/10000</f>
        <v>8588.5822179999996</v>
      </c>
      <c r="BD77" s="28">
        <f>(BD66+BE66+BF66+BG66)/10000</f>
        <v>8715.559659999999</v>
      </c>
      <c r="BH77" s="28">
        <f>(BH66+BI66+BJ66+BK66)/10000</f>
        <v>8715.559659999999</v>
      </c>
      <c r="BL77" s="28">
        <f>(BL66+BM66+BN66+BO66)/10000</f>
        <v>8715.559659999999</v>
      </c>
      <c r="BP77" s="28">
        <f>(BP66+BQ66+BR66+BS66)/10000</f>
        <v>8715.559659999999</v>
      </c>
      <c r="BT77" s="28">
        <f>(BT66+BU66+BV66+BW66)/10000</f>
        <v>8715.559659999999</v>
      </c>
      <c r="BX77" s="28">
        <f>(BX66+BY66+BZ66+CA66)/10000</f>
        <v>8715.559659999999</v>
      </c>
      <c r="CB77" s="28">
        <f>(CB66+CC66+CD66+CE66)/10000</f>
        <v>8715.559659999999</v>
      </c>
      <c r="CF77" s="28">
        <f>(CF66+CG66+CH66+CI66)/10000</f>
        <v>8715.559659999999</v>
      </c>
      <c r="CJ77" s="28">
        <f>(CJ66+CK66+CL66+CM66)/10000</f>
        <v>8715.559659999999</v>
      </c>
      <c r="CN77" s="28">
        <f>(CN66+CO66+CP66+CQ66)/10000</f>
        <v>178642.67458357807</v>
      </c>
    </row>
    <row r="78" spans="3:95">
      <c r="G78" s="116"/>
      <c r="H78" s="116"/>
      <c r="I78" s="116"/>
      <c r="J78" s="116"/>
    </row>
    <row r="79" spans="3:95">
      <c r="M79" s="164"/>
      <c r="N79" s="164"/>
      <c r="O79" s="164"/>
    </row>
    <row r="80" spans="3:95">
      <c r="K80" s="49"/>
      <c r="L80" s="49" t="s">
        <v>629</v>
      </c>
      <c r="M80" s="168">
        <f>历史运营!E26+历史运营!E27</f>
        <v>0.11000000000000001</v>
      </c>
      <c r="N80" s="165"/>
      <c r="O80" s="49"/>
      <c r="P80" s="49"/>
      <c r="Q80" s="49"/>
      <c r="R80" s="49"/>
      <c r="S80" s="49"/>
      <c r="T80" s="49"/>
      <c r="U80" s="49"/>
    </row>
    <row r="81" spans="9:24">
      <c r="K81" s="49"/>
      <c r="L81" s="49" t="s">
        <v>621</v>
      </c>
      <c r="M81" s="165" t="s">
        <v>626</v>
      </c>
      <c r="N81" s="165"/>
    </row>
    <row r="82" spans="9:24">
      <c r="K82" s="49" t="s">
        <v>622</v>
      </c>
      <c r="L82" s="205">
        <f>(L51+M51+N51+O51)/10000</f>
        <v>8953.1640955000003</v>
      </c>
      <c r="M82" s="170">
        <f>(M55+N55+O55+L55)/10000</f>
        <v>984.84805050499995</v>
      </c>
      <c r="N82" s="177">
        <f>M82/L82</f>
        <v>0.10999999999999999</v>
      </c>
    </row>
    <row r="83" spans="9:24">
      <c r="K83" s="49" t="s">
        <v>623</v>
      </c>
      <c r="L83" s="169">
        <f>(办公现金流!M131+办公现金流!N131+办公现金流!O131+办公现金流!L131)/10000</f>
        <v>6944.8125473600003</v>
      </c>
      <c r="M83" s="170">
        <f>(办公现金流!M135+办公现金流!N135+办公现金流!O135+办公现金流!L135)/10000</f>
        <v>763.92938020960014</v>
      </c>
      <c r="N83" s="177">
        <f t="shared" ref="N83" si="208">M83/L83</f>
        <v>0.11000000000000001</v>
      </c>
    </row>
    <row r="84" spans="9:24">
      <c r="K84" s="49" t="s">
        <v>624</v>
      </c>
      <c r="L84" s="169">
        <f>(车库现金流!M7+车库现金流!N7+车库现金流!O7+车库现金流!L7)/10000</f>
        <v>445.33440000000002</v>
      </c>
      <c r="M84" s="170">
        <f>(车库现金流!M11+车库现金流!N11+车库现金流!O11+车库现金流!L11)/10000</f>
        <v>48.986784</v>
      </c>
      <c r="N84" s="177">
        <f>M84/L84</f>
        <v>0.11</v>
      </c>
    </row>
    <row r="85" spans="9:24">
      <c r="K85" s="49" t="s">
        <v>625</v>
      </c>
      <c r="L85" s="49">
        <f>(物业等其他收入!M9+物业等其他收入!N9+物业等其他收入!O9+物业等其他收入!L9)/10000</f>
        <v>4140.3599999999997</v>
      </c>
      <c r="M85" s="170">
        <f>(物业等其他收入!M13+物业等其他收入!N13+物业等其他收入!O13+物业等其他收入!L13)/10000</f>
        <v>455.43959999999998</v>
      </c>
      <c r="N85" s="177">
        <f t="shared" ref="N85:N86" si="209">M85/L85</f>
        <v>0.11</v>
      </c>
    </row>
    <row r="86" spans="9:24">
      <c r="I86" s="28">
        <f>L82/E46/365*10000</f>
        <v>6.261462492565391</v>
      </c>
      <c r="K86" s="49" t="s">
        <v>627</v>
      </c>
      <c r="L86" s="205">
        <f>SUM(L82:L85)/0.93</f>
        <v>22025.452734258066</v>
      </c>
      <c r="M86" s="170">
        <f>SUM(M82:M85)/0.93</f>
        <v>2422.7998007683868</v>
      </c>
      <c r="N86" s="171">
        <f t="shared" si="209"/>
        <v>0.10999999999999999</v>
      </c>
    </row>
    <row r="87" spans="9:24">
      <c r="N87" s="165" t="s">
        <v>628</v>
      </c>
    </row>
    <row r="88" spans="9:24">
      <c r="K88" s="49"/>
      <c r="L88" s="44"/>
      <c r="M88" s="48"/>
      <c r="N88" s="165">
        <f>结果表!I13</f>
        <v>344240</v>
      </c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9:24">
      <c r="K89" s="49"/>
      <c r="L89" s="44"/>
      <c r="M89" s="48"/>
      <c r="N89" s="48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9:24">
      <c r="K90" s="49"/>
      <c r="L90" s="44"/>
      <c r="M90" s="48"/>
      <c r="N90" s="48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9:24">
      <c r="K91" s="49"/>
      <c r="L91" s="44"/>
      <c r="M91" s="48"/>
      <c r="N91" s="48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9:24">
      <c r="K92" s="49"/>
      <c r="L92" s="44"/>
      <c r="M92" s="48"/>
      <c r="N92" s="48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9:24">
      <c r="L93" s="44"/>
      <c r="M93" s="48"/>
      <c r="N93" s="48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9:24">
      <c r="L94" s="44"/>
      <c r="M94" s="48"/>
      <c r="N94" s="48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 spans="9:24">
      <c r="L95" s="44"/>
      <c r="M95" s="48"/>
      <c r="N95" s="48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9:24">
      <c r="L96" s="44"/>
      <c r="M96" s="48"/>
      <c r="N96" s="48"/>
      <c r="O96" s="44"/>
      <c r="P96" s="44"/>
      <c r="Q96" s="44"/>
      <c r="R96" s="44"/>
      <c r="S96" s="44"/>
      <c r="T96" s="44"/>
      <c r="U96" s="44"/>
      <c r="V96" s="44"/>
      <c r="W96" s="44"/>
      <c r="X96" s="44"/>
    </row>
    <row r="97" spans="12:24">
      <c r="L97" s="44"/>
      <c r="M97" s="48"/>
      <c r="N97" s="48"/>
      <c r="O97" s="44"/>
      <c r="P97" s="44"/>
      <c r="Q97" s="44"/>
      <c r="R97" s="44"/>
      <c r="S97" s="44"/>
      <c r="T97" s="44"/>
      <c r="U97" s="44"/>
      <c r="V97" s="44"/>
      <c r="W97" s="44"/>
      <c r="X97" s="44"/>
    </row>
    <row r="98" spans="12:24">
      <c r="L98" s="44"/>
      <c r="M98" s="48"/>
      <c r="N98" s="48"/>
      <c r="O98" s="44"/>
      <c r="P98" s="44"/>
      <c r="Q98" s="44"/>
      <c r="R98" s="44"/>
      <c r="S98" s="44"/>
      <c r="T98" s="44"/>
      <c r="U98" s="44"/>
      <c r="V98" s="44"/>
      <c r="W98" s="44"/>
      <c r="X98" s="44"/>
    </row>
    <row r="99" spans="12:24">
      <c r="L99" s="44"/>
      <c r="M99" s="48"/>
      <c r="N99" s="48"/>
      <c r="O99" s="44"/>
      <c r="P99" s="44"/>
      <c r="Q99" s="44"/>
      <c r="R99" s="44"/>
      <c r="S99" s="44"/>
      <c r="T99" s="44"/>
      <c r="U99" s="44"/>
      <c r="V99" s="44"/>
      <c r="W99" s="44"/>
      <c r="X99" s="44"/>
    </row>
    <row r="100" spans="12:24">
      <c r="L100" s="44"/>
      <c r="M100" s="48"/>
      <c r="N100" s="48"/>
      <c r="O100" s="44"/>
      <c r="P100" s="44"/>
      <c r="Q100" s="44"/>
      <c r="R100" s="44"/>
      <c r="S100" s="44"/>
      <c r="T100" s="44"/>
      <c r="U100" s="44"/>
      <c r="V100" s="44"/>
      <c r="W100" s="44"/>
      <c r="X100" s="44"/>
    </row>
  </sheetData>
  <mergeCells count="109">
    <mergeCell ref="AW67:AZ67"/>
    <mergeCell ref="BA67:BD67"/>
    <mergeCell ref="BE67:BH67"/>
    <mergeCell ref="BU68:BX68"/>
    <mergeCell ref="AS68:AV68"/>
    <mergeCell ref="A55:B55"/>
    <mergeCell ref="A62:B62"/>
    <mergeCell ref="BA68:BD68"/>
    <mergeCell ref="BE68:BH68"/>
    <mergeCell ref="BI68:BL68"/>
    <mergeCell ref="BM68:BP68"/>
    <mergeCell ref="BQ68:BT68"/>
    <mergeCell ref="BI67:BL67"/>
    <mergeCell ref="BM67:BP67"/>
    <mergeCell ref="M67:P67"/>
    <mergeCell ref="Q67:T67"/>
    <mergeCell ref="U67:X67"/>
    <mergeCell ref="Y67:AB67"/>
    <mergeCell ref="AC67:AF67"/>
    <mergeCell ref="AG67:AJ67"/>
    <mergeCell ref="AK67:AN67"/>
    <mergeCell ref="AO67:AR67"/>
    <mergeCell ref="AS67:AV67"/>
    <mergeCell ref="W1:Z1"/>
    <mergeCell ref="AI1:AL1"/>
    <mergeCell ref="AE1:AH1"/>
    <mergeCell ref="AA1:AD1"/>
    <mergeCell ref="AM1:AP1"/>
    <mergeCell ref="CK67:CN67"/>
    <mergeCell ref="CO67:CP67"/>
    <mergeCell ref="M68:P68"/>
    <mergeCell ref="CO68:CP68"/>
    <mergeCell ref="CK68:CN68"/>
    <mergeCell ref="CG68:CJ68"/>
    <mergeCell ref="CC68:CF68"/>
    <mergeCell ref="BY68:CB68"/>
    <mergeCell ref="Q68:T68"/>
    <mergeCell ref="U68:X68"/>
    <mergeCell ref="Y68:AB68"/>
    <mergeCell ref="AC68:AF68"/>
    <mergeCell ref="AG68:AJ68"/>
    <mergeCell ref="AK68:AN68"/>
    <mergeCell ref="AO68:AR68"/>
    <mergeCell ref="AW68:AZ68"/>
    <mergeCell ref="BQ67:BT67"/>
    <mergeCell ref="BU67:BX67"/>
    <mergeCell ref="BY67:CB67"/>
    <mergeCell ref="O37:R37"/>
    <mergeCell ref="S37:V37"/>
    <mergeCell ref="W37:Z37"/>
    <mergeCell ref="AA37:AD37"/>
    <mergeCell ref="CA37:CD37"/>
    <mergeCell ref="CE37:CH37"/>
    <mergeCell ref="BC49:BF49"/>
    <mergeCell ref="L49:N49"/>
    <mergeCell ref="O49:R49"/>
    <mergeCell ref="S49:V49"/>
    <mergeCell ref="W49:Z49"/>
    <mergeCell ref="AA49:AD49"/>
    <mergeCell ref="AE49:AH49"/>
    <mergeCell ref="AI49:AL49"/>
    <mergeCell ref="AM49:AP49"/>
    <mergeCell ref="AQ49:AT49"/>
    <mergeCell ref="AU49:AX49"/>
    <mergeCell ref="AY49:BB49"/>
    <mergeCell ref="CE49:CH49"/>
    <mergeCell ref="L1:N1"/>
    <mergeCell ref="O1:R1"/>
    <mergeCell ref="S1:V1"/>
    <mergeCell ref="CI37:CL37"/>
    <mergeCell ref="CM37:CP37"/>
    <mergeCell ref="A46:C46"/>
    <mergeCell ref="BC37:BF37"/>
    <mergeCell ref="BG37:BJ37"/>
    <mergeCell ref="BK37:BN37"/>
    <mergeCell ref="BO37:BR37"/>
    <mergeCell ref="BS37:BV37"/>
    <mergeCell ref="BW37:BZ37"/>
    <mergeCell ref="AE37:AH37"/>
    <mergeCell ref="AI37:AL37"/>
    <mergeCell ref="AM37:AP37"/>
    <mergeCell ref="AQ37:AT37"/>
    <mergeCell ref="AU37:AX37"/>
    <mergeCell ref="AY37:BB37"/>
    <mergeCell ref="CM1:CP1"/>
    <mergeCell ref="AU1:AX1"/>
    <mergeCell ref="AY1:BB1"/>
    <mergeCell ref="BC1:BF1"/>
    <mergeCell ref="A34:C34"/>
    <mergeCell ref="L37:N37"/>
    <mergeCell ref="CI49:CL49"/>
    <mergeCell ref="CM49:CP49"/>
    <mergeCell ref="BG49:BJ49"/>
    <mergeCell ref="BK49:BN49"/>
    <mergeCell ref="BO49:BR49"/>
    <mergeCell ref="BS49:BV49"/>
    <mergeCell ref="BW49:BZ49"/>
    <mergeCell ref="CA49:CD49"/>
    <mergeCell ref="CC67:CF67"/>
    <mergeCell ref="CG67:CJ67"/>
    <mergeCell ref="AQ1:AT1"/>
    <mergeCell ref="BO1:BR1"/>
    <mergeCell ref="BS1:BV1"/>
    <mergeCell ref="BW1:BZ1"/>
    <mergeCell ref="CA1:CD1"/>
    <mergeCell ref="CE1:CH1"/>
    <mergeCell ref="CI1:CL1"/>
    <mergeCell ref="BG1:BJ1"/>
    <mergeCell ref="BK1:BN1"/>
  </mergeCells>
  <phoneticPr fontId="2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H157"/>
  <sheetViews>
    <sheetView workbookViewId="0">
      <pane ySplit="8" topLeftCell="A9" activePane="bottomLeft" state="frozen"/>
      <selection pane="bottomLeft" activeCell="C123" sqref="C123"/>
    </sheetView>
  </sheetViews>
  <sheetFormatPr defaultRowHeight="11.25"/>
  <cols>
    <col min="1" max="1" width="4.375" style="124" customWidth="1"/>
    <col min="2" max="2" width="7.5" style="122" customWidth="1"/>
    <col min="3" max="3" width="19.375" style="123" customWidth="1"/>
    <col min="4" max="4" width="18" style="124" customWidth="1"/>
    <col min="5" max="5" width="7" style="124" customWidth="1"/>
    <col min="6" max="6" width="11.75" style="124" customWidth="1"/>
    <col min="7" max="7" width="12.5" style="124" customWidth="1"/>
    <col min="8" max="8" width="7" style="122" customWidth="1"/>
    <col min="9" max="9" width="12.5" style="124" customWidth="1"/>
    <col min="10" max="10" width="15" style="124" hidden="1" customWidth="1"/>
    <col min="11" max="11" width="6.125" style="124" customWidth="1"/>
    <col min="12" max="13" width="9.375" style="124" bestFit="1" customWidth="1"/>
    <col min="14" max="240" width="9" style="124"/>
    <col min="241" max="241" width="5.75" style="124" customWidth="1"/>
    <col min="242" max="242" width="7.5" style="124" customWidth="1"/>
    <col min="243" max="243" width="8.5" style="124" customWidth="1"/>
    <col min="244" max="244" width="19.75" style="124" customWidth="1"/>
    <col min="245" max="246" width="9.625" style="124" bestFit="1" customWidth="1"/>
    <col min="247" max="247" width="12.875" style="124" customWidth="1"/>
    <col min="248" max="248" width="9" style="124"/>
    <col min="249" max="249" width="13" style="124" customWidth="1"/>
    <col min="250" max="258" width="9" style="124"/>
    <col min="259" max="259" width="25.375" style="124" customWidth="1"/>
    <col min="260" max="263" width="9" style="124"/>
    <col min="264" max="266" width="12.125" style="124" bestFit="1" customWidth="1"/>
    <col min="267" max="267" width="11.25" style="124" bestFit="1" customWidth="1"/>
    <col min="268" max="496" width="9" style="124"/>
    <col min="497" max="497" width="5.75" style="124" customWidth="1"/>
    <col min="498" max="498" width="7.5" style="124" customWidth="1"/>
    <col min="499" max="499" width="8.5" style="124" customWidth="1"/>
    <col min="500" max="500" width="19.75" style="124" customWidth="1"/>
    <col min="501" max="502" width="9.625" style="124" bestFit="1" customWidth="1"/>
    <col min="503" max="503" width="12.875" style="124" customWidth="1"/>
    <col min="504" max="504" width="9" style="124"/>
    <col min="505" max="505" width="13" style="124" customWidth="1"/>
    <col min="506" max="514" width="9" style="124"/>
    <col min="515" max="515" width="25.375" style="124" customWidth="1"/>
    <col min="516" max="519" width="9" style="124"/>
    <col min="520" max="522" width="12.125" style="124" bestFit="1" customWidth="1"/>
    <col min="523" max="523" width="11.25" style="124" bestFit="1" customWidth="1"/>
    <col min="524" max="752" width="9" style="124"/>
    <col min="753" max="753" width="5.75" style="124" customWidth="1"/>
    <col min="754" max="754" width="7.5" style="124" customWidth="1"/>
    <col min="755" max="755" width="8.5" style="124" customWidth="1"/>
    <col min="756" max="756" width="19.75" style="124" customWidth="1"/>
    <col min="757" max="758" width="9.625" style="124" bestFit="1" customWidth="1"/>
    <col min="759" max="759" width="12.875" style="124" customWidth="1"/>
    <col min="760" max="760" width="9" style="124"/>
    <col min="761" max="761" width="13" style="124" customWidth="1"/>
    <col min="762" max="770" width="9" style="124"/>
    <col min="771" max="771" width="25.375" style="124" customWidth="1"/>
    <col min="772" max="775" width="9" style="124"/>
    <col min="776" max="778" width="12.125" style="124" bestFit="1" customWidth="1"/>
    <col min="779" max="779" width="11.25" style="124" bestFit="1" customWidth="1"/>
    <col min="780" max="1008" width="9" style="124"/>
    <col min="1009" max="1009" width="5.75" style="124" customWidth="1"/>
    <col min="1010" max="1010" width="7.5" style="124" customWidth="1"/>
    <col min="1011" max="1011" width="8.5" style="124" customWidth="1"/>
    <col min="1012" max="1012" width="19.75" style="124" customWidth="1"/>
    <col min="1013" max="1014" width="9.625" style="124" bestFit="1" customWidth="1"/>
    <col min="1015" max="1015" width="12.875" style="124" customWidth="1"/>
    <col min="1016" max="1016" width="9" style="124"/>
    <col min="1017" max="1017" width="13" style="124" customWidth="1"/>
    <col min="1018" max="1026" width="9" style="124"/>
    <col min="1027" max="1027" width="25.375" style="124" customWidth="1"/>
    <col min="1028" max="1031" width="9" style="124"/>
    <col min="1032" max="1034" width="12.125" style="124" bestFit="1" customWidth="1"/>
    <col min="1035" max="1035" width="11.25" style="124" bestFit="1" customWidth="1"/>
    <col min="1036" max="1264" width="9" style="124"/>
    <col min="1265" max="1265" width="5.75" style="124" customWidth="1"/>
    <col min="1266" max="1266" width="7.5" style="124" customWidth="1"/>
    <col min="1267" max="1267" width="8.5" style="124" customWidth="1"/>
    <col min="1268" max="1268" width="19.75" style="124" customWidth="1"/>
    <col min="1269" max="1270" width="9.625" style="124" bestFit="1" customWidth="1"/>
    <col min="1271" max="1271" width="12.875" style="124" customWidth="1"/>
    <col min="1272" max="1272" width="9" style="124"/>
    <col min="1273" max="1273" width="13" style="124" customWidth="1"/>
    <col min="1274" max="1282" width="9" style="124"/>
    <col min="1283" max="1283" width="25.375" style="124" customWidth="1"/>
    <col min="1284" max="1287" width="9" style="124"/>
    <col min="1288" max="1290" width="12.125" style="124" bestFit="1" customWidth="1"/>
    <col min="1291" max="1291" width="11.25" style="124" bestFit="1" customWidth="1"/>
    <col min="1292" max="1520" width="9" style="124"/>
    <col min="1521" max="1521" width="5.75" style="124" customWidth="1"/>
    <col min="1522" max="1522" width="7.5" style="124" customWidth="1"/>
    <col min="1523" max="1523" width="8.5" style="124" customWidth="1"/>
    <col min="1524" max="1524" width="19.75" style="124" customWidth="1"/>
    <col min="1525" max="1526" width="9.625" style="124" bestFit="1" customWidth="1"/>
    <col min="1527" max="1527" width="12.875" style="124" customWidth="1"/>
    <col min="1528" max="1528" width="9" style="124"/>
    <col min="1529" max="1529" width="13" style="124" customWidth="1"/>
    <col min="1530" max="1538" width="9" style="124"/>
    <col min="1539" max="1539" width="25.375" style="124" customWidth="1"/>
    <col min="1540" max="1543" width="9" style="124"/>
    <col min="1544" max="1546" width="12.125" style="124" bestFit="1" customWidth="1"/>
    <col min="1547" max="1547" width="11.25" style="124" bestFit="1" customWidth="1"/>
    <col min="1548" max="1776" width="9" style="124"/>
    <col min="1777" max="1777" width="5.75" style="124" customWidth="1"/>
    <col min="1778" max="1778" width="7.5" style="124" customWidth="1"/>
    <col min="1779" max="1779" width="8.5" style="124" customWidth="1"/>
    <col min="1780" max="1780" width="19.75" style="124" customWidth="1"/>
    <col min="1781" max="1782" width="9.625" style="124" bestFit="1" customWidth="1"/>
    <col min="1783" max="1783" width="12.875" style="124" customWidth="1"/>
    <col min="1784" max="1784" width="9" style="124"/>
    <col min="1785" max="1785" width="13" style="124" customWidth="1"/>
    <col min="1786" max="1794" width="9" style="124"/>
    <col min="1795" max="1795" width="25.375" style="124" customWidth="1"/>
    <col min="1796" max="1799" width="9" style="124"/>
    <col min="1800" max="1802" width="12.125" style="124" bestFit="1" customWidth="1"/>
    <col min="1803" max="1803" width="11.25" style="124" bestFit="1" customWidth="1"/>
    <col min="1804" max="2032" width="9" style="124"/>
    <col min="2033" max="2033" width="5.75" style="124" customWidth="1"/>
    <col min="2034" max="2034" width="7.5" style="124" customWidth="1"/>
    <col min="2035" max="2035" width="8.5" style="124" customWidth="1"/>
    <col min="2036" max="2036" width="19.75" style="124" customWidth="1"/>
    <col min="2037" max="2038" width="9.625" style="124" bestFit="1" customWidth="1"/>
    <col min="2039" max="2039" width="12.875" style="124" customWidth="1"/>
    <col min="2040" max="2040" width="9" style="124"/>
    <col min="2041" max="2041" width="13" style="124" customWidth="1"/>
    <col min="2042" max="2050" width="9" style="124"/>
    <col min="2051" max="2051" width="25.375" style="124" customWidth="1"/>
    <col min="2052" max="2055" width="9" style="124"/>
    <col min="2056" max="2058" width="12.125" style="124" bestFit="1" customWidth="1"/>
    <col min="2059" max="2059" width="11.25" style="124" bestFit="1" customWidth="1"/>
    <col min="2060" max="2288" width="9" style="124"/>
    <col min="2289" max="2289" width="5.75" style="124" customWidth="1"/>
    <col min="2290" max="2290" width="7.5" style="124" customWidth="1"/>
    <col min="2291" max="2291" width="8.5" style="124" customWidth="1"/>
    <col min="2292" max="2292" width="19.75" style="124" customWidth="1"/>
    <col min="2293" max="2294" width="9.625" style="124" bestFit="1" customWidth="1"/>
    <col min="2295" max="2295" width="12.875" style="124" customWidth="1"/>
    <col min="2296" max="2296" width="9" style="124"/>
    <col min="2297" max="2297" width="13" style="124" customWidth="1"/>
    <col min="2298" max="2306" width="9" style="124"/>
    <col min="2307" max="2307" width="25.375" style="124" customWidth="1"/>
    <col min="2308" max="2311" width="9" style="124"/>
    <col min="2312" max="2314" width="12.125" style="124" bestFit="1" customWidth="1"/>
    <col min="2315" max="2315" width="11.25" style="124" bestFit="1" customWidth="1"/>
    <col min="2316" max="2544" width="9" style="124"/>
    <col min="2545" max="2545" width="5.75" style="124" customWidth="1"/>
    <col min="2546" max="2546" width="7.5" style="124" customWidth="1"/>
    <col min="2547" max="2547" width="8.5" style="124" customWidth="1"/>
    <col min="2548" max="2548" width="19.75" style="124" customWidth="1"/>
    <col min="2549" max="2550" width="9.625" style="124" bestFit="1" customWidth="1"/>
    <col min="2551" max="2551" width="12.875" style="124" customWidth="1"/>
    <col min="2552" max="2552" width="9" style="124"/>
    <col min="2553" max="2553" width="13" style="124" customWidth="1"/>
    <col min="2554" max="2562" width="9" style="124"/>
    <col min="2563" max="2563" width="25.375" style="124" customWidth="1"/>
    <col min="2564" max="2567" width="9" style="124"/>
    <col min="2568" max="2570" width="12.125" style="124" bestFit="1" customWidth="1"/>
    <col min="2571" max="2571" width="11.25" style="124" bestFit="1" customWidth="1"/>
    <col min="2572" max="2800" width="9" style="124"/>
    <col min="2801" max="2801" width="5.75" style="124" customWidth="1"/>
    <col min="2802" max="2802" width="7.5" style="124" customWidth="1"/>
    <col min="2803" max="2803" width="8.5" style="124" customWidth="1"/>
    <col min="2804" max="2804" width="19.75" style="124" customWidth="1"/>
    <col min="2805" max="2806" width="9.625" style="124" bestFit="1" customWidth="1"/>
    <col min="2807" max="2807" width="12.875" style="124" customWidth="1"/>
    <col min="2808" max="2808" width="9" style="124"/>
    <col min="2809" max="2809" width="13" style="124" customWidth="1"/>
    <col min="2810" max="2818" width="9" style="124"/>
    <col min="2819" max="2819" width="25.375" style="124" customWidth="1"/>
    <col min="2820" max="2823" width="9" style="124"/>
    <col min="2824" max="2826" width="12.125" style="124" bestFit="1" customWidth="1"/>
    <col min="2827" max="2827" width="11.25" style="124" bestFit="1" customWidth="1"/>
    <col min="2828" max="3056" width="9" style="124"/>
    <col min="3057" max="3057" width="5.75" style="124" customWidth="1"/>
    <col min="3058" max="3058" width="7.5" style="124" customWidth="1"/>
    <col min="3059" max="3059" width="8.5" style="124" customWidth="1"/>
    <col min="3060" max="3060" width="19.75" style="124" customWidth="1"/>
    <col min="3061" max="3062" width="9.625" style="124" bestFit="1" customWidth="1"/>
    <col min="3063" max="3063" width="12.875" style="124" customWidth="1"/>
    <col min="3064" max="3064" width="9" style="124"/>
    <col min="3065" max="3065" width="13" style="124" customWidth="1"/>
    <col min="3066" max="3074" width="9" style="124"/>
    <col min="3075" max="3075" width="25.375" style="124" customWidth="1"/>
    <col min="3076" max="3079" width="9" style="124"/>
    <col min="3080" max="3082" width="12.125" style="124" bestFit="1" customWidth="1"/>
    <col min="3083" max="3083" width="11.25" style="124" bestFit="1" customWidth="1"/>
    <col min="3084" max="3312" width="9" style="124"/>
    <col min="3313" max="3313" width="5.75" style="124" customWidth="1"/>
    <col min="3314" max="3314" width="7.5" style="124" customWidth="1"/>
    <col min="3315" max="3315" width="8.5" style="124" customWidth="1"/>
    <col min="3316" max="3316" width="19.75" style="124" customWidth="1"/>
    <col min="3317" max="3318" width="9.625" style="124" bestFit="1" customWidth="1"/>
    <col min="3319" max="3319" width="12.875" style="124" customWidth="1"/>
    <col min="3320" max="3320" width="9" style="124"/>
    <col min="3321" max="3321" width="13" style="124" customWidth="1"/>
    <col min="3322" max="3330" width="9" style="124"/>
    <col min="3331" max="3331" width="25.375" style="124" customWidth="1"/>
    <col min="3332" max="3335" width="9" style="124"/>
    <col min="3336" max="3338" width="12.125" style="124" bestFit="1" customWidth="1"/>
    <col min="3339" max="3339" width="11.25" style="124" bestFit="1" customWidth="1"/>
    <col min="3340" max="3568" width="9" style="124"/>
    <col min="3569" max="3569" width="5.75" style="124" customWidth="1"/>
    <col min="3570" max="3570" width="7.5" style="124" customWidth="1"/>
    <col min="3571" max="3571" width="8.5" style="124" customWidth="1"/>
    <col min="3572" max="3572" width="19.75" style="124" customWidth="1"/>
    <col min="3573" max="3574" width="9.625" style="124" bestFit="1" customWidth="1"/>
    <col min="3575" max="3575" width="12.875" style="124" customWidth="1"/>
    <col min="3576" max="3576" width="9" style="124"/>
    <col min="3577" max="3577" width="13" style="124" customWidth="1"/>
    <col min="3578" max="3586" width="9" style="124"/>
    <col min="3587" max="3587" width="25.375" style="124" customWidth="1"/>
    <col min="3588" max="3591" width="9" style="124"/>
    <col min="3592" max="3594" width="12.125" style="124" bestFit="1" customWidth="1"/>
    <col min="3595" max="3595" width="11.25" style="124" bestFit="1" customWidth="1"/>
    <col min="3596" max="3824" width="9" style="124"/>
    <col min="3825" max="3825" width="5.75" style="124" customWidth="1"/>
    <col min="3826" max="3826" width="7.5" style="124" customWidth="1"/>
    <col min="3827" max="3827" width="8.5" style="124" customWidth="1"/>
    <col min="3828" max="3828" width="19.75" style="124" customWidth="1"/>
    <col min="3829" max="3830" width="9.625" style="124" bestFit="1" customWidth="1"/>
    <col min="3831" max="3831" width="12.875" style="124" customWidth="1"/>
    <col min="3832" max="3832" width="9" style="124"/>
    <col min="3833" max="3833" width="13" style="124" customWidth="1"/>
    <col min="3834" max="3842" width="9" style="124"/>
    <col min="3843" max="3843" width="25.375" style="124" customWidth="1"/>
    <col min="3844" max="3847" width="9" style="124"/>
    <col min="3848" max="3850" width="12.125" style="124" bestFit="1" customWidth="1"/>
    <col min="3851" max="3851" width="11.25" style="124" bestFit="1" customWidth="1"/>
    <col min="3852" max="4080" width="9" style="124"/>
    <col min="4081" max="4081" width="5.75" style="124" customWidth="1"/>
    <col min="4082" max="4082" width="7.5" style="124" customWidth="1"/>
    <col min="4083" max="4083" width="8.5" style="124" customWidth="1"/>
    <col min="4084" max="4084" width="19.75" style="124" customWidth="1"/>
    <col min="4085" max="4086" width="9.625" style="124" bestFit="1" customWidth="1"/>
    <col min="4087" max="4087" width="12.875" style="124" customWidth="1"/>
    <col min="4088" max="4088" width="9" style="124"/>
    <col min="4089" max="4089" width="13" style="124" customWidth="1"/>
    <col min="4090" max="4098" width="9" style="124"/>
    <col min="4099" max="4099" width="25.375" style="124" customWidth="1"/>
    <col min="4100" max="4103" width="9" style="124"/>
    <col min="4104" max="4106" width="12.125" style="124" bestFit="1" customWidth="1"/>
    <col min="4107" max="4107" width="11.25" style="124" bestFit="1" customWidth="1"/>
    <col min="4108" max="4336" width="9" style="124"/>
    <col min="4337" max="4337" width="5.75" style="124" customWidth="1"/>
    <col min="4338" max="4338" width="7.5" style="124" customWidth="1"/>
    <col min="4339" max="4339" width="8.5" style="124" customWidth="1"/>
    <col min="4340" max="4340" width="19.75" style="124" customWidth="1"/>
    <col min="4341" max="4342" width="9.625" style="124" bestFit="1" customWidth="1"/>
    <col min="4343" max="4343" width="12.875" style="124" customWidth="1"/>
    <col min="4344" max="4344" width="9" style="124"/>
    <col min="4345" max="4345" width="13" style="124" customWidth="1"/>
    <col min="4346" max="4354" width="9" style="124"/>
    <col min="4355" max="4355" width="25.375" style="124" customWidth="1"/>
    <col min="4356" max="4359" width="9" style="124"/>
    <col min="4360" max="4362" width="12.125" style="124" bestFit="1" customWidth="1"/>
    <col min="4363" max="4363" width="11.25" style="124" bestFit="1" customWidth="1"/>
    <col min="4364" max="4592" width="9" style="124"/>
    <col min="4593" max="4593" width="5.75" style="124" customWidth="1"/>
    <col min="4594" max="4594" width="7.5" style="124" customWidth="1"/>
    <col min="4595" max="4595" width="8.5" style="124" customWidth="1"/>
    <col min="4596" max="4596" width="19.75" style="124" customWidth="1"/>
    <col min="4597" max="4598" width="9.625" style="124" bestFit="1" customWidth="1"/>
    <col min="4599" max="4599" width="12.875" style="124" customWidth="1"/>
    <col min="4600" max="4600" width="9" style="124"/>
    <col min="4601" max="4601" width="13" style="124" customWidth="1"/>
    <col min="4602" max="4610" width="9" style="124"/>
    <col min="4611" max="4611" width="25.375" style="124" customWidth="1"/>
    <col min="4612" max="4615" width="9" style="124"/>
    <col min="4616" max="4618" width="12.125" style="124" bestFit="1" customWidth="1"/>
    <col min="4619" max="4619" width="11.25" style="124" bestFit="1" customWidth="1"/>
    <col min="4620" max="4848" width="9" style="124"/>
    <col min="4849" max="4849" width="5.75" style="124" customWidth="1"/>
    <col min="4850" max="4850" width="7.5" style="124" customWidth="1"/>
    <col min="4851" max="4851" width="8.5" style="124" customWidth="1"/>
    <col min="4852" max="4852" width="19.75" style="124" customWidth="1"/>
    <col min="4853" max="4854" width="9.625" style="124" bestFit="1" customWidth="1"/>
    <col min="4855" max="4855" width="12.875" style="124" customWidth="1"/>
    <col min="4856" max="4856" width="9" style="124"/>
    <col min="4857" max="4857" width="13" style="124" customWidth="1"/>
    <col min="4858" max="4866" width="9" style="124"/>
    <col min="4867" max="4867" width="25.375" style="124" customWidth="1"/>
    <col min="4868" max="4871" width="9" style="124"/>
    <col min="4872" max="4874" width="12.125" style="124" bestFit="1" customWidth="1"/>
    <col min="4875" max="4875" width="11.25" style="124" bestFit="1" customWidth="1"/>
    <col min="4876" max="5104" width="9" style="124"/>
    <col min="5105" max="5105" width="5.75" style="124" customWidth="1"/>
    <col min="5106" max="5106" width="7.5" style="124" customWidth="1"/>
    <col min="5107" max="5107" width="8.5" style="124" customWidth="1"/>
    <col min="5108" max="5108" width="19.75" style="124" customWidth="1"/>
    <col min="5109" max="5110" width="9.625" style="124" bestFit="1" customWidth="1"/>
    <col min="5111" max="5111" width="12.875" style="124" customWidth="1"/>
    <col min="5112" max="5112" width="9" style="124"/>
    <col min="5113" max="5113" width="13" style="124" customWidth="1"/>
    <col min="5114" max="5122" width="9" style="124"/>
    <col min="5123" max="5123" width="25.375" style="124" customWidth="1"/>
    <col min="5124" max="5127" width="9" style="124"/>
    <col min="5128" max="5130" width="12.125" style="124" bestFit="1" customWidth="1"/>
    <col min="5131" max="5131" width="11.25" style="124" bestFit="1" customWidth="1"/>
    <col min="5132" max="5360" width="9" style="124"/>
    <col min="5361" max="5361" width="5.75" style="124" customWidth="1"/>
    <col min="5362" max="5362" width="7.5" style="124" customWidth="1"/>
    <col min="5363" max="5363" width="8.5" style="124" customWidth="1"/>
    <col min="5364" max="5364" width="19.75" style="124" customWidth="1"/>
    <col min="5365" max="5366" width="9.625" style="124" bestFit="1" customWidth="1"/>
    <col min="5367" max="5367" width="12.875" style="124" customWidth="1"/>
    <col min="5368" max="5368" width="9" style="124"/>
    <col min="5369" max="5369" width="13" style="124" customWidth="1"/>
    <col min="5370" max="5378" width="9" style="124"/>
    <col min="5379" max="5379" width="25.375" style="124" customWidth="1"/>
    <col min="5380" max="5383" width="9" style="124"/>
    <col min="5384" max="5386" width="12.125" style="124" bestFit="1" customWidth="1"/>
    <col min="5387" max="5387" width="11.25" style="124" bestFit="1" customWidth="1"/>
    <col min="5388" max="5616" width="9" style="124"/>
    <col min="5617" max="5617" width="5.75" style="124" customWidth="1"/>
    <col min="5618" max="5618" width="7.5" style="124" customWidth="1"/>
    <col min="5619" max="5619" width="8.5" style="124" customWidth="1"/>
    <col min="5620" max="5620" width="19.75" style="124" customWidth="1"/>
    <col min="5621" max="5622" width="9.625" style="124" bestFit="1" customWidth="1"/>
    <col min="5623" max="5623" width="12.875" style="124" customWidth="1"/>
    <col min="5624" max="5624" width="9" style="124"/>
    <col min="5625" max="5625" width="13" style="124" customWidth="1"/>
    <col min="5626" max="5634" width="9" style="124"/>
    <col min="5635" max="5635" width="25.375" style="124" customWidth="1"/>
    <col min="5636" max="5639" width="9" style="124"/>
    <col min="5640" max="5642" width="12.125" style="124" bestFit="1" customWidth="1"/>
    <col min="5643" max="5643" width="11.25" style="124" bestFit="1" customWidth="1"/>
    <col min="5644" max="5872" width="9" style="124"/>
    <col min="5873" max="5873" width="5.75" style="124" customWidth="1"/>
    <col min="5874" max="5874" width="7.5" style="124" customWidth="1"/>
    <col min="5875" max="5875" width="8.5" style="124" customWidth="1"/>
    <col min="5876" max="5876" width="19.75" style="124" customWidth="1"/>
    <col min="5877" max="5878" width="9.625" style="124" bestFit="1" customWidth="1"/>
    <col min="5879" max="5879" width="12.875" style="124" customWidth="1"/>
    <col min="5880" max="5880" width="9" style="124"/>
    <col min="5881" max="5881" width="13" style="124" customWidth="1"/>
    <col min="5882" max="5890" width="9" style="124"/>
    <col min="5891" max="5891" width="25.375" style="124" customWidth="1"/>
    <col min="5892" max="5895" width="9" style="124"/>
    <col min="5896" max="5898" width="12.125" style="124" bestFit="1" customWidth="1"/>
    <col min="5899" max="5899" width="11.25" style="124" bestFit="1" customWidth="1"/>
    <col min="5900" max="6128" width="9" style="124"/>
    <col min="6129" max="6129" width="5.75" style="124" customWidth="1"/>
    <col min="6130" max="6130" width="7.5" style="124" customWidth="1"/>
    <col min="6131" max="6131" width="8.5" style="124" customWidth="1"/>
    <col min="6132" max="6132" width="19.75" style="124" customWidth="1"/>
    <col min="6133" max="6134" width="9.625" style="124" bestFit="1" customWidth="1"/>
    <col min="6135" max="6135" width="12.875" style="124" customWidth="1"/>
    <col min="6136" max="6136" width="9" style="124"/>
    <col min="6137" max="6137" width="13" style="124" customWidth="1"/>
    <col min="6138" max="6146" width="9" style="124"/>
    <col min="6147" max="6147" width="25.375" style="124" customWidth="1"/>
    <col min="6148" max="6151" width="9" style="124"/>
    <col min="6152" max="6154" width="12.125" style="124" bestFit="1" customWidth="1"/>
    <col min="6155" max="6155" width="11.25" style="124" bestFit="1" customWidth="1"/>
    <col min="6156" max="6384" width="9" style="124"/>
    <col min="6385" max="6385" width="5.75" style="124" customWidth="1"/>
    <col min="6386" max="6386" width="7.5" style="124" customWidth="1"/>
    <col min="6387" max="6387" width="8.5" style="124" customWidth="1"/>
    <col min="6388" max="6388" width="19.75" style="124" customWidth="1"/>
    <col min="6389" max="6390" width="9.625" style="124" bestFit="1" customWidth="1"/>
    <col min="6391" max="6391" width="12.875" style="124" customWidth="1"/>
    <col min="6392" max="6392" width="9" style="124"/>
    <col min="6393" max="6393" width="13" style="124" customWidth="1"/>
    <col min="6394" max="6402" width="9" style="124"/>
    <col min="6403" max="6403" width="25.375" style="124" customWidth="1"/>
    <col min="6404" max="6407" width="9" style="124"/>
    <col min="6408" max="6410" width="12.125" style="124" bestFit="1" customWidth="1"/>
    <col min="6411" max="6411" width="11.25" style="124" bestFit="1" customWidth="1"/>
    <col min="6412" max="6640" width="9" style="124"/>
    <col min="6641" max="6641" width="5.75" style="124" customWidth="1"/>
    <col min="6642" max="6642" width="7.5" style="124" customWidth="1"/>
    <col min="6643" max="6643" width="8.5" style="124" customWidth="1"/>
    <col min="6644" max="6644" width="19.75" style="124" customWidth="1"/>
    <col min="6645" max="6646" width="9.625" style="124" bestFit="1" customWidth="1"/>
    <col min="6647" max="6647" width="12.875" style="124" customWidth="1"/>
    <col min="6648" max="6648" width="9" style="124"/>
    <col min="6649" max="6649" width="13" style="124" customWidth="1"/>
    <col min="6650" max="6658" width="9" style="124"/>
    <col min="6659" max="6659" width="25.375" style="124" customWidth="1"/>
    <col min="6660" max="6663" width="9" style="124"/>
    <col min="6664" max="6666" width="12.125" style="124" bestFit="1" customWidth="1"/>
    <col min="6667" max="6667" width="11.25" style="124" bestFit="1" customWidth="1"/>
    <col min="6668" max="6896" width="9" style="124"/>
    <col min="6897" max="6897" width="5.75" style="124" customWidth="1"/>
    <col min="6898" max="6898" width="7.5" style="124" customWidth="1"/>
    <col min="6899" max="6899" width="8.5" style="124" customWidth="1"/>
    <col min="6900" max="6900" width="19.75" style="124" customWidth="1"/>
    <col min="6901" max="6902" width="9.625" style="124" bestFit="1" customWidth="1"/>
    <col min="6903" max="6903" width="12.875" style="124" customWidth="1"/>
    <col min="6904" max="6904" width="9" style="124"/>
    <col min="6905" max="6905" width="13" style="124" customWidth="1"/>
    <col min="6906" max="6914" width="9" style="124"/>
    <col min="6915" max="6915" width="25.375" style="124" customWidth="1"/>
    <col min="6916" max="6919" width="9" style="124"/>
    <col min="6920" max="6922" width="12.125" style="124" bestFit="1" customWidth="1"/>
    <col min="6923" max="6923" width="11.25" style="124" bestFit="1" customWidth="1"/>
    <col min="6924" max="7152" width="9" style="124"/>
    <col min="7153" max="7153" width="5.75" style="124" customWidth="1"/>
    <col min="7154" max="7154" width="7.5" style="124" customWidth="1"/>
    <col min="7155" max="7155" width="8.5" style="124" customWidth="1"/>
    <col min="7156" max="7156" width="19.75" style="124" customWidth="1"/>
    <col min="7157" max="7158" width="9.625" style="124" bestFit="1" customWidth="1"/>
    <col min="7159" max="7159" width="12.875" style="124" customWidth="1"/>
    <col min="7160" max="7160" width="9" style="124"/>
    <col min="7161" max="7161" width="13" style="124" customWidth="1"/>
    <col min="7162" max="7170" width="9" style="124"/>
    <col min="7171" max="7171" width="25.375" style="124" customWidth="1"/>
    <col min="7172" max="7175" width="9" style="124"/>
    <col min="7176" max="7178" width="12.125" style="124" bestFit="1" customWidth="1"/>
    <col min="7179" max="7179" width="11.25" style="124" bestFit="1" customWidth="1"/>
    <col min="7180" max="7408" width="9" style="124"/>
    <col min="7409" max="7409" width="5.75" style="124" customWidth="1"/>
    <col min="7410" max="7410" width="7.5" style="124" customWidth="1"/>
    <col min="7411" max="7411" width="8.5" style="124" customWidth="1"/>
    <col min="7412" max="7412" width="19.75" style="124" customWidth="1"/>
    <col min="7413" max="7414" width="9.625" style="124" bestFit="1" customWidth="1"/>
    <col min="7415" max="7415" width="12.875" style="124" customWidth="1"/>
    <col min="7416" max="7416" width="9" style="124"/>
    <col min="7417" max="7417" width="13" style="124" customWidth="1"/>
    <col min="7418" max="7426" width="9" style="124"/>
    <col min="7427" max="7427" width="25.375" style="124" customWidth="1"/>
    <col min="7428" max="7431" width="9" style="124"/>
    <col min="7432" max="7434" width="12.125" style="124" bestFit="1" customWidth="1"/>
    <col min="7435" max="7435" width="11.25" style="124" bestFit="1" customWidth="1"/>
    <col min="7436" max="7664" width="9" style="124"/>
    <col min="7665" max="7665" width="5.75" style="124" customWidth="1"/>
    <col min="7666" max="7666" width="7.5" style="124" customWidth="1"/>
    <col min="7667" max="7667" width="8.5" style="124" customWidth="1"/>
    <col min="7668" max="7668" width="19.75" style="124" customWidth="1"/>
    <col min="7669" max="7670" width="9.625" style="124" bestFit="1" customWidth="1"/>
    <col min="7671" max="7671" width="12.875" style="124" customWidth="1"/>
    <col min="7672" max="7672" width="9" style="124"/>
    <col min="7673" max="7673" width="13" style="124" customWidth="1"/>
    <col min="7674" max="7682" width="9" style="124"/>
    <col min="7683" max="7683" width="25.375" style="124" customWidth="1"/>
    <col min="7684" max="7687" width="9" style="124"/>
    <col min="7688" max="7690" width="12.125" style="124" bestFit="1" customWidth="1"/>
    <col min="7691" max="7691" width="11.25" style="124" bestFit="1" customWidth="1"/>
    <col min="7692" max="7920" width="9" style="124"/>
    <col min="7921" max="7921" width="5.75" style="124" customWidth="1"/>
    <col min="7922" max="7922" width="7.5" style="124" customWidth="1"/>
    <col min="7923" max="7923" width="8.5" style="124" customWidth="1"/>
    <col min="7924" max="7924" width="19.75" style="124" customWidth="1"/>
    <col min="7925" max="7926" width="9.625" style="124" bestFit="1" customWidth="1"/>
    <col min="7927" max="7927" width="12.875" style="124" customWidth="1"/>
    <col min="7928" max="7928" width="9" style="124"/>
    <col min="7929" max="7929" width="13" style="124" customWidth="1"/>
    <col min="7930" max="7938" width="9" style="124"/>
    <col min="7939" max="7939" width="25.375" style="124" customWidth="1"/>
    <col min="7940" max="7943" width="9" style="124"/>
    <col min="7944" max="7946" width="12.125" style="124" bestFit="1" customWidth="1"/>
    <col min="7947" max="7947" width="11.25" style="124" bestFit="1" customWidth="1"/>
    <col min="7948" max="8176" width="9" style="124"/>
    <col min="8177" max="8177" width="5.75" style="124" customWidth="1"/>
    <col min="8178" max="8178" width="7.5" style="124" customWidth="1"/>
    <col min="8179" max="8179" width="8.5" style="124" customWidth="1"/>
    <col min="8180" max="8180" width="19.75" style="124" customWidth="1"/>
    <col min="8181" max="8182" width="9.625" style="124" bestFit="1" customWidth="1"/>
    <col min="8183" max="8183" width="12.875" style="124" customWidth="1"/>
    <col min="8184" max="8184" width="9" style="124"/>
    <col min="8185" max="8185" width="13" style="124" customWidth="1"/>
    <col min="8186" max="8194" width="9" style="124"/>
    <col min="8195" max="8195" width="25.375" style="124" customWidth="1"/>
    <col min="8196" max="8199" width="9" style="124"/>
    <col min="8200" max="8202" width="12.125" style="124" bestFit="1" customWidth="1"/>
    <col min="8203" max="8203" width="11.25" style="124" bestFit="1" customWidth="1"/>
    <col min="8204" max="8432" width="9" style="124"/>
    <col min="8433" max="8433" width="5.75" style="124" customWidth="1"/>
    <col min="8434" max="8434" width="7.5" style="124" customWidth="1"/>
    <col min="8435" max="8435" width="8.5" style="124" customWidth="1"/>
    <col min="8436" max="8436" width="19.75" style="124" customWidth="1"/>
    <col min="8437" max="8438" width="9.625" style="124" bestFit="1" customWidth="1"/>
    <col min="8439" max="8439" width="12.875" style="124" customWidth="1"/>
    <col min="8440" max="8440" width="9" style="124"/>
    <col min="8441" max="8441" width="13" style="124" customWidth="1"/>
    <col min="8442" max="8450" width="9" style="124"/>
    <col min="8451" max="8451" width="25.375" style="124" customWidth="1"/>
    <col min="8452" max="8455" width="9" style="124"/>
    <col min="8456" max="8458" width="12.125" style="124" bestFit="1" customWidth="1"/>
    <col min="8459" max="8459" width="11.25" style="124" bestFit="1" customWidth="1"/>
    <col min="8460" max="8688" width="9" style="124"/>
    <col min="8689" max="8689" width="5.75" style="124" customWidth="1"/>
    <col min="8690" max="8690" width="7.5" style="124" customWidth="1"/>
    <col min="8691" max="8691" width="8.5" style="124" customWidth="1"/>
    <col min="8692" max="8692" width="19.75" style="124" customWidth="1"/>
    <col min="8693" max="8694" width="9.625" style="124" bestFit="1" customWidth="1"/>
    <col min="8695" max="8695" width="12.875" style="124" customWidth="1"/>
    <col min="8696" max="8696" width="9" style="124"/>
    <col min="8697" max="8697" width="13" style="124" customWidth="1"/>
    <col min="8698" max="8706" width="9" style="124"/>
    <col min="8707" max="8707" width="25.375" style="124" customWidth="1"/>
    <col min="8708" max="8711" width="9" style="124"/>
    <col min="8712" max="8714" width="12.125" style="124" bestFit="1" customWidth="1"/>
    <col min="8715" max="8715" width="11.25" style="124" bestFit="1" customWidth="1"/>
    <col min="8716" max="8944" width="9" style="124"/>
    <col min="8945" max="8945" width="5.75" style="124" customWidth="1"/>
    <col min="8946" max="8946" width="7.5" style="124" customWidth="1"/>
    <col min="8947" max="8947" width="8.5" style="124" customWidth="1"/>
    <col min="8948" max="8948" width="19.75" style="124" customWidth="1"/>
    <col min="8949" max="8950" width="9.625" style="124" bestFit="1" customWidth="1"/>
    <col min="8951" max="8951" width="12.875" style="124" customWidth="1"/>
    <col min="8952" max="8952" width="9" style="124"/>
    <col min="8953" max="8953" width="13" style="124" customWidth="1"/>
    <col min="8954" max="8962" width="9" style="124"/>
    <col min="8963" max="8963" width="25.375" style="124" customWidth="1"/>
    <col min="8964" max="8967" width="9" style="124"/>
    <col min="8968" max="8970" width="12.125" style="124" bestFit="1" customWidth="1"/>
    <col min="8971" max="8971" width="11.25" style="124" bestFit="1" customWidth="1"/>
    <col min="8972" max="9200" width="9" style="124"/>
    <col min="9201" max="9201" width="5.75" style="124" customWidth="1"/>
    <col min="9202" max="9202" width="7.5" style="124" customWidth="1"/>
    <col min="9203" max="9203" width="8.5" style="124" customWidth="1"/>
    <col min="9204" max="9204" width="19.75" style="124" customWidth="1"/>
    <col min="9205" max="9206" width="9.625" style="124" bestFit="1" customWidth="1"/>
    <col min="9207" max="9207" width="12.875" style="124" customWidth="1"/>
    <col min="9208" max="9208" width="9" style="124"/>
    <col min="9209" max="9209" width="13" style="124" customWidth="1"/>
    <col min="9210" max="9218" width="9" style="124"/>
    <col min="9219" max="9219" width="25.375" style="124" customWidth="1"/>
    <col min="9220" max="9223" width="9" style="124"/>
    <col min="9224" max="9226" width="12.125" style="124" bestFit="1" customWidth="1"/>
    <col min="9227" max="9227" width="11.25" style="124" bestFit="1" customWidth="1"/>
    <col min="9228" max="9456" width="9" style="124"/>
    <col min="9457" max="9457" width="5.75" style="124" customWidth="1"/>
    <col min="9458" max="9458" width="7.5" style="124" customWidth="1"/>
    <col min="9459" max="9459" width="8.5" style="124" customWidth="1"/>
    <col min="9460" max="9460" width="19.75" style="124" customWidth="1"/>
    <col min="9461" max="9462" width="9.625" style="124" bestFit="1" customWidth="1"/>
    <col min="9463" max="9463" width="12.875" style="124" customWidth="1"/>
    <col min="9464" max="9464" width="9" style="124"/>
    <col min="9465" max="9465" width="13" style="124" customWidth="1"/>
    <col min="9466" max="9474" width="9" style="124"/>
    <col min="9475" max="9475" width="25.375" style="124" customWidth="1"/>
    <col min="9476" max="9479" width="9" style="124"/>
    <col min="9480" max="9482" width="12.125" style="124" bestFit="1" customWidth="1"/>
    <col min="9483" max="9483" width="11.25" style="124" bestFit="1" customWidth="1"/>
    <col min="9484" max="9712" width="9" style="124"/>
    <col min="9713" max="9713" width="5.75" style="124" customWidth="1"/>
    <col min="9714" max="9714" width="7.5" style="124" customWidth="1"/>
    <col min="9715" max="9715" width="8.5" style="124" customWidth="1"/>
    <col min="9716" max="9716" width="19.75" style="124" customWidth="1"/>
    <col min="9717" max="9718" width="9.625" style="124" bestFit="1" customWidth="1"/>
    <col min="9719" max="9719" width="12.875" style="124" customWidth="1"/>
    <col min="9720" max="9720" width="9" style="124"/>
    <col min="9721" max="9721" width="13" style="124" customWidth="1"/>
    <col min="9722" max="9730" width="9" style="124"/>
    <col min="9731" max="9731" width="25.375" style="124" customWidth="1"/>
    <col min="9732" max="9735" width="9" style="124"/>
    <col min="9736" max="9738" width="12.125" style="124" bestFit="1" customWidth="1"/>
    <col min="9739" max="9739" width="11.25" style="124" bestFit="1" customWidth="1"/>
    <col min="9740" max="9968" width="9" style="124"/>
    <col min="9969" max="9969" width="5.75" style="124" customWidth="1"/>
    <col min="9970" max="9970" width="7.5" style="124" customWidth="1"/>
    <col min="9971" max="9971" width="8.5" style="124" customWidth="1"/>
    <col min="9972" max="9972" width="19.75" style="124" customWidth="1"/>
    <col min="9973" max="9974" width="9.625" style="124" bestFit="1" customWidth="1"/>
    <col min="9975" max="9975" width="12.875" style="124" customWidth="1"/>
    <col min="9976" max="9976" width="9" style="124"/>
    <col min="9977" max="9977" width="13" style="124" customWidth="1"/>
    <col min="9978" max="9986" width="9" style="124"/>
    <col min="9987" max="9987" width="25.375" style="124" customWidth="1"/>
    <col min="9988" max="9991" width="9" style="124"/>
    <col min="9992" max="9994" width="12.125" style="124" bestFit="1" customWidth="1"/>
    <col min="9995" max="9995" width="11.25" style="124" bestFit="1" customWidth="1"/>
    <col min="9996" max="10224" width="9" style="124"/>
    <col min="10225" max="10225" width="5.75" style="124" customWidth="1"/>
    <col min="10226" max="10226" width="7.5" style="124" customWidth="1"/>
    <col min="10227" max="10227" width="8.5" style="124" customWidth="1"/>
    <col min="10228" max="10228" width="19.75" style="124" customWidth="1"/>
    <col min="10229" max="10230" width="9.625" style="124" bestFit="1" customWidth="1"/>
    <col min="10231" max="10231" width="12.875" style="124" customWidth="1"/>
    <col min="10232" max="10232" width="9" style="124"/>
    <col min="10233" max="10233" width="13" style="124" customWidth="1"/>
    <col min="10234" max="10242" width="9" style="124"/>
    <col min="10243" max="10243" width="25.375" style="124" customWidth="1"/>
    <col min="10244" max="10247" width="9" style="124"/>
    <col min="10248" max="10250" width="12.125" style="124" bestFit="1" customWidth="1"/>
    <col min="10251" max="10251" width="11.25" style="124" bestFit="1" customWidth="1"/>
    <col min="10252" max="10480" width="9" style="124"/>
    <col min="10481" max="10481" width="5.75" style="124" customWidth="1"/>
    <col min="10482" max="10482" width="7.5" style="124" customWidth="1"/>
    <col min="10483" max="10483" width="8.5" style="124" customWidth="1"/>
    <col min="10484" max="10484" width="19.75" style="124" customWidth="1"/>
    <col min="10485" max="10486" width="9.625" style="124" bestFit="1" customWidth="1"/>
    <col min="10487" max="10487" width="12.875" style="124" customWidth="1"/>
    <col min="10488" max="10488" width="9" style="124"/>
    <col min="10489" max="10489" width="13" style="124" customWidth="1"/>
    <col min="10490" max="10498" width="9" style="124"/>
    <col min="10499" max="10499" width="25.375" style="124" customWidth="1"/>
    <col min="10500" max="10503" width="9" style="124"/>
    <col min="10504" max="10506" width="12.125" style="124" bestFit="1" customWidth="1"/>
    <col min="10507" max="10507" width="11.25" style="124" bestFit="1" customWidth="1"/>
    <col min="10508" max="10736" width="9" style="124"/>
    <col min="10737" max="10737" width="5.75" style="124" customWidth="1"/>
    <col min="10738" max="10738" width="7.5" style="124" customWidth="1"/>
    <col min="10739" max="10739" width="8.5" style="124" customWidth="1"/>
    <col min="10740" max="10740" width="19.75" style="124" customWidth="1"/>
    <col min="10741" max="10742" width="9.625" style="124" bestFit="1" customWidth="1"/>
    <col min="10743" max="10743" width="12.875" style="124" customWidth="1"/>
    <col min="10744" max="10744" width="9" style="124"/>
    <col min="10745" max="10745" width="13" style="124" customWidth="1"/>
    <col min="10746" max="10754" width="9" style="124"/>
    <col min="10755" max="10755" width="25.375" style="124" customWidth="1"/>
    <col min="10756" max="10759" width="9" style="124"/>
    <col min="10760" max="10762" width="12.125" style="124" bestFit="1" customWidth="1"/>
    <col min="10763" max="10763" width="11.25" style="124" bestFit="1" customWidth="1"/>
    <col min="10764" max="10992" width="9" style="124"/>
    <col min="10993" max="10993" width="5.75" style="124" customWidth="1"/>
    <col min="10994" max="10994" width="7.5" style="124" customWidth="1"/>
    <col min="10995" max="10995" width="8.5" style="124" customWidth="1"/>
    <col min="10996" max="10996" width="19.75" style="124" customWidth="1"/>
    <col min="10997" max="10998" width="9.625" style="124" bestFit="1" customWidth="1"/>
    <col min="10999" max="10999" width="12.875" style="124" customWidth="1"/>
    <col min="11000" max="11000" width="9" style="124"/>
    <col min="11001" max="11001" width="13" style="124" customWidth="1"/>
    <col min="11002" max="11010" width="9" style="124"/>
    <col min="11011" max="11011" width="25.375" style="124" customWidth="1"/>
    <col min="11012" max="11015" width="9" style="124"/>
    <col min="11016" max="11018" width="12.125" style="124" bestFit="1" customWidth="1"/>
    <col min="11019" max="11019" width="11.25" style="124" bestFit="1" customWidth="1"/>
    <col min="11020" max="11248" width="9" style="124"/>
    <col min="11249" max="11249" width="5.75" style="124" customWidth="1"/>
    <col min="11250" max="11250" width="7.5" style="124" customWidth="1"/>
    <col min="11251" max="11251" width="8.5" style="124" customWidth="1"/>
    <col min="11252" max="11252" width="19.75" style="124" customWidth="1"/>
    <col min="11253" max="11254" width="9.625" style="124" bestFit="1" customWidth="1"/>
    <col min="11255" max="11255" width="12.875" style="124" customWidth="1"/>
    <col min="11256" max="11256" width="9" style="124"/>
    <col min="11257" max="11257" width="13" style="124" customWidth="1"/>
    <col min="11258" max="11266" width="9" style="124"/>
    <col min="11267" max="11267" width="25.375" style="124" customWidth="1"/>
    <col min="11268" max="11271" width="9" style="124"/>
    <col min="11272" max="11274" width="12.125" style="124" bestFit="1" customWidth="1"/>
    <col min="11275" max="11275" width="11.25" style="124" bestFit="1" customWidth="1"/>
    <col min="11276" max="11504" width="9" style="124"/>
    <col min="11505" max="11505" width="5.75" style="124" customWidth="1"/>
    <col min="11506" max="11506" width="7.5" style="124" customWidth="1"/>
    <col min="11507" max="11507" width="8.5" style="124" customWidth="1"/>
    <col min="11508" max="11508" width="19.75" style="124" customWidth="1"/>
    <col min="11509" max="11510" width="9.625" style="124" bestFit="1" customWidth="1"/>
    <col min="11511" max="11511" width="12.875" style="124" customWidth="1"/>
    <col min="11512" max="11512" width="9" style="124"/>
    <col min="11513" max="11513" width="13" style="124" customWidth="1"/>
    <col min="11514" max="11522" width="9" style="124"/>
    <col min="11523" max="11523" width="25.375" style="124" customWidth="1"/>
    <col min="11524" max="11527" width="9" style="124"/>
    <col min="11528" max="11530" width="12.125" style="124" bestFit="1" customWidth="1"/>
    <col min="11531" max="11531" width="11.25" style="124" bestFit="1" customWidth="1"/>
    <col min="11532" max="11760" width="9" style="124"/>
    <col min="11761" max="11761" width="5.75" style="124" customWidth="1"/>
    <col min="11762" max="11762" width="7.5" style="124" customWidth="1"/>
    <col min="11763" max="11763" width="8.5" style="124" customWidth="1"/>
    <col min="11764" max="11764" width="19.75" style="124" customWidth="1"/>
    <col min="11765" max="11766" width="9.625" style="124" bestFit="1" customWidth="1"/>
    <col min="11767" max="11767" width="12.875" style="124" customWidth="1"/>
    <col min="11768" max="11768" width="9" style="124"/>
    <col min="11769" max="11769" width="13" style="124" customWidth="1"/>
    <col min="11770" max="11778" width="9" style="124"/>
    <col min="11779" max="11779" width="25.375" style="124" customWidth="1"/>
    <col min="11780" max="11783" width="9" style="124"/>
    <col min="11784" max="11786" width="12.125" style="124" bestFit="1" customWidth="1"/>
    <col min="11787" max="11787" width="11.25" style="124" bestFit="1" customWidth="1"/>
    <col min="11788" max="12016" width="9" style="124"/>
    <col min="12017" max="12017" width="5.75" style="124" customWidth="1"/>
    <col min="12018" max="12018" width="7.5" style="124" customWidth="1"/>
    <col min="12019" max="12019" width="8.5" style="124" customWidth="1"/>
    <col min="12020" max="12020" width="19.75" style="124" customWidth="1"/>
    <col min="12021" max="12022" width="9.625" style="124" bestFit="1" customWidth="1"/>
    <col min="12023" max="12023" width="12.875" style="124" customWidth="1"/>
    <col min="12024" max="12024" width="9" style="124"/>
    <col min="12025" max="12025" width="13" style="124" customWidth="1"/>
    <col min="12026" max="12034" width="9" style="124"/>
    <col min="12035" max="12035" width="25.375" style="124" customWidth="1"/>
    <col min="12036" max="12039" width="9" style="124"/>
    <col min="12040" max="12042" width="12.125" style="124" bestFit="1" customWidth="1"/>
    <col min="12043" max="12043" width="11.25" style="124" bestFit="1" customWidth="1"/>
    <col min="12044" max="12272" width="9" style="124"/>
    <col min="12273" max="12273" width="5.75" style="124" customWidth="1"/>
    <col min="12274" max="12274" width="7.5" style="124" customWidth="1"/>
    <col min="12275" max="12275" width="8.5" style="124" customWidth="1"/>
    <col min="12276" max="12276" width="19.75" style="124" customWidth="1"/>
    <col min="12277" max="12278" width="9.625" style="124" bestFit="1" customWidth="1"/>
    <col min="12279" max="12279" width="12.875" style="124" customWidth="1"/>
    <col min="12280" max="12280" width="9" style="124"/>
    <col min="12281" max="12281" width="13" style="124" customWidth="1"/>
    <col min="12282" max="12290" width="9" style="124"/>
    <col min="12291" max="12291" width="25.375" style="124" customWidth="1"/>
    <col min="12292" max="12295" width="9" style="124"/>
    <col min="12296" max="12298" width="12.125" style="124" bestFit="1" customWidth="1"/>
    <col min="12299" max="12299" width="11.25" style="124" bestFit="1" customWidth="1"/>
    <col min="12300" max="12528" width="9" style="124"/>
    <col min="12529" max="12529" width="5.75" style="124" customWidth="1"/>
    <col min="12530" max="12530" width="7.5" style="124" customWidth="1"/>
    <col min="12531" max="12531" width="8.5" style="124" customWidth="1"/>
    <col min="12532" max="12532" width="19.75" style="124" customWidth="1"/>
    <col min="12533" max="12534" width="9.625" style="124" bestFit="1" customWidth="1"/>
    <col min="12535" max="12535" width="12.875" style="124" customWidth="1"/>
    <col min="12536" max="12536" width="9" style="124"/>
    <col min="12537" max="12537" width="13" style="124" customWidth="1"/>
    <col min="12538" max="12546" width="9" style="124"/>
    <col min="12547" max="12547" width="25.375" style="124" customWidth="1"/>
    <col min="12548" max="12551" width="9" style="124"/>
    <col min="12552" max="12554" width="12.125" style="124" bestFit="1" customWidth="1"/>
    <col min="12555" max="12555" width="11.25" style="124" bestFit="1" customWidth="1"/>
    <col min="12556" max="12784" width="9" style="124"/>
    <col min="12785" max="12785" width="5.75" style="124" customWidth="1"/>
    <col min="12786" max="12786" width="7.5" style="124" customWidth="1"/>
    <col min="12787" max="12787" width="8.5" style="124" customWidth="1"/>
    <col min="12788" max="12788" width="19.75" style="124" customWidth="1"/>
    <col min="12789" max="12790" width="9.625" style="124" bestFit="1" customWidth="1"/>
    <col min="12791" max="12791" width="12.875" style="124" customWidth="1"/>
    <col min="12792" max="12792" width="9" style="124"/>
    <col min="12793" max="12793" width="13" style="124" customWidth="1"/>
    <col min="12794" max="12802" width="9" style="124"/>
    <col min="12803" max="12803" width="25.375" style="124" customWidth="1"/>
    <col min="12804" max="12807" width="9" style="124"/>
    <col min="12808" max="12810" width="12.125" style="124" bestFit="1" customWidth="1"/>
    <col min="12811" max="12811" width="11.25" style="124" bestFit="1" customWidth="1"/>
    <col min="12812" max="13040" width="9" style="124"/>
    <col min="13041" max="13041" width="5.75" style="124" customWidth="1"/>
    <col min="13042" max="13042" width="7.5" style="124" customWidth="1"/>
    <col min="13043" max="13043" width="8.5" style="124" customWidth="1"/>
    <col min="13044" max="13044" width="19.75" style="124" customWidth="1"/>
    <col min="13045" max="13046" width="9.625" style="124" bestFit="1" customWidth="1"/>
    <col min="13047" max="13047" width="12.875" style="124" customWidth="1"/>
    <col min="13048" max="13048" width="9" style="124"/>
    <col min="13049" max="13049" width="13" style="124" customWidth="1"/>
    <col min="13050" max="13058" width="9" style="124"/>
    <col min="13059" max="13059" width="25.375" style="124" customWidth="1"/>
    <col min="13060" max="13063" width="9" style="124"/>
    <col min="13064" max="13066" width="12.125" style="124" bestFit="1" customWidth="1"/>
    <col min="13067" max="13067" width="11.25" style="124" bestFit="1" customWidth="1"/>
    <col min="13068" max="13296" width="9" style="124"/>
    <col min="13297" max="13297" width="5.75" style="124" customWidth="1"/>
    <col min="13298" max="13298" width="7.5" style="124" customWidth="1"/>
    <col min="13299" max="13299" width="8.5" style="124" customWidth="1"/>
    <col min="13300" max="13300" width="19.75" style="124" customWidth="1"/>
    <col min="13301" max="13302" width="9.625" style="124" bestFit="1" customWidth="1"/>
    <col min="13303" max="13303" width="12.875" style="124" customWidth="1"/>
    <col min="13304" max="13304" width="9" style="124"/>
    <col min="13305" max="13305" width="13" style="124" customWidth="1"/>
    <col min="13306" max="13314" width="9" style="124"/>
    <col min="13315" max="13315" width="25.375" style="124" customWidth="1"/>
    <col min="13316" max="13319" width="9" style="124"/>
    <col min="13320" max="13322" width="12.125" style="124" bestFit="1" customWidth="1"/>
    <col min="13323" max="13323" width="11.25" style="124" bestFit="1" customWidth="1"/>
    <col min="13324" max="13552" width="9" style="124"/>
    <col min="13553" max="13553" width="5.75" style="124" customWidth="1"/>
    <col min="13554" max="13554" width="7.5" style="124" customWidth="1"/>
    <col min="13555" max="13555" width="8.5" style="124" customWidth="1"/>
    <col min="13556" max="13556" width="19.75" style="124" customWidth="1"/>
    <col min="13557" max="13558" width="9.625" style="124" bestFit="1" customWidth="1"/>
    <col min="13559" max="13559" width="12.875" style="124" customWidth="1"/>
    <col min="13560" max="13560" width="9" style="124"/>
    <col min="13561" max="13561" width="13" style="124" customWidth="1"/>
    <col min="13562" max="13570" width="9" style="124"/>
    <col min="13571" max="13571" width="25.375" style="124" customWidth="1"/>
    <col min="13572" max="13575" width="9" style="124"/>
    <col min="13576" max="13578" width="12.125" style="124" bestFit="1" customWidth="1"/>
    <col min="13579" max="13579" width="11.25" style="124" bestFit="1" customWidth="1"/>
    <col min="13580" max="13808" width="9" style="124"/>
    <col min="13809" max="13809" width="5.75" style="124" customWidth="1"/>
    <col min="13810" max="13810" width="7.5" style="124" customWidth="1"/>
    <col min="13811" max="13811" width="8.5" style="124" customWidth="1"/>
    <col min="13812" max="13812" width="19.75" style="124" customWidth="1"/>
    <col min="13813" max="13814" width="9.625" style="124" bestFit="1" customWidth="1"/>
    <col min="13815" max="13815" width="12.875" style="124" customWidth="1"/>
    <col min="13816" max="13816" width="9" style="124"/>
    <col min="13817" max="13817" width="13" style="124" customWidth="1"/>
    <col min="13818" max="13826" width="9" style="124"/>
    <col min="13827" max="13827" width="25.375" style="124" customWidth="1"/>
    <col min="13828" max="13831" width="9" style="124"/>
    <col min="13832" max="13834" width="12.125" style="124" bestFit="1" customWidth="1"/>
    <col min="13835" max="13835" width="11.25" style="124" bestFit="1" customWidth="1"/>
    <col min="13836" max="14064" width="9" style="124"/>
    <col min="14065" max="14065" width="5.75" style="124" customWidth="1"/>
    <col min="14066" max="14066" width="7.5" style="124" customWidth="1"/>
    <col min="14067" max="14067" width="8.5" style="124" customWidth="1"/>
    <col min="14068" max="14068" width="19.75" style="124" customWidth="1"/>
    <col min="14069" max="14070" width="9.625" style="124" bestFit="1" customWidth="1"/>
    <col min="14071" max="14071" width="12.875" style="124" customWidth="1"/>
    <col min="14072" max="14072" width="9" style="124"/>
    <col min="14073" max="14073" width="13" style="124" customWidth="1"/>
    <col min="14074" max="14082" width="9" style="124"/>
    <col min="14083" max="14083" width="25.375" style="124" customWidth="1"/>
    <col min="14084" max="14087" width="9" style="124"/>
    <col min="14088" max="14090" width="12.125" style="124" bestFit="1" customWidth="1"/>
    <col min="14091" max="14091" width="11.25" style="124" bestFit="1" customWidth="1"/>
    <col min="14092" max="14320" width="9" style="124"/>
    <col min="14321" max="14321" width="5.75" style="124" customWidth="1"/>
    <col min="14322" max="14322" width="7.5" style="124" customWidth="1"/>
    <col min="14323" max="14323" width="8.5" style="124" customWidth="1"/>
    <col min="14324" max="14324" width="19.75" style="124" customWidth="1"/>
    <col min="14325" max="14326" width="9.625" style="124" bestFit="1" customWidth="1"/>
    <col min="14327" max="14327" width="12.875" style="124" customWidth="1"/>
    <col min="14328" max="14328" width="9" style="124"/>
    <col min="14329" max="14329" width="13" style="124" customWidth="1"/>
    <col min="14330" max="14338" width="9" style="124"/>
    <col min="14339" max="14339" width="25.375" style="124" customWidth="1"/>
    <col min="14340" max="14343" width="9" style="124"/>
    <col min="14344" max="14346" width="12.125" style="124" bestFit="1" customWidth="1"/>
    <col min="14347" max="14347" width="11.25" style="124" bestFit="1" customWidth="1"/>
    <col min="14348" max="14576" width="9" style="124"/>
    <col min="14577" max="14577" width="5.75" style="124" customWidth="1"/>
    <col min="14578" max="14578" width="7.5" style="124" customWidth="1"/>
    <col min="14579" max="14579" width="8.5" style="124" customWidth="1"/>
    <col min="14580" max="14580" width="19.75" style="124" customWidth="1"/>
    <col min="14581" max="14582" width="9.625" style="124" bestFit="1" customWidth="1"/>
    <col min="14583" max="14583" width="12.875" style="124" customWidth="1"/>
    <col min="14584" max="14584" width="9" style="124"/>
    <col min="14585" max="14585" width="13" style="124" customWidth="1"/>
    <col min="14586" max="14594" width="9" style="124"/>
    <col min="14595" max="14595" width="25.375" style="124" customWidth="1"/>
    <col min="14596" max="14599" width="9" style="124"/>
    <col min="14600" max="14602" width="12.125" style="124" bestFit="1" customWidth="1"/>
    <col min="14603" max="14603" width="11.25" style="124" bestFit="1" customWidth="1"/>
    <col min="14604" max="14832" width="9" style="124"/>
    <col min="14833" max="14833" width="5.75" style="124" customWidth="1"/>
    <col min="14834" max="14834" width="7.5" style="124" customWidth="1"/>
    <col min="14835" max="14835" width="8.5" style="124" customWidth="1"/>
    <col min="14836" max="14836" width="19.75" style="124" customWidth="1"/>
    <col min="14837" max="14838" width="9.625" style="124" bestFit="1" customWidth="1"/>
    <col min="14839" max="14839" width="12.875" style="124" customWidth="1"/>
    <col min="14840" max="14840" width="9" style="124"/>
    <col min="14841" max="14841" width="13" style="124" customWidth="1"/>
    <col min="14842" max="14850" width="9" style="124"/>
    <col min="14851" max="14851" width="25.375" style="124" customWidth="1"/>
    <col min="14852" max="14855" width="9" style="124"/>
    <col min="14856" max="14858" width="12.125" style="124" bestFit="1" customWidth="1"/>
    <col min="14859" max="14859" width="11.25" style="124" bestFit="1" customWidth="1"/>
    <col min="14860" max="15088" width="9" style="124"/>
    <col min="15089" max="15089" width="5.75" style="124" customWidth="1"/>
    <col min="15090" max="15090" width="7.5" style="124" customWidth="1"/>
    <col min="15091" max="15091" width="8.5" style="124" customWidth="1"/>
    <col min="15092" max="15092" width="19.75" style="124" customWidth="1"/>
    <col min="15093" max="15094" width="9.625" style="124" bestFit="1" customWidth="1"/>
    <col min="15095" max="15095" width="12.875" style="124" customWidth="1"/>
    <col min="15096" max="15096" width="9" style="124"/>
    <col min="15097" max="15097" width="13" style="124" customWidth="1"/>
    <col min="15098" max="15106" width="9" style="124"/>
    <col min="15107" max="15107" width="25.375" style="124" customWidth="1"/>
    <col min="15108" max="15111" width="9" style="124"/>
    <col min="15112" max="15114" width="12.125" style="124" bestFit="1" customWidth="1"/>
    <col min="15115" max="15115" width="11.25" style="124" bestFit="1" customWidth="1"/>
    <col min="15116" max="15344" width="9" style="124"/>
    <col min="15345" max="15345" width="5.75" style="124" customWidth="1"/>
    <col min="15346" max="15346" width="7.5" style="124" customWidth="1"/>
    <col min="15347" max="15347" width="8.5" style="124" customWidth="1"/>
    <col min="15348" max="15348" width="19.75" style="124" customWidth="1"/>
    <col min="15349" max="15350" width="9.625" style="124" bestFit="1" customWidth="1"/>
    <col min="15351" max="15351" width="12.875" style="124" customWidth="1"/>
    <col min="15352" max="15352" width="9" style="124"/>
    <col min="15353" max="15353" width="13" style="124" customWidth="1"/>
    <col min="15354" max="15362" width="9" style="124"/>
    <col min="15363" max="15363" width="25.375" style="124" customWidth="1"/>
    <col min="15364" max="15367" width="9" style="124"/>
    <col min="15368" max="15370" width="12.125" style="124" bestFit="1" customWidth="1"/>
    <col min="15371" max="15371" width="11.25" style="124" bestFit="1" customWidth="1"/>
    <col min="15372" max="15600" width="9" style="124"/>
    <col min="15601" max="15601" width="5.75" style="124" customWidth="1"/>
    <col min="15602" max="15602" width="7.5" style="124" customWidth="1"/>
    <col min="15603" max="15603" width="8.5" style="124" customWidth="1"/>
    <col min="15604" max="15604" width="19.75" style="124" customWidth="1"/>
    <col min="15605" max="15606" width="9.625" style="124" bestFit="1" customWidth="1"/>
    <col min="15607" max="15607" width="12.875" style="124" customWidth="1"/>
    <col min="15608" max="15608" width="9" style="124"/>
    <col min="15609" max="15609" width="13" style="124" customWidth="1"/>
    <col min="15610" max="15618" width="9" style="124"/>
    <col min="15619" max="15619" width="25.375" style="124" customWidth="1"/>
    <col min="15620" max="15623" width="9" style="124"/>
    <col min="15624" max="15626" width="12.125" style="124" bestFit="1" customWidth="1"/>
    <col min="15627" max="15627" width="11.25" style="124" bestFit="1" customWidth="1"/>
    <col min="15628" max="15856" width="9" style="124"/>
    <col min="15857" max="15857" width="5.75" style="124" customWidth="1"/>
    <col min="15858" max="15858" width="7.5" style="124" customWidth="1"/>
    <col min="15859" max="15859" width="8.5" style="124" customWidth="1"/>
    <col min="15860" max="15860" width="19.75" style="124" customWidth="1"/>
    <col min="15861" max="15862" width="9.625" style="124" bestFit="1" customWidth="1"/>
    <col min="15863" max="15863" width="12.875" style="124" customWidth="1"/>
    <col min="15864" max="15864" width="9" style="124"/>
    <col min="15865" max="15865" width="13" style="124" customWidth="1"/>
    <col min="15866" max="15874" width="9" style="124"/>
    <col min="15875" max="15875" width="25.375" style="124" customWidth="1"/>
    <col min="15876" max="15879" width="9" style="124"/>
    <col min="15880" max="15882" width="12.125" style="124" bestFit="1" customWidth="1"/>
    <col min="15883" max="15883" width="11.25" style="124" bestFit="1" customWidth="1"/>
    <col min="15884" max="16112" width="9" style="124"/>
    <col min="16113" max="16113" width="5.75" style="124" customWidth="1"/>
    <col min="16114" max="16114" width="7.5" style="124" customWidth="1"/>
    <col min="16115" max="16115" width="8.5" style="124" customWidth="1"/>
    <col min="16116" max="16116" width="19.75" style="124" customWidth="1"/>
    <col min="16117" max="16118" width="9.625" style="124" bestFit="1" customWidth="1"/>
    <col min="16119" max="16119" width="12.875" style="124" customWidth="1"/>
    <col min="16120" max="16120" width="9" style="124"/>
    <col min="16121" max="16121" width="13" style="124" customWidth="1"/>
    <col min="16122" max="16130" width="9" style="124"/>
    <col min="16131" max="16131" width="25.375" style="124" customWidth="1"/>
    <col min="16132" max="16135" width="9" style="124"/>
    <col min="16136" max="16138" width="12.125" style="124" bestFit="1" customWidth="1"/>
    <col min="16139" max="16139" width="11.25" style="124" bestFit="1" customWidth="1"/>
    <col min="16140" max="16384" width="9" style="124"/>
  </cols>
  <sheetData>
    <row r="1" spans="1:138" s="121" customFormat="1" ht="33.75">
      <c r="A1" s="118" t="s">
        <v>325</v>
      </c>
      <c r="B1" s="119" t="s">
        <v>136</v>
      </c>
      <c r="C1" s="120" t="s">
        <v>137</v>
      </c>
      <c r="D1" s="118" t="s">
        <v>138</v>
      </c>
      <c r="E1" s="118" t="s">
        <v>139</v>
      </c>
      <c r="F1" s="118" t="s">
        <v>140</v>
      </c>
      <c r="G1" s="118" t="s">
        <v>141</v>
      </c>
      <c r="H1" s="119"/>
      <c r="I1" s="118"/>
      <c r="J1" s="118" t="s">
        <v>326</v>
      </c>
      <c r="K1" s="118" t="s">
        <v>142</v>
      </c>
      <c r="L1" s="224" t="s">
        <v>145</v>
      </c>
      <c r="M1" s="224"/>
      <c r="N1" s="224"/>
      <c r="O1" s="224" t="s">
        <v>221</v>
      </c>
      <c r="P1" s="224"/>
      <c r="Q1" s="224"/>
      <c r="R1" s="224"/>
      <c r="S1" s="224" t="s">
        <v>146</v>
      </c>
      <c r="T1" s="224"/>
      <c r="U1" s="224"/>
      <c r="V1" s="224"/>
      <c r="W1" s="224" t="s">
        <v>147</v>
      </c>
      <c r="X1" s="224"/>
      <c r="Y1" s="224"/>
      <c r="Z1" s="224"/>
      <c r="AA1" s="224" t="s">
        <v>148</v>
      </c>
      <c r="AB1" s="224"/>
      <c r="AC1" s="224"/>
      <c r="AD1" s="224"/>
      <c r="AE1" s="224" t="s">
        <v>149</v>
      </c>
      <c r="AF1" s="224"/>
      <c r="AG1" s="224"/>
      <c r="AH1" s="224"/>
      <c r="AI1" s="224" t="s">
        <v>150</v>
      </c>
      <c r="AJ1" s="224"/>
      <c r="AK1" s="224"/>
      <c r="AL1" s="224"/>
      <c r="AM1" s="224" t="s">
        <v>151</v>
      </c>
      <c r="AN1" s="224"/>
      <c r="AO1" s="224"/>
      <c r="AP1" s="224"/>
      <c r="AQ1" s="224" t="s">
        <v>152</v>
      </c>
      <c r="AR1" s="224"/>
      <c r="AS1" s="224"/>
      <c r="AT1" s="224"/>
      <c r="AU1" s="224" t="s">
        <v>153</v>
      </c>
      <c r="AV1" s="224"/>
      <c r="AW1" s="224"/>
      <c r="AX1" s="224"/>
      <c r="AY1" s="231" t="s">
        <v>154</v>
      </c>
      <c r="AZ1" s="231"/>
      <c r="BA1" s="231"/>
      <c r="BB1" s="231"/>
      <c r="BC1" s="224" t="s">
        <v>155</v>
      </c>
      <c r="BD1" s="224"/>
      <c r="BE1" s="224"/>
      <c r="BF1" s="224"/>
      <c r="BG1" s="224" t="s">
        <v>156</v>
      </c>
      <c r="BH1" s="224"/>
      <c r="BI1" s="224"/>
      <c r="BJ1" s="224"/>
      <c r="BK1" s="224" t="s">
        <v>157</v>
      </c>
      <c r="BL1" s="224"/>
      <c r="BM1" s="224"/>
      <c r="BN1" s="224"/>
      <c r="BO1" s="224" t="s">
        <v>158</v>
      </c>
      <c r="BP1" s="224"/>
      <c r="BQ1" s="224"/>
      <c r="BR1" s="224"/>
      <c r="BS1" s="224" t="s">
        <v>159</v>
      </c>
      <c r="BT1" s="224"/>
      <c r="BU1" s="224"/>
      <c r="BV1" s="224"/>
      <c r="BW1" s="224" t="s">
        <v>222</v>
      </c>
      <c r="BX1" s="224"/>
      <c r="BY1" s="224"/>
      <c r="BZ1" s="224"/>
      <c r="CA1" s="224" t="s">
        <v>223</v>
      </c>
      <c r="CB1" s="224"/>
      <c r="CC1" s="224"/>
      <c r="CD1" s="224"/>
      <c r="CE1" s="224" t="s">
        <v>160</v>
      </c>
      <c r="CF1" s="224"/>
      <c r="CG1" s="224"/>
      <c r="CH1" s="224"/>
      <c r="CI1" s="224" t="s">
        <v>161</v>
      </c>
      <c r="CJ1" s="224"/>
      <c r="CK1" s="224"/>
      <c r="CL1" s="224"/>
      <c r="CM1" s="224" t="s">
        <v>162</v>
      </c>
      <c r="CN1" s="224"/>
      <c r="CO1" s="224"/>
      <c r="CP1" s="224"/>
      <c r="CQ1" s="231" t="s">
        <v>543</v>
      </c>
      <c r="CR1" s="231"/>
      <c r="CS1" s="231"/>
      <c r="CT1" s="231"/>
      <c r="CU1" s="224" t="s">
        <v>548</v>
      </c>
      <c r="CV1" s="224"/>
      <c r="CW1" s="224"/>
      <c r="CX1" s="224"/>
      <c r="CY1" s="224" t="s">
        <v>553</v>
      </c>
      <c r="CZ1" s="224"/>
      <c r="DA1" s="224"/>
      <c r="DB1" s="224"/>
      <c r="DC1" s="224">
        <v>2042</v>
      </c>
      <c r="DD1" s="224"/>
      <c r="DE1" s="224"/>
      <c r="DF1" s="224"/>
      <c r="DG1" s="224" t="s">
        <v>562</v>
      </c>
      <c r="DH1" s="224"/>
      <c r="DI1" s="224"/>
      <c r="DJ1" s="224"/>
      <c r="DK1" s="224" t="s">
        <v>567</v>
      </c>
      <c r="DL1" s="224"/>
      <c r="DM1" s="224"/>
      <c r="DN1" s="224"/>
      <c r="DO1" s="224" t="s">
        <v>572</v>
      </c>
      <c r="DP1" s="224"/>
      <c r="DQ1" s="224"/>
      <c r="DR1" s="224"/>
      <c r="DS1" s="224" t="s">
        <v>577</v>
      </c>
      <c r="DT1" s="224"/>
      <c r="DU1" s="224"/>
      <c r="DV1" s="224"/>
      <c r="DW1" s="224" t="s">
        <v>582</v>
      </c>
      <c r="DX1" s="224"/>
      <c r="DY1" s="224"/>
      <c r="DZ1" s="224"/>
      <c r="EA1" s="224" t="s">
        <v>588</v>
      </c>
      <c r="EB1" s="224"/>
      <c r="EC1" s="224"/>
      <c r="ED1" s="224"/>
      <c r="EE1" s="224"/>
      <c r="EF1" s="224"/>
      <c r="EG1" s="224"/>
      <c r="EH1" s="224"/>
    </row>
    <row r="2" spans="1:138" ht="33.75" hidden="1" customHeight="1">
      <c r="A2" s="23" t="s">
        <v>327</v>
      </c>
      <c r="E2" s="125"/>
      <c r="L2" s="39" t="s">
        <v>224</v>
      </c>
      <c r="M2" s="68" t="s">
        <v>163</v>
      </c>
      <c r="N2" s="39" t="s">
        <v>225</v>
      </c>
      <c r="O2" s="39" t="s">
        <v>164</v>
      </c>
      <c r="P2" s="39" t="s">
        <v>226</v>
      </c>
      <c r="Q2" s="68" t="s">
        <v>227</v>
      </c>
      <c r="R2" s="39" t="s">
        <v>165</v>
      </c>
      <c r="S2" s="39" t="s">
        <v>228</v>
      </c>
      <c r="T2" s="39" t="s">
        <v>166</v>
      </c>
      <c r="U2" s="68" t="s">
        <v>167</v>
      </c>
      <c r="V2" s="39" t="s">
        <v>229</v>
      </c>
      <c r="W2" s="39" t="s">
        <v>230</v>
      </c>
      <c r="X2" s="39" t="s">
        <v>231</v>
      </c>
      <c r="Y2" s="39" t="s">
        <v>168</v>
      </c>
      <c r="Z2" s="39" t="s">
        <v>169</v>
      </c>
      <c r="AA2" s="39" t="s">
        <v>232</v>
      </c>
      <c r="AB2" s="39" t="s">
        <v>170</v>
      </c>
      <c r="AC2" s="39" t="s">
        <v>233</v>
      </c>
      <c r="AD2" s="39" t="s">
        <v>234</v>
      </c>
      <c r="AE2" s="39" t="s">
        <v>171</v>
      </c>
      <c r="AF2" s="39" t="s">
        <v>172</v>
      </c>
      <c r="AG2" s="39" t="s">
        <v>173</v>
      </c>
      <c r="AH2" s="39" t="s">
        <v>174</v>
      </c>
      <c r="AI2" s="39" t="s">
        <v>175</v>
      </c>
      <c r="AJ2" s="39" t="s">
        <v>235</v>
      </c>
      <c r="AK2" s="39" t="s">
        <v>176</v>
      </c>
      <c r="AL2" s="39" t="s">
        <v>177</v>
      </c>
      <c r="AM2" s="39" t="s">
        <v>178</v>
      </c>
      <c r="AN2" s="39" t="s">
        <v>179</v>
      </c>
      <c r="AO2" s="39" t="s">
        <v>180</v>
      </c>
      <c r="AP2" s="39" t="s">
        <v>181</v>
      </c>
      <c r="AQ2" s="39" t="s">
        <v>182</v>
      </c>
      <c r="AR2" s="39" t="s">
        <v>236</v>
      </c>
      <c r="AS2" s="39" t="s">
        <v>183</v>
      </c>
      <c r="AT2" s="39" t="s">
        <v>237</v>
      </c>
      <c r="AU2" s="39" t="s">
        <v>184</v>
      </c>
      <c r="AV2" s="39" t="s">
        <v>238</v>
      </c>
      <c r="AW2" s="39" t="s">
        <v>239</v>
      </c>
      <c r="AX2" s="39" t="s">
        <v>185</v>
      </c>
      <c r="AY2" s="39" t="s">
        <v>186</v>
      </c>
      <c r="AZ2" s="39" t="s">
        <v>240</v>
      </c>
      <c r="BA2" s="39" t="s">
        <v>187</v>
      </c>
      <c r="BB2" s="39" t="s">
        <v>188</v>
      </c>
      <c r="BC2" s="39" t="s">
        <v>241</v>
      </c>
      <c r="BD2" s="39" t="s">
        <v>189</v>
      </c>
      <c r="BE2" s="39" t="s">
        <v>190</v>
      </c>
      <c r="BF2" s="39" t="s">
        <v>242</v>
      </c>
      <c r="BG2" s="39" t="s">
        <v>243</v>
      </c>
      <c r="BH2" s="39" t="s">
        <v>191</v>
      </c>
      <c r="BI2" s="39" t="s">
        <v>192</v>
      </c>
      <c r="BJ2" s="39" t="s">
        <v>193</v>
      </c>
      <c r="BK2" s="39" t="s">
        <v>244</v>
      </c>
      <c r="BL2" s="39" t="s">
        <v>194</v>
      </c>
      <c r="BM2" s="39" t="s">
        <v>195</v>
      </c>
      <c r="BN2" s="39" t="s">
        <v>196</v>
      </c>
      <c r="BO2" s="39" t="s">
        <v>245</v>
      </c>
      <c r="BP2" s="39" t="s">
        <v>197</v>
      </c>
      <c r="BQ2" s="39" t="s">
        <v>198</v>
      </c>
      <c r="BR2" s="39" t="s">
        <v>199</v>
      </c>
      <c r="BS2" s="39" t="s">
        <v>200</v>
      </c>
      <c r="BT2" s="39" t="s">
        <v>201</v>
      </c>
      <c r="BU2" s="39" t="s">
        <v>202</v>
      </c>
      <c r="BV2" s="39" t="s">
        <v>246</v>
      </c>
      <c r="BW2" s="39" t="s">
        <v>203</v>
      </c>
      <c r="BX2" s="39" t="s">
        <v>204</v>
      </c>
      <c r="BY2" s="39" t="s">
        <v>247</v>
      </c>
      <c r="BZ2" s="39" t="s">
        <v>205</v>
      </c>
      <c r="CA2" s="39" t="s">
        <v>206</v>
      </c>
      <c r="CB2" s="39" t="s">
        <v>207</v>
      </c>
      <c r="CC2" s="39" t="s">
        <v>208</v>
      </c>
      <c r="CD2" s="39" t="s">
        <v>209</v>
      </c>
      <c r="CE2" s="39" t="s">
        <v>210</v>
      </c>
      <c r="CF2" s="39" t="s">
        <v>211</v>
      </c>
      <c r="CG2" s="39" t="s">
        <v>212</v>
      </c>
      <c r="CH2" s="39" t="s">
        <v>213</v>
      </c>
      <c r="CI2" s="39" t="s">
        <v>214</v>
      </c>
      <c r="CJ2" s="39" t="s">
        <v>215</v>
      </c>
      <c r="CK2" s="39" t="s">
        <v>216</v>
      </c>
      <c r="CL2" s="39" t="s">
        <v>217</v>
      </c>
      <c r="CM2" s="39" t="s">
        <v>248</v>
      </c>
      <c r="CN2" s="39" t="s">
        <v>218</v>
      </c>
      <c r="CO2" s="39" t="s">
        <v>219</v>
      </c>
      <c r="CP2" s="39" t="s">
        <v>220</v>
      </c>
      <c r="CQ2" s="39" t="s">
        <v>544</v>
      </c>
      <c r="CR2" s="39" t="s">
        <v>545</v>
      </c>
      <c r="CS2" s="39" t="s">
        <v>546</v>
      </c>
      <c r="CT2" s="39" t="s">
        <v>547</v>
      </c>
      <c r="CU2" s="39" t="s">
        <v>549</v>
      </c>
      <c r="CV2" s="39" t="s">
        <v>550</v>
      </c>
      <c r="CW2" s="39" t="s">
        <v>551</v>
      </c>
      <c r="CX2" s="39" t="s">
        <v>552</v>
      </c>
      <c r="CY2" s="39" t="s">
        <v>554</v>
      </c>
      <c r="CZ2" s="39" t="s">
        <v>555</v>
      </c>
      <c r="DA2" s="39" t="s">
        <v>556</v>
      </c>
      <c r="DB2" s="39" t="s">
        <v>557</v>
      </c>
      <c r="DC2" s="39" t="s">
        <v>558</v>
      </c>
      <c r="DD2" s="39" t="s">
        <v>559</v>
      </c>
      <c r="DE2" s="39" t="s">
        <v>560</v>
      </c>
      <c r="DF2" s="39" t="s">
        <v>561</v>
      </c>
      <c r="DG2" s="39" t="s">
        <v>563</v>
      </c>
      <c r="DH2" s="39" t="s">
        <v>564</v>
      </c>
      <c r="DI2" s="39" t="s">
        <v>565</v>
      </c>
      <c r="DJ2" s="39" t="s">
        <v>566</v>
      </c>
      <c r="DK2" s="39" t="s">
        <v>568</v>
      </c>
      <c r="DL2" s="39" t="s">
        <v>569</v>
      </c>
      <c r="DM2" s="39" t="s">
        <v>570</v>
      </c>
      <c r="DN2" s="39" t="s">
        <v>571</v>
      </c>
      <c r="DO2" s="39" t="s">
        <v>573</v>
      </c>
      <c r="DP2" s="39" t="s">
        <v>574</v>
      </c>
      <c r="DQ2" s="39" t="s">
        <v>575</v>
      </c>
      <c r="DR2" s="39" t="s">
        <v>576</v>
      </c>
      <c r="DS2" s="39" t="s">
        <v>578</v>
      </c>
      <c r="DT2" s="39" t="s">
        <v>579</v>
      </c>
      <c r="DU2" s="39" t="s">
        <v>580</v>
      </c>
      <c r="DV2" s="39" t="s">
        <v>581</v>
      </c>
      <c r="DW2" s="39" t="s">
        <v>583</v>
      </c>
      <c r="DX2" s="39" t="s">
        <v>584</v>
      </c>
      <c r="DY2" s="39" t="s">
        <v>585</v>
      </c>
      <c r="DZ2" s="39" t="s">
        <v>586</v>
      </c>
      <c r="EA2" s="39" t="s">
        <v>587</v>
      </c>
      <c r="EB2" s="39" t="s">
        <v>589</v>
      </c>
      <c r="EC2" s="39" t="s">
        <v>590</v>
      </c>
      <c r="ED2" s="39" t="s">
        <v>591</v>
      </c>
      <c r="EE2" s="39"/>
      <c r="EF2" s="39"/>
      <c r="EG2" s="39"/>
      <c r="EH2" s="39"/>
    </row>
    <row r="3" spans="1:138" ht="45.75" hidden="1" customHeight="1">
      <c r="A3" s="126">
        <v>1</v>
      </c>
      <c r="B3" s="127" t="s">
        <v>328</v>
      </c>
      <c r="C3" s="130" t="s">
        <v>111</v>
      </c>
      <c r="D3" s="131" t="s">
        <v>329</v>
      </c>
      <c r="E3" s="132">
        <v>205.49199999999999</v>
      </c>
      <c r="F3" s="133">
        <v>42736</v>
      </c>
      <c r="G3" s="133">
        <v>45657</v>
      </c>
      <c r="H3" s="138">
        <v>2025</v>
      </c>
      <c r="I3" s="133" t="s">
        <v>542</v>
      </c>
      <c r="J3" s="133">
        <v>45657</v>
      </c>
      <c r="K3" s="126">
        <v>4.5</v>
      </c>
      <c r="L3" s="124">
        <f>ROUND(135*12*取费表!B2*E3,0)</f>
        <v>59921</v>
      </c>
      <c r="M3" s="124">
        <f>ROUND(135*3*E3,0)</f>
        <v>83224</v>
      </c>
      <c r="N3" s="124">
        <f>M3</f>
        <v>83224</v>
      </c>
      <c r="O3" s="124">
        <f>ROUND(141.75*3*E3,0)</f>
        <v>87385</v>
      </c>
      <c r="P3" s="124">
        <f t="shared" ref="P3:V3" si="0">O3</f>
        <v>87385</v>
      </c>
      <c r="Q3" s="124">
        <f t="shared" si="0"/>
        <v>87385</v>
      </c>
      <c r="R3" s="124">
        <f t="shared" si="0"/>
        <v>87385</v>
      </c>
      <c r="S3" s="124">
        <f t="shared" si="0"/>
        <v>87385</v>
      </c>
      <c r="T3" s="124">
        <f t="shared" si="0"/>
        <v>87385</v>
      </c>
      <c r="U3" s="124">
        <f t="shared" si="0"/>
        <v>87385</v>
      </c>
      <c r="V3" s="124">
        <f t="shared" si="0"/>
        <v>87385</v>
      </c>
      <c r="W3" s="124">
        <f>ROUND(148.84*3*E3,0)</f>
        <v>91756</v>
      </c>
      <c r="X3" s="124">
        <f t="shared" ref="X3:AD3" si="1">W3</f>
        <v>91756</v>
      </c>
      <c r="Y3" s="124">
        <f t="shared" si="1"/>
        <v>91756</v>
      </c>
      <c r="Z3" s="124">
        <f t="shared" si="1"/>
        <v>91756</v>
      </c>
      <c r="AA3" s="124">
        <f t="shared" si="1"/>
        <v>91756</v>
      </c>
      <c r="AB3" s="124">
        <f t="shared" si="1"/>
        <v>91756</v>
      </c>
      <c r="AC3" s="124">
        <f t="shared" si="1"/>
        <v>91756</v>
      </c>
      <c r="AD3" s="124">
        <f t="shared" si="1"/>
        <v>91756</v>
      </c>
      <c r="AE3" s="124">
        <f>ROUND(156.28*3*E3,0)</f>
        <v>96343</v>
      </c>
      <c r="AF3" s="124">
        <f t="shared" ref="AF3:AO3" si="2">AE3</f>
        <v>96343</v>
      </c>
      <c r="AG3" s="124">
        <f t="shared" si="2"/>
        <v>96343</v>
      </c>
      <c r="AH3" s="124">
        <f t="shared" si="2"/>
        <v>96343</v>
      </c>
      <c r="AI3" s="124">
        <f t="shared" si="2"/>
        <v>96343</v>
      </c>
      <c r="AJ3" s="124">
        <f t="shared" si="2"/>
        <v>96343</v>
      </c>
      <c r="AK3" s="124">
        <f t="shared" si="2"/>
        <v>96343</v>
      </c>
      <c r="AL3" s="136">
        <f t="shared" si="2"/>
        <v>96343</v>
      </c>
      <c r="AM3" s="124">
        <f t="shared" si="2"/>
        <v>96343</v>
      </c>
      <c r="AN3" s="124">
        <f t="shared" si="2"/>
        <v>96343</v>
      </c>
      <c r="AO3" s="124">
        <f t="shared" si="2"/>
        <v>96343</v>
      </c>
    </row>
    <row r="4" spans="1:138" ht="14.25" hidden="1" customHeight="1">
      <c r="A4" s="126">
        <v>2</v>
      </c>
      <c r="B4" s="127" t="s">
        <v>328</v>
      </c>
      <c r="C4" s="130" t="s">
        <v>330</v>
      </c>
      <c r="D4" s="238" t="s">
        <v>331</v>
      </c>
      <c r="E4" s="132">
        <v>98.437200000000004</v>
      </c>
      <c r="F4" s="237">
        <v>42186</v>
      </c>
      <c r="G4" s="237">
        <v>43281</v>
      </c>
      <c r="H4" s="138">
        <v>2018</v>
      </c>
      <c r="I4" s="133"/>
      <c r="J4" s="237">
        <v>43281</v>
      </c>
      <c r="K4" s="126">
        <v>4.7300000000000004</v>
      </c>
      <c r="L4" s="124">
        <f>ROUND(K4*365*E4*取费表!$B$2,0)</f>
        <v>30590</v>
      </c>
      <c r="M4" s="136">
        <f>ROUND(K4*365*E4/4,0)</f>
        <v>42487</v>
      </c>
    </row>
    <row r="5" spans="1:138" hidden="1">
      <c r="A5" s="126">
        <v>3</v>
      </c>
      <c r="B5" s="127" t="s">
        <v>328</v>
      </c>
      <c r="C5" s="130" t="s">
        <v>332</v>
      </c>
      <c r="D5" s="238"/>
      <c r="E5" s="132">
        <v>125.529</v>
      </c>
      <c r="F5" s="237"/>
      <c r="G5" s="237"/>
      <c r="H5" s="138">
        <v>2018</v>
      </c>
      <c r="I5" s="133"/>
      <c r="J5" s="237"/>
      <c r="K5" s="126">
        <v>4.7300000000000004</v>
      </c>
      <c r="L5" s="124">
        <f>ROUND(K5*365*E5*取费表!$B$2,0)</f>
        <v>39010</v>
      </c>
      <c r="M5" s="136">
        <f>ROUND(K5*365*E5/4,0)</f>
        <v>54180</v>
      </c>
    </row>
    <row r="6" spans="1:138" hidden="1">
      <c r="A6" s="126">
        <v>4</v>
      </c>
      <c r="B6" s="127" t="s">
        <v>328</v>
      </c>
      <c r="C6" s="130" t="s">
        <v>112</v>
      </c>
      <c r="D6" s="131" t="s">
        <v>333</v>
      </c>
      <c r="E6" s="132">
        <v>131.30459999999999</v>
      </c>
      <c r="F6" s="133">
        <v>42948</v>
      </c>
      <c r="G6" s="133">
        <v>43677</v>
      </c>
      <c r="H6" s="138">
        <v>2019</v>
      </c>
      <c r="I6" s="133"/>
      <c r="J6" s="133">
        <v>43677</v>
      </c>
      <c r="K6" s="126">
        <v>5</v>
      </c>
      <c r="L6" s="124">
        <f>ROUND(K6*365*E6*取费表!$B$2,0)</f>
        <v>43134</v>
      </c>
      <c r="M6" s="124">
        <f>ROUND(K6*365*E6/4,0)</f>
        <v>59908</v>
      </c>
      <c r="N6" s="124">
        <f t="shared" ref="N6:Q7" si="3">M6</f>
        <v>59908</v>
      </c>
      <c r="O6" s="124">
        <f t="shared" si="3"/>
        <v>59908</v>
      </c>
      <c r="P6" s="124">
        <f t="shared" si="3"/>
        <v>59908</v>
      </c>
      <c r="Q6" s="136">
        <f t="shared" si="3"/>
        <v>59908</v>
      </c>
    </row>
    <row r="7" spans="1:138" ht="22.5" hidden="1">
      <c r="A7" s="126">
        <v>5</v>
      </c>
      <c r="B7" s="127" t="s">
        <v>328</v>
      </c>
      <c r="C7" s="130" t="s">
        <v>113</v>
      </c>
      <c r="D7" s="131" t="s">
        <v>334</v>
      </c>
      <c r="E7" s="132">
        <f>139.5972+23.4537</f>
        <v>163.05089999999998</v>
      </c>
      <c r="F7" s="133">
        <v>43070</v>
      </c>
      <c r="G7" s="133">
        <v>44165</v>
      </c>
      <c r="H7" s="138">
        <v>2021</v>
      </c>
      <c r="I7" s="133"/>
      <c r="J7" s="133">
        <v>44165</v>
      </c>
      <c r="K7" s="126">
        <v>5</v>
      </c>
      <c r="L7" s="124">
        <f>ROUND(K7*365*E7*取费表!$B$2,0)</f>
        <v>53562</v>
      </c>
      <c r="M7" s="124">
        <f>ROUND(K7*365*E7/4,0)</f>
        <v>74392</v>
      </c>
      <c r="N7" s="124">
        <f t="shared" si="3"/>
        <v>74392</v>
      </c>
      <c r="O7" s="124">
        <f t="shared" si="3"/>
        <v>74392</v>
      </c>
      <c r="P7" s="124">
        <f t="shared" si="3"/>
        <v>74392</v>
      </c>
      <c r="Q7" s="124">
        <f t="shared" si="3"/>
        <v>74392</v>
      </c>
      <c r="R7" s="124">
        <f t="shared" ref="R7:V7" si="4">Q7</f>
        <v>74392</v>
      </c>
      <c r="S7" s="124">
        <f t="shared" si="4"/>
        <v>74392</v>
      </c>
      <c r="T7" s="124">
        <f t="shared" si="4"/>
        <v>74392</v>
      </c>
      <c r="U7" s="124">
        <f t="shared" si="4"/>
        <v>74392</v>
      </c>
      <c r="V7" s="136">
        <f t="shared" si="4"/>
        <v>74392</v>
      </c>
      <c r="W7" s="124">
        <f>V7</f>
        <v>74392</v>
      </c>
      <c r="X7" s="124">
        <f>W7</f>
        <v>74392</v>
      </c>
      <c r="Y7" s="124">
        <f>X7</f>
        <v>74392</v>
      </c>
    </row>
    <row r="8" spans="1:138" ht="22.5" hidden="1">
      <c r="A8" s="126">
        <v>6</v>
      </c>
      <c r="B8" s="127" t="s">
        <v>328</v>
      </c>
      <c r="C8" s="130" t="s">
        <v>114</v>
      </c>
      <c r="D8" s="131" t="s">
        <v>335</v>
      </c>
      <c r="E8" s="132">
        <v>161.22880000000001</v>
      </c>
      <c r="F8" s="133">
        <v>42476</v>
      </c>
      <c r="G8" s="133">
        <v>43235</v>
      </c>
      <c r="H8" s="138">
        <v>2018</v>
      </c>
      <c r="I8" s="133"/>
      <c r="J8" s="133">
        <v>43205</v>
      </c>
      <c r="K8" s="126">
        <v>5.0999999999999996</v>
      </c>
      <c r="L8" s="124">
        <f>ROUND(K8*365*E8*取费表!$B$2,0)</f>
        <v>54023</v>
      </c>
      <c r="M8" s="124">
        <f>ROUND(K8*365*E8/4,0)</f>
        <v>75032</v>
      </c>
    </row>
    <row r="9" spans="1:138" ht="22.5" hidden="1">
      <c r="A9" s="126">
        <v>7</v>
      </c>
      <c r="B9" s="127" t="s">
        <v>336</v>
      </c>
      <c r="C9" s="130" t="s">
        <v>115</v>
      </c>
      <c r="D9" s="131" t="s">
        <v>337</v>
      </c>
      <c r="E9" s="132">
        <v>268.62200000000001</v>
      </c>
      <c r="F9" s="133">
        <v>42500</v>
      </c>
      <c r="G9" s="133">
        <v>43594</v>
      </c>
      <c r="H9" s="138">
        <v>2019</v>
      </c>
      <c r="I9" s="133"/>
      <c r="J9" s="133">
        <v>43594</v>
      </c>
      <c r="K9" s="126">
        <v>4.67</v>
      </c>
      <c r="L9" s="124">
        <f>ROUND(K9*365*E9*取费表!$B$2,0)</f>
        <v>82418</v>
      </c>
      <c r="M9" s="124">
        <f t="shared" ref="M9:M66" si="5">ROUND(K9*365*E9/4,0)</f>
        <v>114470</v>
      </c>
      <c r="N9" s="124">
        <f t="shared" ref="N9:N21" si="6">M9</f>
        <v>114470</v>
      </c>
      <c r="O9" s="124">
        <f t="shared" ref="O9:P9" si="7">N9</f>
        <v>114470</v>
      </c>
      <c r="P9" s="136">
        <f t="shared" si="7"/>
        <v>114470</v>
      </c>
      <c r="Q9" s="124">
        <f>P9</f>
        <v>114470</v>
      </c>
    </row>
    <row r="10" spans="1:138" ht="22.5" hidden="1">
      <c r="A10" s="126">
        <v>8</v>
      </c>
      <c r="B10" s="127" t="s">
        <v>336</v>
      </c>
      <c r="C10" s="130" t="s">
        <v>116</v>
      </c>
      <c r="D10" s="131" t="s">
        <v>338</v>
      </c>
      <c r="E10" s="132">
        <v>125.2</v>
      </c>
      <c r="F10" s="133">
        <v>43225</v>
      </c>
      <c r="G10" s="133">
        <v>43955</v>
      </c>
      <c r="H10" s="138">
        <v>2020</v>
      </c>
      <c r="I10" s="133"/>
      <c r="J10" s="133">
        <v>43955</v>
      </c>
      <c r="K10" s="126">
        <v>4.83</v>
      </c>
      <c r="L10" s="124">
        <f>ROUND(K10*365*E10*取费表!$B$2,0)</f>
        <v>39730</v>
      </c>
      <c r="M10" s="124">
        <f t="shared" si="5"/>
        <v>55180</v>
      </c>
      <c r="N10" s="124">
        <f t="shared" si="6"/>
        <v>55180</v>
      </c>
      <c r="O10" s="124">
        <f t="shared" ref="O10:T11" si="8">N10</f>
        <v>55180</v>
      </c>
      <c r="P10" s="124">
        <f t="shared" si="8"/>
        <v>55180</v>
      </c>
      <c r="Q10" s="124">
        <f t="shared" si="8"/>
        <v>55180</v>
      </c>
      <c r="R10" s="124">
        <f t="shared" si="8"/>
        <v>55180</v>
      </c>
      <c r="S10" s="124">
        <f t="shared" si="8"/>
        <v>55180</v>
      </c>
      <c r="T10" s="136">
        <f t="shared" si="8"/>
        <v>55180</v>
      </c>
      <c r="U10" s="124">
        <f>T10</f>
        <v>55180</v>
      </c>
    </row>
    <row r="11" spans="1:138" hidden="1">
      <c r="A11" s="126">
        <v>9</v>
      </c>
      <c r="B11" s="127" t="s">
        <v>336</v>
      </c>
      <c r="C11" s="130" t="s">
        <v>117</v>
      </c>
      <c r="D11" s="131" t="s">
        <v>339</v>
      </c>
      <c r="E11" s="132">
        <v>101.9327</v>
      </c>
      <c r="F11" s="133">
        <v>43176</v>
      </c>
      <c r="G11" s="133">
        <v>43906</v>
      </c>
      <c r="H11" s="138">
        <v>2020</v>
      </c>
      <c r="I11" s="133"/>
      <c r="J11" s="133">
        <v>43906</v>
      </c>
      <c r="K11" s="126">
        <v>5</v>
      </c>
      <c r="L11" s="124">
        <f>ROUND(K11*365*E11*取费表!$B$2,0)</f>
        <v>33485</v>
      </c>
      <c r="M11" s="124">
        <f t="shared" si="5"/>
        <v>46507</v>
      </c>
      <c r="N11" s="124">
        <f t="shared" si="6"/>
        <v>46507</v>
      </c>
      <c r="O11" s="124">
        <f t="shared" si="8"/>
        <v>46507</v>
      </c>
      <c r="P11" s="124">
        <f t="shared" si="8"/>
        <v>46507</v>
      </c>
      <c r="Q11" s="124">
        <f t="shared" si="8"/>
        <v>46507</v>
      </c>
      <c r="R11" s="124">
        <f t="shared" si="8"/>
        <v>46507</v>
      </c>
      <c r="S11" s="136">
        <f t="shared" si="8"/>
        <v>46507</v>
      </c>
      <c r="T11" s="124">
        <f>S11</f>
        <v>46507</v>
      </c>
      <c r="U11" s="124">
        <f>T11</f>
        <v>46507</v>
      </c>
    </row>
    <row r="12" spans="1:138" hidden="1">
      <c r="A12" s="126">
        <v>10</v>
      </c>
      <c r="B12" s="127" t="s">
        <v>336</v>
      </c>
      <c r="C12" s="130" t="s">
        <v>118</v>
      </c>
      <c r="D12" s="131" t="s">
        <v>340</v>
      </c>
      <c r="E12" s="132">
        <v>129.7073</v>
      </c>
      <c r="F12" s="133">
        <v>43110</v>
      </c>
      <c r="G12" s="133">
        <v>43839</v>
      </c>
      <c r="H12" s="138">
        <v>2020</v>
      </c>
      <c r="I12" s="133"/>
      <c r="J12" s="133">
        <v>43839</v>
      </c>
      <c r="K12" s="126">
        <v>4.83</v>
      </c>
      <c r="L12" s="124">
        <f>ROUND(K12*365*E12*取费表!$B$2,0)</f>
        <v>41160</v>
      </c>
      <c r="M12" s="124">
        <f t="shared" si="5"/>
        <v>57167</v>
      </c>
      <c r="N12" s="124">
        <f t="shared" si="6"/>
        <v>57167</v>
      </c>
      <c r="O12" s="124">
        <f t="shared" ref="O12:S13" si="9">N12</f>
        <v>57167</v>
      </c>
      <c r="P12" s="124">
        <f t="shared" si="9"/>
        <v>57167</v>
      </c>
      <c r="Q12" s="124">
        <f t="shared" si="9"/>
        <v>57167</v>
      </c>
      <c r="R12" s="124">
        <f t="shared" si="9"/>
        <v>57167</v>
      </c>
      <c r="S12" s="136">
        <f t="shared" si="9"/>
        <v>57167</v>
      </c>
      <c r="T12" s="124">
        <f>S12</f>
        <v>57167</v>
      </c>
      <c r="U12" s="124">
        <f>T12</f>
        <v>57167</v>
      </c>
    </row>
    <row r="13" spans="1:138" ht="22.5" hidden="1">
      <c r="A13" s="126">
        <v>11</v>
      </c>
      <c r="B13" s="127" t="s">
        <v>341</v>
      </c>
      <c r="C13" s="130" t="s">
        <v>342</v>
      </c>
      <c r="D13" s="131" t="s">
        <v>343</v>
      </c>
      <c r="E13" s="132">
        <v>337.99759999999998</v>
      </c>
      <c r="F13" s="133">
        <v>42324</v>
      </c>
      <c r="G13" s="133">
        <v>43524</v>
      </c>
      <c r="H13" s="138">
        <v>2019</v>
      </c>
      <c r="I13" s="133"/>
      <c r="J13" s="133">
        <v>43524</v>
      </c>
      <c r="K13" s="126">
        <v>4.93</v>
      </c>
      <c r="L13" s="124">
        <f>ROUND(K13*365*E13*取费表!$B$2,0)</f>
        <v>109478</v>
      </c>
      <c r="M13" s="124">
        <f t="shared" si="5"/>
        <v>152052</v>
      </c>
      <c r="N13" s="124">
        <f t="shared" si="6"/>
        <v>152052</v>
      </c>
      <c r="O13" s="136">
        <f>N13</f>
        <v>152052</v>
      </c>
      <c r="P13" s="124">
        <f>O13</f>
        <v>152052</v>
      </c>
      <c r="Q13" s="124">
        <f t="shared" si="9"/>
        <v>152052</v>
      </c>
    </row>
    <row r="14" spans="1:138" ht="22.5" hidden="1">
      <c r="A14" s="126">
        <v>12</v>
      </c>
      <c r="B14" s="127" t="s">
        <v>341</v>
      </c>
      <c r="C14" s="130" t="s">
        <v>119</v>
      </c>
      <c r="D14" s="131" t="s">
        <v>344</v>
      </c>
      <c r="E14" s="132">
        <v>303.33539999999999</v>
      </c>
      <c r="F14" s="133">
        <v>42948</v>
      </c>
      <c r="G14" s="134">
        <v>44043</v>
      </c>
      <c r="H14" s="138">
        <v>2020</v>
      </c>
      <c r="I14" s="134"/>
      <c r="J14" s="134">
        <v>44043</v>
      </c>
      <c r="K14" s="126">
        <v>4.83</v>
      </c>
      <c r="L14" s="124">
        <f>ROUND(K14*365*E14*取费表!$B$2,0)</f>
        <v>96258</v>
      </c>
      <c r="M14" s="124">
        <f t="shared" si="5"/>
        <v>133691</v>
      </c>
      <c r="N14" s="124">
        <f t="shared" si="6"/>
        <v>133691</v>
      </c>
      <c r="O14" s="124">
        <f t="shared" ref="O14:U15" si="10">N14</f>
        <v>133691</v>
      </c>
      <c r="P14" s="124">
        <f t="shared" si="10"/>
        <v>133691</v>
      </c>
      <c r="Q14" s="124">
        <f t="shared" si="10"/>
        <v>133691</v>
      </c>
      <c r="R14" s="124">
        <f t="shared" si="10"/>
        <v>133691</v>
      </c>
      <c r="S14" s="124">
        <f t="shared" si="10"/>
        <v>133691</v>
      </c>
      <c r="T14" s="124">
        <f t="shared" si="10"/>
        <v>133691</v>
      </c>
      <c r="U14" s="136">
        <f t="shared" si="10"/>
        <v>133691</v>
      </c>
    </row>
    <row r="15" spans="1:138" ht="22.5" hidden="1">
      <c r="A15" s="126">
        <v>13</v>
      </c>
      <c r="B15" s="127" t="s">
        <v>345</v>
      </c>
      <c r="C15" s="130" t="s">
        <v>120</v>
      </c>
      <c r="D15" s="131" t="s">
        <v>346</v>
      </c>
      <c r="E15" s="132">
        <v>138.06489999999999</v>
      </c>
      <c r="F15" s="133">
        <v>42644</v>
      </c>
      <c r="G15" s="133">
        <v>43738</v>
      </c>
      <c r="H15" s="138">
        <v>2019</v>
      </c>
      <c r="I15" s="133"/>
      <c r="J15" s="133">
        <v>43738</v>
      </c>
      <c r="K15" s="126">
        <v>4.83</v>
      </c>
      <c r="L15" s="124">
        <f>ROUND(K15*365*E15*取费表!$B$2,0)</f>
        <v>43812</v>
      </c>
      <c r="M15" s="124">
        <f t="shared" si="5"/>
        <v>60850</v>
      </c>
      <c r="N15" s="124">
        <f t="shared" si="6"/>
        <v>60850</v>
      </c>
      <c r="O15" s="124">
        <f t="shared" si="10"/>
        <v>60850</v>
      </c>
      <c r="P15" s="124">
        <f t="shared" si="10"/>
        <v>60850</v>
      </c>
      <c r="Q15" s="136">
        <f t="shared" si="10"/>
        <v>60850</v>
      </c>
    </row>
    <row r="16" spans="1:138" ht="22.5" hidden="1">
      <c r="A16" s="126">
        <v>14</v>
      </c>
      <c r="B16" s="127" t="s">
        <v>341</v>
      </c>
      <c r="C16" s="130" t="s">
        <v>121</v>
      </c>
      <c r="D16" s="131" t="s">
        <v>347</v>
      </c>
      <c r="E16" s="132">
        <v>99.765199999999993</v>
      </c>
      <c r="F16" s="133">
        <v>43221</v>
      </c>
      <c r="G16" s="133">
        <v>44316</v>
      </c>
      <c r="H16" s="138">
        <v>2021</v>
      </c>
      <c r="I16" s="133"/>
      <c r="J16" s="133">
        <v>44316</v>
      </c>
      <c r="K16" s="126">
        <v>4.9000000000000004</v>
      </c>
      <c r="L16" s="124">
        <f>ROUND(K16*365*E16*取费表!$B$2,0)</f>
        <v>32117</v>
      </c>
      <c r="M16" s="124">
        <f t="shared" si="5"/>
        <v>44608</v>
      </c>
      <c r="N16" s="124">
        <f t="shared" si="6"/>
        <v>44608</v>
      </c>
      <c r="O16" s="124">
        <f t="shared" ref="O16:X20" si="11">N16</f>
        <v>44608</v>
      </c>
      <c r="P16" s="124">
        <f t="shared" si="11"/>
        <v>44608</v>
      </c>
      <c r="Q16" s="124">
        <f t="shared" si="11"/>
        <v>44608</v>
      </c>
      <c r="R16" s="124">
        <f t="shared" si="11"/>
        <v>44608</v>
      </c>
      <c r="S16" s="124">
        <f t="shared" si="11"/>
        <v>44608</v>
      </c>
      <c r="T16" s="124">
        <f t="shared" si="11"/>
        <v>44608</v>
      </c>
      <c r="U16" s="124">
        <f t="shared" si="11"/>
        <v>44608</v>
      </c>
      <c r="V16" s="124">
        <f t="shared" si="11"/>
        <v>44608</v>
      </c>
      <c r="W16" s="124">
        <f t="shared" si="11"/>
        <v>44608</v>
      </c>
      <c r="X16" s="136">
        <f t="shared" si="11"/>
        <v>44608</v>
      </c>
      <c r="Y16" s="124">
        <f>X16</f>
        <v>44608</v>
      </c>
    </row>
    <row r="17" spans="1:25" hidden="1">
      <c r="A17" s="126">
        <v>15</v>
      </c>
      <c r="B17" s="127" t="s">
        <v>341</v>
      </c>
      <c r="C17" s="130" t="s">
        <v>122</v>
      </c>
      <c r="D17" s="131" t="s">
        <v>348</v>
      </c>
      <c r="E17" s="132">
        <v>195.65520000000001</v>
      </c>
      <c r="F17" s="133">
        <v>43085</v>
      </c>
      <c r="G17" s="133">
        <v>43434</v>
      </c>
      <c r="H17" s="138">
        <v>2019</v>
      </c>
      <c r="I17" s="133"/>
      <c r="J17" s="133">
        <v>43434</v>
      </c>
      <c r="K17" s="126">
        <v>4.67</v>
      </c>
      <c r="L17" s="124">
        <f>ROUND(K17*365*E17*取费表!$B$2,0)</f>
        <v>60031</v>
      </c>
      <c r="M17" s="124">
        <f t="shared" si="5"/>
        <v>83376</v>
      </c>
      <c r="N17" s="136">
        <f t="shared" si="6"/>
        <v>83376</v>
      </c>
      <c r="O17" s="124">
        <f>N17</f>
        <v>83376</v>
      </c>
      <c r="P17" s="124">
        <f t="shared" si="11"/>
        <v>83376</v>
      </c>
      <c r="Q17" s="124">
        <f t="shared" si="11"/>
        <v>83376</v>
      </c>
    </row>
    <row r="18" spans="1:25" ht="22.5" hidden="1">
      <c r="A18" s="126">
        <v>16</v>
      </c>
      <c r="B18" s="127" t="s">
        <v>349</v>
      </c>
      <c r="C18" s="130" t="s">
        <v>123</v>
      </c>
      <c r="D18" s="131" t="s">
        <v>350</v>
      </c>
      <c r="E18" s="132">
        <v>268.6336</v>
      </c>
      <c r="F18" s="133">
        <v>42430</v>
      </c>
      <c r="G18" s="133">
        <v>43524</v>
      </c>
      <c r="H18" s="138">
        <v>2019</v>
      </c>
      <c r="I18" s="133"/>
      <c r="J18" s="133">
        <v>43159</v>
      </c>
      <c r="K18" s="126">
        <v>5</v>
      </c>
      <c r="L18" s="124">
        <f>ROUND(K18*365*E18*取费表!$B$2,0)</f>
        <v>88246</v>
      </c>
      <c r="M18" s="124">
        <f t="shared" si="5"/>
        <v>122564</v>
      </c>
      <c r="N18" s="124">
        <f t="shared" si="6"/>
        <v>122564</v>
      </c>
      <c r="O18" s="136">
        <f>N18</f>
        <v>122564</v>
      </c>
      <c r="P18" s="124">
        <f>O18</f>
        <v>122564</v>
      </c>
      <c r="Q18" s="124">
        <f t="shared" si="11"/>
        <v>122564</v>
      </c>
    </row>
    <row r="19" spans="1:25" ht="22.5" hidden="1">
      <c r="A19" s="126">
        <v>17</v>
      </c>
      <c r="B19" s="127" t="s">
        <v>351</v>
      </c>
      <c r="C19" s="130" t="s">
        <v>352</v>
      </c>
      <c r="D19" s="131" t="s">
        <v>353</v>
      </c>
      <c r="E19" s="132">
        <v>125.6615</v>
      </c>
      <c r="F19" s="133">
        <v>42430</v>
      </c>
      <c r="G19" s="133">
        <v>43524</v>
      </c>
      <c r="H19" s="138">
        <v>2019</v>
      </c>
      <c r="I19" s="133"/>
      <c r="J19" s="133">
        <v>43159</v>
      </c>
      <c r="K19" s="126">
        <v>5</v>
      </c>
      <c r="L19" s="124">
        <f>ROUND(K19*365*E19*取费表!$B$2,0)</f>
        <v>41280</v>
      </c>
      <c r="M19" s="124">
        <f t="shared" si="5"/>
        <v>57333</v>
      </c>
      <c r="N19" s="124">
        <f t="shared" si="6"/>
        <v>57333</v>
      </c>
      <c r="O19" s="136">
        <f>N19</f>
        <v>57333</v>
      </c>
      <c r="P19" s="124">
        <f>O19</f>
        <v>57333</v>
      </c>
      <c r="Q19" s="124">
        <f t="shared" si="11"/>
        <v>57333</v>
      </c>
    </row>
    <row r="20" spans="1:25" ht="22.5" hidden="1">
      <c r="A20" s="126">
        <v>18</v>
      </c>
      <c r="B20" s="127" t="s">
        <v>351</v>
      </c>
      <c r="C20" s="130" t="s">
        <v>354</v>
      </c>
      <c r="D20" s="131" t="s">
        <v>353</v>
      </c>
      <c r="E20" s="132">
        <v>95.838800000000006</v>
      </c>
      <c r="F20" s="133">
        <v>42430</v>
      </c>
      <c r="G20" s="133">
        <v>43524</v>
      </c>
      <c r="H20" s="138">
        <v>2019</v>
      </c>
      <c r="I20" s="133"/>
      <c r="J20" s="133">
        <v>43159</v>
      </c>
      <c r="K20" s="126">
        <v>5</v>
      </c>
      <c r="L20" s="124">
        <f>ROUND(K20*365*E20*取费表!$B$2,0)</f>
        <v>31483</v>
      </c>
      <c r="M20" s="124">
        <f t="shared" si="5"/>
        <v>43726</v>
      </c>
      <c r="N20" s="124">
        <f t="shared" si="6"/>
        <v>43726</v>
      </c>
      <c r="O20" s="136">
        <f>N20</f>
        <v>43726</v>
      </c>
      <c r="P20" s="124">
        <f>O20</f>
        <v>43726</v>
      </c>
      <c r="Q20" s="124">
        <f t="shared" si="11"/>
        <v>43726</v>
      </c>
    </row>
    <row r="21" spans="1:25" ht="22.5" hidden="1">
      <c r="A21" s="126">
        <v>19</v>
      </c>
      <c r="B21" s="127" t="s">
        <v>349</v>
      </c>
      <c r="C21" s="130" t="s">
        <v>124</v>
      </c>
      <c r="D21" s="131" t="s">
        <v>355</v>
      </c>
      <c r="E21" s="132">
        <v>177.3631</v>
      </c>
      <c r="F21" s="133">
        <v>43101</v>
      </c>
      <c r="G21" s="133">
        <v>44196</v>
      </c>
      <c r="H21" s="138">
        <v>2021</v>
      </c>
      <c r="I21" s="133" t="s">
        <v>534</v>
      </c>
      <c r="J21" s="133">
        <v>44196</v>
      </c>
      <c r="K21" s="126">
        <v>4.5999999999999996</v>
      </c>
      <c r="L21" s="124">
        <f>ROUND(138*E21*12*取费表!B2,0)</f>
        <v>52868</v>
      </c>
      <c r="M21" s="124">
        <f t="shared" si="5"/>
        <v>74448</v>
      </c>
      <c r="N21" s="124">
        <f t="shared" si="6"/>
        <v>74448</v>
      </c>
      <c r="O21" s="124">
        <f>ROUND(140*3*E21,0)</f>
        <v>74493</v>
      </c>
      <c r="P21" s="124">
        <f>O21</f>
        <v>74493</v>
      </c>
      <c r="Q21" s="124">
        <f>P21</f>
        <v>74493</v>
      </c>
      <c r="R21" s="124">
        <f>Q21</f>
        <v>74493</v>
      </c>
      <c r="S21" s="124">
        <f>ROUND(145*3*E21,0)</f>
        <v>77153</v>
      </c>
      <c r="T21" s="124">
        <f t="shared" ref="T21:Y21" si="12">S21</f>
        <v>77153</v>
      </c>
      <c r="U21" s="124">
        <f t="shared" si="12"/>
        <v>77153</v>
      </c>
      <c r="V21" s="136">
        <f t="shared" si="12"/>
        <v>77153</v>
      </c>
      <c r="W21" s="124">
        <f t="shared" si="12"/>
        <v>77153</v>
      </c>
      <c r="X21" s="124">
        <f t="shared" si="12"/>
        <v>77153</v>
      </c>
      <c r="Y21" s="124">
        <f t="shared" si="12"/>
        <v>77153</v>
      </c>
    </row>
    <row r="22" spans="1:25" ht="22.5" hidden="1">
      <c r="A22" s="126">
        <v>20</v>
      </c>
      <c r="B22" s="127" t="s">
        <v>351</v>
      </c>
      <c r="C22" s="130" t="s">
        <v>356</v>
      </c>
      <c r="D22" s="131" t="s">
        <v>357</v>
      </c>
      <c r="E22" s="132">
        <v>100</v>
      </c>
      <c r="F22" s="133">
        <v>42583</v>
      </c>
      <c r="G22" s="133">
        <v>43312</v>
      </c>
      <c r="H22" s="138">
        <v>2018</v>
      </c>
      <c r="I22" s="133"/>
      <c r="J22" s="133">
        <v>43312</v>
      </c>
      <c r="K22" s="126">
        <v>4.7300000000000004</v>
      </c>
      <c r="L22" s="124">
        <f>ROUND(K22*365*E22*取费表!$B$2,0)</f>
        <v>31076</v>
      </c>
      <c r="M22" s="136">
        <f t="shared" si="5"/>
        <v>43161</v>
      </c>
    </row>
    <row r="23" spans="1:25" ht="22.5" hidden="1">
      <c r="A23" s="126">
        <v>21</v>
      </c>
      <c r="B23" s="127" t="s">
        <v>351</v>
      </c>
      <c r="C23" s="130" t="s">
        <v>358</v>
      </c>
      <c r="D23" s="131" t="s">
        <v>357</v>
      </c>
      <c r="E23" s="132">
        <v>236.12479999999999</v>
      </c>
      <c r="F23" s="133">
        <v>42583</v>
      </c>
      <c r="G23" s="133">
        <v>43312</v>
      </c>
      <c r="H23" s="138">
        <v>2018</v>
      </c>
      <c r="I23" s="133"/>
      <c r="J23" s="133">
        <v>43312</v>
      </c>
      <c r="K23" s="126">
        <v>4.26</v>
      </c>
      <c r="L23" s="124">
        <f>ROUND(K23*365*E23*取费表!$B$2,0)</f>
        <v>66087</v>
      </c>
      <c r="M23" s="136">
        <f t="shared" si="5"/>
        <v>91788</v>
      </c>
    </row>
    <row r="24" spans="1:25" ht="36" hidden="1" customHeight="1">
      <c r="A24" s="126">
        <v>22</v>
      </c>
      <c r="B24" s="127" t="s">
        <v>359</v>
      </c>
      <c r="C24" s="130" t="s">
        <v>125</v>
      </c>
      <c r="D24" s="131" t="s">
        <v>360</v>
      </c>
      <c r="E24" s="132">
        <v>99.626800000000003</v>
      </c>
      <c r="F24" s="133">
        <v>42522</v>
      </c>
      <c r="G24" s="133">
        <v>43251</v>
      </c>
      <c r="H24" s="138">
        <v>2018</v>
      </c>
      <c r="I24" s="133"/>
      <c r="J24" s="133">
        <v>43251</v>
      </c>
      <c r="K24" s="126">
        <v>4.83</v>
      </c>
      <c r="L24" s="124">
        <f>ROUND(K24*365*E24*取费表!$B$2,0)</f>
        <v>31615</v>
      </c>
      <c r="M24" s="136">
        <f t="shared" si="5"/>
        <v>43909</v>
      </c>
    </row>
    <row r="25" spans="1:25" ht="22.5" hidden="1">
      <c r="A25" s="126">
        <v>23</v>
      </c>
      <c r="B25" s="127" t="s">
        <v>359</v>
      </c>
      <c r="C25" s="130" t="s">
        <v>361</v>
      </c>
      <c r="D25" s="131" t="s">
        <v>362</v>
      </c>
      <c r="E25" s="132">
        <v>130.0044</v>
      </c>
      <c r="F25" s="133">
        <v>43191</v>
      </c>
      <c r="G25" s="133">
        <v>43555</v>
      </c>
      <c r="H25" s="138">
        <v>2019</v>
      </c>
      <c r="I25" s="133"/>
      <c r="J25" s="133">
        <v>43555</v>
      </c>
      <c r="K25" s="126">
        <v>4.9000000000000004</v>
      </c>
      <c r="L25" s="124">
        <f>ROUND(K25*365*E25*取费表!$B$2,0)</f>
        <v>41852</v>
      </c>
      <c r="M25" s="124">
        <f t="shared" si="5"/>
        <v>58128</v>
      </c>
      <c r="N25" s="124">
        <f>M25</f>
        <v>58128</v>
      </c>
      <c r="O25" s="136">
        <f>N25</f>
        <v>58128</v>
      </c>
      <c r="P25" s="124">
        <f>O25</f>
        <v>58128</v>
      </c>
      <c r="Q25" s="124">
        <f>P25</f>
        <v>58128</v>
      </c>
    </row>
    <row r="26" spans="1:25" ht="22.5" hidden="1">
      <c r="A26" s="126">
        <v>24</v>
      </c>
      <c r="B26" s="127" t="s">
        <v>359</v>
      </c>
      <c r="C26" s="130" t="s">
        <v>363</v>
      </c>
      <c r="D26" s="131" t="s">
        <v>364</v>
      </c>
      <c r="E26" s="132">
        <v>303.33539999999999</v>
      </c>
      <c r="F26" s="133">
        <v>43164</v>
      </c>
      <c r="G26" s="133">
        <v>44259</v>
      </c>
      <c r="H26" s="138">
        <v>2021</v>
      </c>
      <c r="I26" s="133" t="s">
        <v>535</v>
      </c>
      <c r="J26" s="133">
        <v>44259</v>
      </c>
      <c r="K26" s="126">
        <v>4.7300000000000004</v>
      </c>
      <c r="L26" s="124">
        <f>ROUND(142*12*取费表!B2*E26,0)</f>
        <v>93039</v>
      </c>
      <c r="M26" s="124">
        <f t="shared" si="5"/>
        <v>130923</v>
      </c>
      <c r="N26" s="124">
        <f>M26</f>
        <v>130923</v>
      </c>
      <c r="O26" s="124">
        <f>N26</f>
        <v>130923</v>
      </c>
      <c r="P26" s="124">
        <f t="shared" ref="P26:R26" si="13">O26</f>
        <v>130923</v>
      </c>
      <c r="Q26" s="124">
        <f t="shared" si="13"/>
        <v>130923</v>
      </c>
      <c r="R26" s="124">
        <f t="shared" si="13"/>
        <v>130923</v>
      </c>
      <c r="S26" s="124">
        <f>R26</f>
        <v>130923</v>
      </c>
      <c r="T26" s="124">
        <f>ROUND(148*3*E26,0)</f>
        <v>134681</v>
      </c>
      <c r="U26" s="124">
        <f>T26</f>
        <v>134681</v>
      </c>
      <c r="V26" s="124">
        <f>U26</f>
        <v>134681</v>
      </c>
      <c r="W26" s="136">
        <f>V26</f>
        <v>134681</v>
      </c>
      <c r="X26" s="124">
        <f>W26</f>
        <v>134681</v>
      </c>
      <c r="Y26" s="124">
        <f>X26</f>
        <v>134681</v>
      </c>
    </row>
    <row r="27" spans="1:25" hidden="1">
      <c r="A27" s="126">
        <v>25</v>
      </c>
      <c r="B27" s="127" t="s">
        <v>365</v>
      </c>
      <c r="C27" s="130" t="s">
        <v>366</v>
      </c>
      <c r="D27" s="131" t="s">
        <v>367</v>
      </c>
      <c r="E27" s="132">
        <v>303.33539999999999</v>
      </c>
      <c r="F27" s="133">
        <v>42445</v>
      </c>
      <c r="G27" s="133">
        <v>43921</v>
      </c>
      <c r="H27" s="138">
        <v>2020</v>
      </c>
      <c r="I27" s="133"/>
      <c r="J27" s="133">
        <v>43190</v>
      </c>
      <c r="K27" s="126">
        <v>3.67</v>
      </c>
      <c r="L27" s="124">
        <f>ROUND(K27*365*E27*取费表!$B$2,0)</f>
        <v>73140</v>
      </c>
      <c r="M27" s="124">
        <f t="shared" si="5"/>
        <v>101583</v>
      </c>
      <c r="N27" s="124">
        <f>M27</f>
        <v>101583</v>
      </c>
      <c r="O27" s="124">
        <f t="shared" ref="O27:S27" si="14">N27</f>
        <v>101583</v>
      </c>
      <c r="P27" s="124">
        <f t="shared" si="14"/>
        <v>101583</v>
      </c>
      <c r="Q27" s="124">
        <f t="shared" si="14"/>
        <v>101583</v>
      </c>
      <c r="R27" s="124">
        <f t="shared" si="14"/>
        <v>101583</v>
      </c>
      <c r="S27" s="136">
        <f t="shared" si="14"/>
        <v>101583</v>
      </c>
      <c r="T27" s="124">
        <f>S27</f>
        <v>101583</v>
      </c>
      <c r="U27" s="124">
        <f>T27</f>
        <v>101583</v>
      </c>
    </row>
    <row r="28" spans="1:25" hidden="1">
      <c r="A28" s="126">
        <v>26</v>
      </c>
      <c r="B28" s="127" t="s">
        <v>365</v>
      </c>
      <c r="C28" s="130" t="s">
        <v>126</v>
      </c>
      <c r="D28" s="131" t="s">
        <v>368</v>
      </c>
      <c r="E28" s="132">
        <v>138.06489999999999</v>
      </c>
      <c r="F28" s="133">
        <v>42795</v>
      </c>
      <c r="G28" s="133">
        <v>43524</v>
      </c>
      <c r="H28" s="138">
        <v>2019</v>
      </c>
      <c r="I28" s="133"/>
      <c r="J28" s="133">
        <v>43524</v>
      </c>
      <c r="K28" s="126">
        <v>3.67</v>
      </c>
      <c r="L28" s="124">
        <f>ROUND(K28*365*E28*取费表!$B$2,0)</f>
        <v>33290</v>
      </c>
      <c r="M28" s="124">
        <f t="shared" si="5"/>
        <v>46236</v>
      </c>
      <c r="N28" s="124">
        <f>M28</f>
        <v>46236</v>
      </c>
      <c r="O28" s="136">
        <f t="shared" ref="O28:Q29" si="15">N28</f>
        <v>46236</v>
      </c>
      <c r="P28" s="124">
        <f t="shared" si="15"/>
        <v>46236</v>
      </c>
      <c r="Q28" s="124">
        <f t="shared" si="15"/>
        <v>46236</v>
      </c>
    </row>
    <row r="29" spans="1:25" ht="22.5" hidden="1">
      <c r="A29" s="126">
        <v>27</v>
      </c>
      <c r="B29" s="127" t="s">
        <v>369</v>
      </c>
      <c r="C29" s="130" t="s">
        <v>127</v>
      </c>
      <c r="D29" s="131" t="s">
        <v>370</v>
      </c>
      <c r="E29" s="132">
        <v>99.765199999999993</v>
      </c>
      <c r="F29" s="133">
        <v>42339</v>
      </c>
      <c r="G29" s="133">
        <v>43465</v>
      </c>
      <c r="H29" s="138">
        <v>2019</v>
      </c>
      <c r="I29" s="133"/>
      <c r="J29" s="133">
        <v>43465</v>
      </c>
      <c r="K29" s="126">
        <v>4.67</v>
      </c>
      <c r="L29" s="124">
        <f>ROUND(K29*365*E29*取费表!$B$2,0)</f>
        <v>30610</v>
      </c>
      <c r="M29" s="124">
        <f t="shared" si="5"/>
        <v>42514</v>
      </c>
      <c r="N29" s="136">
        <f>M29</f>
        <v>42514</v>
      </c>
      <c r="O29" s="124">
        <f t="shared" si="15"/>
        <v>42514</v>
      </c>
      <c r="P29" s="124">
        <f t="shared" si="15"/>
        <v>42514</v>
      </c>
      <c r="Q29" s="124">
        <f t="shared" si="15"/>
        <v>42514</v>
      </c>
    </row>
    <row r="30" spans="1:25" ht="22.5" hidden="1">
      <c r="A30" s="126">
        <v>28</v>
      </c>
      <c r="B30" s="127" t="s">
        <v>365</v>
      </c>
      <c r="C30" s="130" t="s">
        <v>128</v>
      </c>
      <c r="D30" s="131" t="s">
        <v>371</v>
      </c>
      <c r="E30" s="132">
        <v>99.765199999999993</v>
      </c>
      <c r="F30" s="133">
        <v>42948</v>
      </c>
      <c r="G30" s="133">
        <v>43312</v>
      </c>
      <c r="H30" s="138">
        <v>2018</v>
      </c>
      <c r="I30" s="133"/>
      <c r="J30" s="133">
        <v>43312</v>
      </c>
      <c r="K30" s="126">
        <v>4.67</v>
      </c>
      <c r="L30" s="124">
        <f>ROUND(K30*365*E30*取费表!$B$2,0)</f>
        <v>30610</v>
      </c>
      <c r="M30" s="136">
        <f t="shared" si="5"/>
        <v>42514</v>
      </c>
    </row>
    <row r="31" spans="1:25" hidden="1">
      <c r="A31" s="126">
        <v>29</v>
      </c>
      <c r="B31" s="127" t="s">
        <v>365</v>
      </c>
      <c r="C31" s="130" t="s">
        <v>129</v>
      </c>
      <c r="D31" s="131" t="s">
        <v>372</v>
      </c>
      <c r="E31" s="132">
        <v>195.65520000000001</v>
      </c>
      <c r="F31" s="133">
        <v>43064</v>
      </c>
      <c r="G31" s="133">
        <v>43793</v>
      </c>
      <c r="H31" s="138">
        <v>2020</v>
      </c>
      <c r="I31" s="133"/>
      <c r="J31" s="133">
        <v>43793</v>
      </c>
      <c r="K31" s="126">
        <v>5</v>
      </c>
      <c r="L31" s="124">
        <f>ROUND(K31*365*E31*取费表!$B$2,0)</f>
        <v>64273</v>
      </c>
      <c r="M31" s="124">
        <f t="shared" si="5"/>
        <v>89268</v>
      </c>
      <c r="N31" s="124">
        <f>M31</f>
        <v>89268</v>
      </c>
      <c r="O31" s="124">
        <f t="shared" ref="O31:R31" si="16">N31</f>
        <v>89268</v>
      </c>
      <c r="P31" s="124">
        <f t="shared" si="16"/>
        <v>89268</v>
      </c>
      <c r="Q31" s="124">
        <f t="shared" si="16"/>
        <v>89268</v>
      </c>
      <c r="R31" s="136">
        <f t="shared" si="16"/>
        <v>89268</v>
      </c>
      <c r="S31" s="124">
        <f>R31</f>
        <v>89268</v>
      </c>
      <c r="T31" s="124">
        <f>S31</f>
        <v>89268</v>
      </c>
      <c r="U31" s="124">
        <f>T31</f>
        <v>89268</v>
      </c>
    </row>
    <row r="32" spans="1:25" hidden="1">
      <c r="A32" s="126">
        <v>30</v>
      </c>
      <c r="B32" s="127" t="s">
        <v>373</v>
      </c>
      <c r="C32" s="130" t="s">
        <v>130</v>
      </c>
      <c r="D32" s="135" t="s">
        <v>374</v>
      </c>
      <c r="E32" s="132">
        <v>217</v>
      </c>
      <c r="F32" s="133">
        <v>43009</v>
      </c>
      <c r="G32" s="133">
        <v>44104</v>
      </c>
      <c r="H32" s="138">
        <v>2020</v>
      </c>
      <c r="I32" s="133"/>
      <c r="J32" s="133">
        <v>44104</v>
      </c>
      <c r="K32" s="126">
        <v>5.33</v>
      </c>
      <c r="L32" s="124">
        <f>ROUND(K32*365*E32*取费表!$B$2,0)</f>
        <v>75989</v>
      </c>
      <c r="M32" s="124">
        <f t="shared" si="5"/>
        <v>105541</v>
      </c>
      <c r="N32" s="124">
        <f>M32</f>
        <v>105541</v>
      </c>
      <c r="O32" s="124">
        <f t="shared" ref="O32:U32" si="17">N32</f>
        <v>105541</v>
      </c>
      <c r="P32" s="124">
        <f t="shared" si="17"/>
        <v>105541</v>
      </c>
      <c r="Q32" s="124">
        <f t="shared" si="17"/>
        <v>105541</v>
      </c>
      <c r="R32" s="124">
        <f t="shared" si="17"/>
        <v>105541</v>
      </c>
      <c r="S32" s="124">
        <f t="shared" si="17"/>
        <v>105541</v>
      </c>
      <c r="T32" s="124">
        <f t="shared" si="17"/>
        <v>105541</v>
      </c>
      <c r="U32" s="136">
        <f t="shared" si="17"/>
        <v>105541</v>
      </c>
    </row>
    <row r="33" spans="1:33" ht="21.75" hidden="1">
      <c r="A33" s="126">
        <v>31</v>
      </c>
      <c r="B33" s="127" t="s">
        <v>373</v>
      </c>
      <c r="C33" s="130" t="s">
        <v>375</v>
      </c>
      <c r="D33" s="135" t="s">
        <v>376</v>
      </c>
      <c r="E33" s="132">
        <v>861.12130000000002</v>
      </c>
      <c r="F33" s="133">
        <v>42993</v>
      </c>
      <c r="G33" s="133">
        <v>43722</v>
      </c>
      <c r="H33" s="138">
        <v>2019</v>
      </c>
      <c r="I33" s="133"/>
      <c r="J33" s="133">
        <v>43722</v>
      </c>
      <c r="K33" s="126">
        <v>5</v>
      </c>
      <c r="L33" s="124">
        <f>ROUND(K33*365*E33*取费表!$B$2,0)</f>
        <v>282878</v>
      </c>
      <c r="M33" s="124">
        <f t="shared" si="5"/>
        <v>392887</v>
      </c>
      <c r="N33" s="124">
        <f>M33</f>
        <v>392887</v>
      </c>
      <c r="O33" s="124">
        <f>N33</f>
        <v>392887</v>
      </c>
      <c r="P33" s="124">
        <f>O33</f>
        <v>392887</v>
      </c>
      <c r="Q33" s="136">
        <f>P33</f>
        <v>392887</v>
      </c>
    </row>
    <row r="34" spans="1:33" ht="22.5" hidden="1">
      <c r="A34" s="126">
        <v>32</v>
      </c>
      <c r="B34" s="127" t="s">
        <v>373</v>
      </c>
      <c r="C34" s="130" t="s">
        <v>377</v>
      </c>
      <c r="D34" s="135" t="s">
        <v>378</v>
      </c>
      <c r="E34" s="132">
        <v>234.25</v>
      </c>
      <c r="F34" s="133">
        <v>42470</v>
      </c>
      <c r="G34" s="133">
        <v>43930</v>
      </c>
      <c r="H34" s="138">
        <v>2020</v>
      </c>
      <c r="I34" s="133"/>
      <c r="J34" s="133">
        <v>43930</v>
      </c>
      <c r="K34" s="126">
        <v>4.5</v>
      </c>
      <c r="L34" s="124">
        <f>ROUND(K34*365*E34*取费表!$B$2,0)</f>
        <v>69256</v>
      </c>
      <c r="M34" s="124">
        <f t="shared" si="5"/>
        <v>96189</v>
      </c>
      <c r="N34" s="124">
        <f>M34</f>
        <v>96189</v>
      </c>
      <c r="O34" s="124">
        <f t="shared" ref="O34:S34" si="18">N34</f>
        <v>96189</v>
      </c>
      <c r="P34" s="124">
        <f t="shared" si="18"/>
        <v>96189</v>
      </c>
      <c r="Q34" s="124">
        <f t="shared" si="18"/>
        <v>96189</v>
      </c>
      <c r="R34" s="124">
        <f t="shared" si="18"/>
        <v>96189</v>
      </c>
      <c r="S34" s="136">
        <f t="shared" si="18"/>
        <v>96189</v>
      </c>
      <c r="T34" s="124">
        <f>S34</f>
        <v>96189</v>
      </c>
      <c r="U34" s="124">
        <f>T34</f>
        <v>96189</v>
      </c>
    </row>
    <row r="35" spans="1:33" ht="22.5" hidden="1">
      <c r="A35" s="126">
        <v>33</v>
      </c>
      <c r="B35" s="127" t="s">
        <v>379</v>
      </c>
      <c r="C35" s="130" t="s">
        <v>131</v>
      </c>
      <c r="D35" s="131" t="s">
        <v>380</v>
      </c>
      <c r="E35" s="132">
        <v>268.60599999999999</v>
      </c>
      <c r="F35" s="133">
        <v>42602</v>
      </c>
      <c r="G35" s="133">
        <v>43331</v>
      </c>
      <c r="H35" s="138">
        <v>2018</v>
      </c>
      <c r="I35" s="133"/>
      <c r="J35" s="133">
        <v>43331</v>
      </c>
      <c r="K35" s="126">
        <v>4.67</v>
      </c>
      <c r="L35" s="124">
        <f>ROUND(K35*365*E35*取费表!$B$2,0)</f>
        <v>82413</v>
      </c>
      <c r="M35" s="136">
        <f t="shared" si="5"/>
        <v>114463</v>
      </c>
    </row>
    <row r="36" spans="1:33" hidden="1">
      <c r="A36" s="126">
        <v>34</v>
      </c>
      <c r="B36" s="127" t="s">
        <v>381</v>
      </c>
      <c r="C36" s="130" t="s">
        <v>382</v>
      </c>
      <c r="D36" s="131" t="s">
        <v>383</v>
      </c>
      <c r="E36" s="132">
        <v>102.797</v>
      </c>
      <c r="F36" s="133">
        <v>42979</v>
      </c>
      <c r="G36" s="133">
        <v>43708</v>
      </c>
      <c r="H36" s="138">
        <v>2019</v>
      </c>
      <c r="I36" s="133"/>
      <c r="J36" s="133">
        <v>43708</v>
      </c>
      <c r="K36" s="126">
        <v>4.7</v>
      </c>
      <c r="L36" s="124">
        <f>ROUND(K36*365*E36*取费表!$B$2,0)</f>
        <v>31743</v>
      </c>
      <c r="M36" s="124">
        <f t="shared" si="5"/>
        <v>44087</v>
      </c>
      <c r="N36" s="124">
        <f t="shared" ref="N36:Q37" si="19">M36</f>
        <v>44087</v>
      </c>
      <c r="O36" s="124">
        <f t="shared" si="19"/>
        <v>44087</v>
      </c>
      <c r="P36" s="124">
        <f t="shared" si="19"/>
        <v>44087</v>
      </c>
      <c r="Q36" s="136">
        <f t="shared" si="19"/>
        <v>44087</v>
      </c>
    </row>
    <row r="37" spans="1:33" hidden="1">
      <c r="A37" s="126">
        <v>35</v>
      </c>
      <c r="B37" s="127" t="s">
        <v>379</v>
      </c>
      <c r="C37" s="130" t="s">
        <v>384</v>
      </c>
      <c r="D37" s="131" t="s">
        <v>385</v>
      </c>
      <c r="E37" s="132">
        <v>405.8845</v>
      </c>
      <c r="F37" s="133">
        <v>43009</v>
      </c>
      <c r="G37" s="133">
        <v>43626</v>
      </c>
      <c r="H37" s="138">
        <v>2019</v>
      </c>
      <c r="I37" s="133"/>
      <c r="J37" s="133">
        <v>43626</v>
      </c>
      <c r="K37" s="126">
        <v>1.83</v>
      </c>
      <c r="L37" s="124">
        <f>ROUND(K37*365*E37*取费表!$B$2,0)</f>
        <v>48800</v>
      </c>
      <c r="M37" s="124">
        <f t="shared" si="5"/>
        <v>67778</v>
      </c>
      <c r="N37" s="124">
        <f t="shared" si="19"/>
        <v>67778</v>
      </c>
      <c r="O37" s="124">
        <f t="shared" si="19"/>
        <v>67778</v>
      </c>
      <c r="P37" s="136">
        <f t="shared" si="19"/>
        <v>67778</v>
      </c>
      <c r="Q37" s="124">
        <f t="shared" si="19"/>
        <v>67778</v>
      </c>
    </row>
    <row r="38" spans="1:33" ht="22.5" hidden="1">
      <c r="A38" s="126">
        <v>36</v>
      </c>
      <c r="B38" s="127" t="s">
        <v>379</v>
      </c>
      <c r="C38" s="130" t="s">
        <v>132</v>
      </c>
      <c r="D38" s="131" t="s">
        <v>386</v>
      </c>
      <c r="E38" s="132">
        <v>209.99359999999999</v>
      </c>
      <c r="F38" s="133">
        <v>43187</v>
      </c>
      <c r="G38" s="133">
        <v>43917</v>
      </c>
      <c r="H38" s="138">
        <v>2020</v>
      </c>
      <c r="I38" s="133"/>
      <c r="J38" s="133">
        <v>43917</v>
      </c>
      <c r="K38" s="126">
        <v>5.33</v>
      </c>
      <c r="L38" s="124">
        <f>ROUND(K38*365*E38*取费表!$B$2,0)</f>
        <v>73536</v>
      </c>
      <c r="M38" s="124">
        <f t="shared" si="5"/>
        <v>102133</v>
      </c>
      <c r="N38" s="124">
        <f t="shared" ref="N38:P42" si="20">M38</f>
        <v>102133</v>
      </c>
      <c r="O38" s="124">
        <f t="shared" si="20"/>
        <v>102133</v>
      </c>
      <c r="P38" s="124">
        <f t="shared" si="20"/>
        <v>102133</v>
      </c>
      <c r="Q38" s="124">
        <f t="shared" ref="Q38:S38" si="21">P38</f>
        <v>102133</v>
      </c>
      <c r="R38" s="124">
        <f t="shared" si="21"/>
        <v>102133</v>
      </c>
      <c r="S38" s="136">
        <f t="shared" si="21"/>
        <v>102133</v>
      </c>
      <c r="T38" s="124">
        <f>S38</f>
        <v>102133</v>
      </c>
      <c r="U38" s="124">
        <f>T38</f>
        <v>102133</v>
      </c>
    </row>
    <row r="39" spans="1:33" ht="22.5" hidden="1">
      <c r="A39" s="126">
        <v>37</v>
      </c>
      <c r="B39" s="127" t="s">
        <v>379</v>
      </c>
      <c r="C39" s="130" t="s">
        <v>387</v>
      </c>
      <c r="D39" s="131" t="s">
        <v>388</v>
      </c>
      <c r="E39" s="132">
        <v>138.06489999999999</v>
      </c>
      <c r="F39" s="237">
        <v>42309</v>
      </c>
      <c r="G39" s="237">
        <v>44135</v>
      </c>
      <c r="H39" s="138">
        <v>2021</v>
      </c>
      <c r="I39" s="133"/>
      <c r="J39" s="237">
        <v>44135</v>
      </c>
      <c r="K39" s="126">
        <v>4.67</v>
      </c>
      <c r="L39" s="124">
        <f>ROUND(K39*365*E39*取费表!$B$2,0)</f>
        <v>42361</v>
      </c>
      <c r="M39" s="124">
        <f t="shared" si="5"/>
        <v>58835</v>
      </c>
      <c r="N39" s="124">
        <f t="shared" si="20"/>
        <v>58835</v>
      </c>
      <c r="O39" s="124">
        <f t="shared" si="20"/>
        <v>58835</v>
      </c>
      <c r="P39" s="124">
        <f t="shared" si="20"/>
        <v>58835</v>
      </c>
      <c r="Q39" s="124">
        <f>P39</f>
        <v>58835</v>
      </c>
      <c r="R39" s="124">
        <f>Q39</f>
        <v>58835</v>
      </c>
      <c r="S39" s="124">
        <f>R39</f>
        <v>58835</v>
      </c>
      <c r="T39" s="124">
        <f t="shared" ref="T39:U39" si="22">S39</f>
        <v>58835</v>
      </c>
      <c r="U39" s="136">
        <f t="shared" si="22"/>
        <v>58835</v>
      </c>
    </row>
    <row r="40" spans="1:33" ht="22.5" hidden="1">
      <c r="A40" s="126">
        <v>38</v>
      </c>
      <c r="B40" s="127" t="s">
        <v>381</v>
      </c>
      <c r="C40" s="130" t="s">
        <v>389</v>
      </c>
      <c r="D40" s="131" t="s">
        <v>390</v>
      </c>
      <c r="E40" s="132">
        <v>99.765199999999993</v>
      </c>
      <c r="F40" s="237"/>
      <c r="G40" s="237"/>
      <c r="H40" s="138">
        <v>2021</v>
      </c>
      <c r="I40" s="133"/>
      <c r="J40" s="237"/>
      <c r="K40" s="126">
        <v>4.67</v>
      </c>
      <c r="L40" s="124">
        <f>ROUND(K40*365*E40*取费表!$B$2,0)</f>
        <v>30610</v>
      </c>
      <c r="M40" s="124">
        <f t="shared" si="5"/>
        <v>42514</v>
      </c>
      <c r="N40" s="124">
        <f t="shared" si="20"/>
        <v>42514</v>
      </c>
      <c r="O40" s="124">
        <f t="shared" si="20"/>
        <v>42514</v>
      </c>
      <c r="P40" s="124">
        <f t="shared" si="20"/>
        <v>42514</v>
      </c>
      <c r="Q40" s="124">
        <f t="shared" ref="Q40:U42" si="23">P40</f>
        <v>42514</v>
      </c>
      <c r="R40" s="124">
        <f t="shared" si="23"/>
        <v>42514</v>
      </c>
      <c r="S40" s="124">
        <f t="shared" si="23"/>
        <v>42514</v>
      </c>
      <c r="T40" s="124">
        <f t="shared" si="23"/>
        <v>42514</v>
      </c>
      <c r="U40" s="136">
        <f t="shared" si="23"/>
        <v>42514</v>
      </c>
    </row>
    <row r="41" spans="1:33" ht="22.5" hidden="1">
      <c r="A41" s="126">
        <v>39</v>
      </c>
      <c r="B41" s="127" t="s">
        <v>379</v>
      </c>
      <c r="C41" s="130" t="s">
        <v>391</v>
      </c>
      <c r="D41" s="131" t="s">
        <v>392</v>
      </c>
      <c r="E41" s="132">
        <v>99.765199999999993</v>
      </c>
      <c r="F41" s="133">
        <v>43091</v>
      </c>
      <c r="G41" s="133">
        <v>43820</v>
      </c>
      <c r="H41" s="138">
        <v>2020</v>
      </c>
      <c r="I41" s="37"/>
      <c r="J41" s="133">
        <v>43820</v>
      </c>
      <c r="K41" s="126">
        <v>4.93</v>
      </c>
      <c r="L41" s="124">
        <f>ROUND(K41*365*E41*取费表!$B$2,0)</f>
        <v>32314</v>
      </c>
      <c r="M41" s="124">
        <f t="shared" si="5"/>
        <v>44881</v>
      </c>
      <c r="N41" s="124">
        <f t="shared" si="20"/>
        <v>44881</v>
      </c>
      <c r="O41" s="124">
        <f t="shared" si="20"/>
        <v>44881</v>
      </c>
      <c r="P41" s="124">
        <f t="shared" si="20"/>
        <v>44881</v>
      </c>
      <c r="Q41" s="124">
        <f t="shared" si="23"/>
        <v>44881</v>
      </c>
      <c r="R41" s="136">
        <f t="shared" ref="R41" si="24">Q41</f>
        <v>44881</v>
      </c>
      <c r="S41" s="124">
        <f>R41</f>
        <v>44881</v>
      </c>
      <c r="T41" s="124">
        <f>S41</f>
        <v>44881</v>
      </c>
      <c r="U41" s="124">
        <f>T41</f>
        <v>44881</v>
      </c>
    </row>
    <row r="42" spans="1:33" ht="22.5" hidden="1">
      <c r="A42" s="126">
        <v>40</v>
      </c>
      <c r="B42" s="127" t="s">
        <v>381</v>
      </c>
      <c r="C42" s="130" t="s">
        <v>393</v>
      </c>
      <c r="D42" s="131" t="s">
        <v>392</v>
      </c>
      <c r="E42" s="132">
        <v>195.65520000000001</v>
      </c>
      <c r="F42" s="133">
        <v>43091</v>
      </c>
      <c r="G42" s="133">
        <v>43820</v>
      </c>
      <c r="H42" s="138">
        <v>2020</v>
      </c>
      <c r="I42" s="37"/>
      <c r="J42" s="133">
        <v>43820</v>
      </c>
      <c r="K42" s="126">
        <v>4.93</v>
      </c>
      <c r="L42" s="124">
        <f>ROUND(K42*365*E42*取费表!$B$2,0)</f>
        <v>63373</v>
      </c>
      <c r="M42" s="124">
        <f t="shared" si="5"/>
        <v>88018</v>
      </c>
      <c r="N42" s="124">
        <f t="shared" si="20"/>
        <v>88018</v>
      </c>
      <c r="O42" s="124">
        <f t="shared" si="20"/>
        <v>88018</v>
      </c>
      <c r="P42" s="124">
        <f t="shared" si="20"/>
        <v>88018</v>
      </c>
      <c r="Q42" s="124">
        <f t="shared" si="23"/>
        <v>88018</v>
      </c>
      <c r="R42" s="136">
        <f t="shared" ref="R42:U42" si="25">Q42</f>
        <v>88018</v>
      </c>
      <c r="S42" s="124">
        <f t="shared" si="25"/>
        <v>88018</v>
      </c>
      <c r="T42" s="124">
        <f t="shared" si="25"/>
        <v>88018</v>
      </c>
      <c r="U42" s="124">
        <f t="shared" si="25"/>
        <v>88018</v>
      </c>
    </row>
    <row r="43" spans="1:33" ht="22.5" hidden="1">
      <c r="A43" s="126">
        <v>41</v>
      </c>
      <c r="B43" s="127" t="s">
        <v>394</v>
      </c>
      <c r="C43" s="130" t="s">
        <v>395</v>
      </c>
      <c r="D43" s="131" t="s">
        <v>396</v>
      </c>
      <c r="E43" s="132">
        <v>236.68780000000001</v>
      </c>
      <c r="F43" s="133">
        <v>43068</v>
      </c>
      <c r="G43" s="133">
        <v>43797</v>
      </c>
      <c r="H43" s="138">
        <v>2020</v>
      </c>
      <c r="I43" s="133"/>
      <c r="J43" s="133">
        <v>43797</v>
      </c>
      <c r="K43" s="126">
        <v>5.27</v>
      </c>
      <c r="L43" s="124">
        <f>ROUND(K43*365*E43*取费表!$B$2,0)</f>
        <v>81951</v>
      </c>
      <c r="M43" s="124">
        <f t="shared" si="5"/>
        <v>113820</v>
      </c>
      <c r="N43" s="124">
        <f t="shared" ref="N43:U43" si="26">M43</f>
        <v>113820</v>
      </c>
      <c r="O43" s="124">
        <f t="shared" si="26"/>
        <v>113820</v>
      </c>
      <c r="P43" s="124">
        <f t="shared" si="26"/>
        <v>113820</v>
      </c>
      <c r="Q43" s="124">
        <f t="shared" si="26"/>
        <v>113820</v>
      </c>
      <c r="R43" s="136">
        <f t="shared" si="26"/>
        <v>113820</v>
      </c>
      <c r="S43" s="124">
        <f t="shared" si="26"/>
        <v>113820</v>
      </c>
      <c r="T43" s="124">
        <f t="shared" si="26"/>
        <v>113820</v>
      </c>
      <c r="U43" s="124">
        <f t="shared" si="26"/>
        <v>113820</v>
      </c>
    </row>
    <row r="44" spans="1:33" ht="22.5" hidden="1">
      <c r="A44" s="126">
        <v>42</v>
      </c>
      <c r="B44" s="127" t="s">
        <v>397</v>
      </c>
      <c r="C44" s="130" t="s">
        <v>398</v>
      </c>
      <c r="D44" s="131" t="s">
        <v>399</v>
      </c>
      <c r="E44" s="132">
        <v>99.601600000000005</v>
      </c>
      <c r="F44" s="133">
        <v>42415</v>
      </c>
      <c r="G44" s="133">
        <v>43524</v>
      </c>
      <c r="H44" s="138">
        <v>2019</v>
      </c>
      <c r="I44" s="133"/>
      <c r="J44" s="133">
        <v>43524</v>
      </c>
      <c r="K44" s="126">
        <v>4.5</v>
      </c>
      <c r="L44" s="124">
        <f>ROUND(K44*365*E44*取费表!$B$2,0)</f>
        <v>29447</v>
      </c>
      <c r="M44" s="124">
        <f t="shared" si="5"/>
        <v>40899</v>
      </c>
      <c r="N44" s="124">
        <f t="shared" ref="N44:O45" si="27">M44</f>
        <v>40899</v>
      </c>
      <c r="O44" s="136">
        <f t="shared" si="27"/>
        <v>40899</v>
      </c>
      <c r="P44" s="124">
        <f>O44</f>
        <v>40899</v>
      </c>
      <c r="Q44" s="124">
        <f>P44</f>
        <v>40899</v>
      </c>
    </row>
    <row r="45" spans="1:33" ht="28.5" hidden="1" customHeight="1">
      <c r="A45" s="126">
        <v>43</v>
      </c>
      <c r="B45" s="127" t="s">
        <v>400</v>
      </c>
      <c r="C45" s="130" t="s">
        <v>401</v>
      </c>
      <c r="D45" s="131" t="s">
        <v>402</v>
      </c>
      <c r="E45" s="132">
        <v>1087.634</v>
      </c>
      <c r="F45" s="133">
        <v>42430</v>
      </c>
      <c r="G45" s="133">
        <v>43524</v>
      </c>
      <c r="H45" s="138">
        <v>2019</v>
      </c>
      <c r="I45" s="133"/>
      <c r="J45" s="133">
        <v>43524</v>
      </c>
      <c r="K45" s="126">
        <v>4.93</v>
      </c>
      <c r="L45" s="124">
        <f>ROUND(K45*365*E45*取费表!$B$2,0)</f>
        <v>352286</v>
      </c>
      <c r="M45" s="124">
        <f t="shared" si="5"/>
        <v>489286</v>
      </c>
      <c r="N45" s="124">
        <f t="shared" si="27"/>
        <v>489286</v>
      </c>
      <c r="O45" s="136">
        <f t="shared" si="27"/>
        <v>489286</v>
      </c>
      <c r="P45" s="124">
        <f>O45</f>
        <v>489286</v>
      </c>
      <c r="Q45" s="124">
        <f>P45</f>
        <v>489286</v>
      </c>
    </row>
    <row r="46" spans="1:33" ht="22.5" hidden="1">
      <c r="A46" s="126">
        <v>44</v>
      </c>
      <c r="B46" s="127" t="s">
        <v>403</v>
      </c>
      <c r="C46" s="130" t="s">
        <v>133</v>
      </c>
      <c r="D46" s="131" t="s">
        <v>404</v>
      </c>
      <c r="E46" s="132">
        <v>124.7739</v>
      </c>
      <c r="F46" s="133" t="s">
        <v>405</v>
      </c>
      <c r="G46" s="133">
        <v>43296</v>
      </c>
      <c r="H46" s="138">
        <v>2018</v>
      </c>
      <c r="I46" s="133"/>
      <c r="J46" s="133">
        <v>43296</v>
      </c>
      <c r="K46" s="126">
        <v>5.17</v>
      </c>
      <c r="L46" s="124">
        <f>ROUND(K46*365*E46*取费表!$B$2,0)</f>
        <v>42382</v>
      </c>
      <c r="M46" s="136">
        <f t="shared" si="5"/>
        <v>58864</v>
      </c>
    </row>
    <row r="47" spans="1:33" ht="22.5" hidden="1">
      <c r="A47" s="126">
        <v>45</v>
      </c>
      <c r="B47" s="127" t="s">
        <v>403</v>
      </c>
      <c r="C47" s="130" t="s">
        <v>134</v>
      </c>
      <c r="D47" s="131" t="s">
        <v>406</v>
      </c>
      <c r="E47" s="132">
        <v>99.958500000000001</v>
      </c>
      <c r="F47" s="133">
        <v>42614</v>
      </c>
      <c r="G47" s="133">
        <v>43343</v>
      </c>
      <c r="H47" s="138">
        <v>2018</v>
      </c>
      <c r="I47" s="133"/>
      <c r="J47" s="133">
        <v>43343</v>
      </c>
      <c r="K47" s="126">
        <v>4.67</v>
      </c>
      <c r="L47" s="124">
        <f>ROUND(K47*365*E47*取费表!$B$2,0)</f>
        <v>30669</v>
      </c>
      <c r="M47" s="136">
        <f t="shared" si="5"/>
        <v>42596</v>
      </c>
    </row>
    <row r="48" spans="1:33" ht="22.5" hidden="1">
      <c r="A48" s="126">
        <v>46</v>
      </c>
      <c r="B48" s="127" t="s">
        <v>407</v>
      </c>
      <c r="C48" s="130" t="s">
        <v>408</v>
      </c>
      <c r="D48" s="131" t="s">
        <v>409</v>
      </c>
      <c r="E48" s="132">
        <v>1650.1106</v>
      </c>
      <c r="F48" s="133">
        <v>43147</v>
      </c>
      <c r="G48" s="133">
        <v>44972</v>
      </c>
      <c r="H48" s="138">
        <v>2023</v>
      </c>
      <c r="I48" s="133" t="s">
        <v>536</v>
      </c>
      <c r="J48" s="133">
        <v>44972</v>
      </c>
      <c r="K48" s="126">
        <v>4.5</v>
      </c>
      <c r="L48" s="124">
        <f>ROUND(135*E48*12*取费表!B2,0)</f>
        <v>481172</v>
      </c>
      <c r="M48" s="124">
        <f t="shared" si="5"/>
        <v>677577</v>
      </c>
      <c r="N48" s="124">
        <f>M48</f>
        <v>677577</v>
      </c>
      <c r="O48" s="124">
        <f>N48</f>
        <v>677577</v>
      </c>
      <c r="P48" s="124">
        <f>O48</f>
        <v>677577</v>
      </c>
      <c r="Q48" s="124">
        <f>P48</f>
        <v>677577</v>
      </c>
      <c r="R48" s="124">
        <f>Q48</f>
        <v>677577</v>
      </c>
      <c r="S48" s="124">
        <f>ROUND(145*3*E48,0)</f>
        <v>717798</v>
      </c>
      <c r="T48" s="124">
        <f>S48</f>
        <v>717798</v>
      </c>
      <c r="U48" s="124">
        <f t="shared" ref="U48:AE48" si="28">T48</f>
        <v>717798</v>
      </c>
      <c r="V48" s="124">
        <f t="shared" si="28"/>
        <v>717798</v>
      </c>
      <c r="W48" s="124">
        <f t="shared" si="28"/>
        <v>717798</v>
      </c>
      <c r="X48" s="124">
        <f t="shared" si="28"/>
        <v>717798</v>
      </c>
      <c r="Y48" s="124">
        <f t="shared" si="28"/>
        <v>717798</v>
      </c>
      <c r="Z48" s="124">
        <f t="shared" si="28"/>
        <v>717798</v>
      </c>
      <c r="AA48" s="124">
        <f t="shared" si="28"/>
        <v>717798</v>
      </c>
      <c r="AB48" s="124">
        <f t="shared" si="28"/>
        <v>717798</v>
      </c>
      <c r="AC48" s="124">
        <f t="shared" si="28"/>
        <v>717798</v>
      </c>
      <c r="AD48" s="124">
        <f t="shared" si="28"/>
        <v>717798</v>
      </c>
      <c r="AE48" s="136">
        <f t="shared" si="28"/>
        <v>717798</v>
      </c>
      <c r="AF48" s="124">
        <f>AE48</f>
        <v>717798</v>
      </c>
      <c r="AG48" s="124">
        <f>AF48</f>
        <v>717798</v>
      </c>
    </row>
    <row r="49" spans="1:21" ht="22.5" hidden="1">
      <c r="A49" s="126">
        <v>47</v>
      </c>
      <c r="B49" s="127" t="s">
        <v>410</v>
      </c>
      <c r="C49" s="130" t="s">
        <v>411</v>
      </c>
      <c r="D49" s="131" t="s">
        <v>412</v>
      </c>
      <c r="E49" s="132">
        <v>317.91699999999997</v>
      </c>
      <c r="F49" s="133">
        <v>42205</v>
      </c>
      <c r="G49" s="133">
        <v>43300</v>
      </c>
      <c r="H49" s="138">
        <v>2018</v>
      </c>
      <c r="I49" s="133"/>
      <c r="J49" s="133">
        <v>43300</v>
      </c>
      <c r="K49" s="126">
        <v>5</v>
      </c>
      <c r="L49" s="124">
        <f>ROUND(K49*365*E49*取费表!$B$2,0)</f>
        <v>104436</v>
      </c>
      <c r="M49" s="136">
        <f t="shared" si="5"/>
        <v>145050</v>
      </c>
    </row>
    <row r="50" spans="1:21" ht="22.5" hidden="1">
      <c r="A50" s="126">
        <v>48</v>
      </c>
      <c r="B50" s="127" t="s">
        <v>410</v>
      </c>
      <c r="C50" s="130" t="s">
        <v>413</v>
      </c>
      <c r="D50" s="131" t="s">
        <v>414</v>
      </c>
      <c r="E50" s="132">
        <v>237.10589999999999</v>
      </c>
      <c r="F50" s="133">
        <v>43040</v>
      </c>
      <c r="G50" s="133">
        <v>43769</v>
      </c>
      <c r="H50" s="138">
        <v>2020</v>
      </c>
      <c r="I50" s="133"/>
      <c r="J50" s="133">
        <v>43769</v>
      </c>
      <c r="K50" s="126">
        <v>5.4</v>
      </c>
      <c r="L50" s="124">
        <f>ROUND(K50*365*E50*取费表!$B$2,0)</f>
        <v>84120</v>
      </c>
      <c r="M50" s="124">
        <f t="shared" si="5"/>
        <v>116834</v>
      </c>
      <c r="N50" s="124">
        <f>M50</f>
        <v>116834</v>
      </c>
      <c r="O50" s="124">
        <f>N50</f>
        <v>116834</v>
      </c>
      <c r="P50" s="124">
        <f t="shared" ref="P50:Q50" si="29">O50</f>
        <v>116834</v>
      </c>
      <c r="Q50" s="136">
        <f t="shared" si="29"/>
        <v>116834</v>
      </c>
    </row>
    <row r="51" spans="1:21" hidden="1">
      <c r="A51" s="126">
        <v>49</v>
      </c>
      <c r="B51" s="127" t="s">
        <v>407</v>
      </c>
      <c r="C51" s="130" t="s">
        <v>415</v>
      </c>
      <c r="D51" s="131" t="s">
        <v>416</v>
      </c>
      <c r="E51" s="132">
        <v>460.95</v>
      </c>
      <c r="F51" s="133">
        <v>42205</v>
      </c>
      <c r="G51" s="133">
        <v>43300</v>
      </c>
      <c r="H51" s="138">
        <v>2018</v>
      </c>
      <c r="I51" s="133"/>
      <c r="J51" s="133">
        <v>43300</v>
      </c>
      <c r="K51" s="126">
        <v>4.83</v>
      </c>
      <c r="L51" s="124">
        <f>ROUND(K51*365*E51*取费表!$B$2,0)</f>
        <v>146274</v>
      </c>
      <c r="M51" s="136">
        <f t="shared" si="5"/>
        <v>203158</v>
      </c>
    </row>
    <row r="52" spans="1:21" ht="22.5" hidden="1">
      <c r="A52" s="126">
        <v>50</v>
      </c>
      <c r="B52" s="127" t="s">
        <v>410</v>
      </c>
      <c r="C52" s="130" t="s">
        <v>417</v>
      </c>
      <c r="D52" s="131" t="s">
        <v>418</v>
      </c>
      <c r="E52" s="132">
        <v>165.74420000000001</v>
      </c>
      <c r="F52" s="133">
        <v>42205</v>
      </c>
      <c r="G52" s="133">
        <v>43300</v>
      </c>
      <c r="H52" s="138">
        <v>2018</v>
      </c>
      <c r="I52" s="133"/>
      <c r="J52" s="133">
        <v>43300</v>
      </c>
      <c r="K52" s="126">
        <v>4.83</v>
      </c>
      <c r="L52" s="124">
        <f>ROUND(K52*365*E52*取费表!$B$2,0)</f>
        <v>52596</v>
      </c>
      <c r="M52" s="136">
        <f t="shared" si="5"/>
        <v>73050</v>
      </c>
    </row>
    <row r="53" spans="1:21" ht="22.5" hidden="1">
      <c r="A53" s="126">
        <v>51</v>
      </c>
      <c r="B53" s="127" t="s">
        <v>419</v>
      </c>
      <c r="C53" s="130" t="s">
        <v>420</v>
      </c>
      <c r="D53" s="131" t="s">
        <v>421</v>
      </c>
      <c r="E53" s="132">
        <v>327.31569999999999</v>
      </c>
      <c r="F53" s="133">
        <v>43009</v>
      </c>
      <c r="G53" s="133">
        <v>43404</v>
      </c>
      <c r="H53" s="138">
        <v>2019</v>
      </c>
      <c r="I53" s="133"/>
      <c r="J53" s="133">
        <v>43404</v>
      </c>
      <c r="K53" s="126">
        <v>4.67</v>
      </c>
      <c r="L53" s="124">
        <f>ROUND(K53*365*E53*取费表!$B$2,0)</f>
        <v>100427</v>
      </c>
      <c r="M53" s="124">
        <f t="shared" si="5"/>
        <v>139481</v>
      </c>
      <c r="N53" s="136">
        <f>M53</f>
        <v>139481</v>
      </c>
      <c r="O53" s="124">
        <f>N53</f>
        <v>139481</v>
      </c>
      <c r="P53" s="124">
        <f t="shared" ref="P53:Q53" si="30">O53</f>
        <v>139481</v>
      </c>
      <c r="Q53" s="124">
        <f t="shared" si="30"/>
        <v>139481</v>
      </c>
    </row>
    <row r="54" spans="1:21" ht="22.5" hidden="1">
      <c r="A54" s="126">
        <v>52</v>
      </c>
      <c r="B54" s="127" t="s">
        <v>422</v>
      </c>
      <c r="C54" s="130" t="s">
        <v>423</v>
      </c>
      <c r="D54" s="131" t="s">
        <v>424</v>
      </c>
      <c r="E54" s="132">
        <v>865.23360000000002</v>
      </c>
      <c r="F54" s="133">
        <v>43009</v>
      </c>
      <c r="G54" s="133">
        <v>43404</v>
      </c>
      <c r="H54" s="138">
        <v>2019</v>
      </c>
      <c r="I54" s="133"/>
      <c r="J54" s="133">
        <v>43404</v>
      </c>
      <c r="K54" s="126">
        <v>4.67</v>
      </c>
      <c r="L54" s="124">
        <f>ROUND(K54*365*E54*取费表!$B$2,0)</f>
        <v>265470</v>
      </c>
      <c r="M54" s="124">
        <f t="shared" si="5"/>
        <v>368708</v>
      </c>
      <c r="N54" s="136">
        <f t="shared" ref="N54:N62" si="31">M54</f>
        <v>368708</v>
      </c>
      <c r="O54" s="124">
        <f t="shared" ref="O54:Q59" si="32">N54</f>
        <v>368708</v>
      </c>
      <c r="P54" s="124">
        <f t="shared" si="32"/>
        <v>368708</v>
      </c>
      <c r="Q54" s="124">
        <f t="shared" si="32"/>
        <v>368708</v>
      </c>
    </row>
    <row r="55" spans="1:21" ht="22.5" hidden="1">
      <c r="A55" s="126">
        <v>53</v>
      </c>
      <c r="B55" s="127" t="s">
        <v>419</v>
      </c>
      <c r="C55" s="130" t="s">
        <v>425</v>
      </c>
      <c r="D55" s="131" t="s">
        <v>426</v>
      </c>
      <c r="E55" s="132">
        <v>380.3501</v>
      </c>
      <c r="F55" s="133">
        <v>43009</v>
      </c>
      <c r="G55" s="133">
        <v>43404</v>
      </c>
      <c r="H55" s="138">
        <v>2019</v>
      </c>
      <c r="I55" s="133"/>
      <c r="J55" s="133">
        <v>43404</v>
      </c>
      <c r="K55" s="126">
        <v>4.67</v>
      </c>
      <c r="L55" s="124">
        <f>ROUND(K55*365*E55*取费表!$B$2,0)</f>
        <v>116699</v>
      </c>
      <c r="M55" s="124">
        <f t="shared" si="5"/>
        <v>162081</v>
      </c>
      <c r="N55" s="136">
        <f t="shared" si="31"/>
        <v>162081</v>
      </c>
      <c r="O55" s="124">
        <f t="shared" si="32"/>
        <v>162081</v>
      </c>
      <c r="P55" s="124">
        <f t="shared" si="32"/>
        <v>162081</v>
      </c>
      <c r="Q55" s="124">
        <f t="shared" si="32"/>
        <v>162081</v>
      </c>
    </row>
    <row r="56" spans="1:21" ht="22.5" hidden="1">
      <c r="A56" s="126">
        <v>54</v>
      </c>
      <c r="B56" s="127" t="s">
        <v>419</v>
      </c>
      <c r="C56" s="130" t="s">
        <v>427</v>
      </c>
      <c r="D56" s="131" t="s">
        <v>428</v>
      </c>
      <c r="E56" s="132">
        <v>248.90819999999999</v>
      </c>
      <c r="F56" s="133">
        <v>43101</v>
      </c>
      <c r="G56" s="133">
        <v>43465</v>
      </c>
      <c r="H56" s="138">
        <v>2019</v>
      </c>
      <c r="I56" s="133"/>
      <c r="J56" s="133">
        <v>43465</v>
      </c>
      <c r="K56" s="126">
        <v>4.83</v>
      </c>
      <c r="L56" s="124">
        <f>ROUND(K56*365*E56*取费表!$B$2,0)</f>
        <v>78986</v>
      </c>
      <c r="M56" s="124">
        <f t="shared" si="5"/>
        <v>109703</v>
      </c>
      <c r="N56" s="136">
        <f t="shared" si="31"/>
        <v>109703</v>
      </c>
      <c r="O56" s="124">
        <f t="shared" si="32"/>
        <v>109703</v>
      </c>
      <c r="P56" s="124">
        <f t="shared" si="32"/>
        <v>109703</v>
      </c>
      <c r="Q56" s="124">
        <f t="shared" si="32"/>
        <v>109703</v>
      </c>
    </row>
    <row r="57" spans="1:21" ht="22.5" hidden="1">
      <c r="A57" s="126">
        <v>55</v>
      </c>
      <c r="B57" s="127" t="s">
        <v>419</v>
      </c>
      <c r="C57" s="130" t="s">
        <v>429</v>
      </c>
      <c r="D57" s="131" t="s">
        <v>430</v>
      </c>
      <c r="E57" s="132">
        <v>369.20960000000002</v>
      </c>
      <c r="F57" s="133">
        <v>43009</v>
      </c>
      <c r="G57" s="133">
        <v>43404</v>
      </c>
      <c r="H57" s="138">
        <v>2019</v>
      </c>
      <c r="I57" s="133"/>
      <c r="J57" s="133">
        <v>43404</v>
      </c>
      <c r="K57" s="126">
        <v>4.67</v>
      </c>
      <c r="L57" s="124">
        <f>ROUND(K57*365*E57*取费表!$B$2,0)</f>
        <v>113281</v>
      </c>
      <c r="M57" s="124">
        <f t="shared" si="5"/>
        <v>157334</v>
      </c>
      <c r="N57" s="136">
        <f t="shared" si="31"/>
        <v>157334</v>
      </c>
      <c r="O57" s="124">
        <f t="shared" si="32"/>
        <v>157334</v>
      </c>
      <c r="P57" s="124">
        <f t="shared" si="32"/>
        <v>157334</v>
      </c>
      <c r="Q57" s="124">
        <f t="shared" si="32"/>
        <v>157334</v>
      </c>
    </row>
    <row r="58" spans="1:21" ht="22.5" hidden="1">
      <c r="A58" s="126">
        <v>56</v>
      </c>
      <c r="B58" s="127" t="s">
        <v>419</v>
      </c>
      <c r="C58" s="130" t="s">
        <v>431</v>
      </c>
      <c r="D58" s="131" t="s">
        <v>430</v>
      </c>
      <c r="E58" s="132">
        <v>216.4659</v>
      </c>
      <c r="F58" s="133">
        <v>43009</v>
      </c>
      <c r="G58" s="133">
        <v>43404</v>
      </c>
      <c r="H58" s="138">
        <v>2019</v>
      </c>
      <c r="I58" s="133"/>
      <c r="J58" s="133">
        <v>43404</v>
      </c>
      <c r="K58" s="126">
        <v>4.67</v>
      </c>
      <c r="L58" s="124">
        <f>ROUND(K58*365*E58*取费表!$B$2,0)</f>
        <v>66416</v>
      </c>
      <c r="M58" s="124">
        <f t="shared" si="5"/>
        <v>92244</v>
      </c>
      <c r="N58" s="136">
        <f t="shared" si="31"/>
        <v>92244</v>
      </c>
      <c r="O58" s="124">
        <f t="shared" si="32"/>
        <v>92244</v>
      </c>
      <c r="P58" s="124">
        <f t="shared" si="32"/>
        <v>92244</v>
      </c>
      <c r="Q58" s="124">
        <f t="shared" si="32"/>
        <v>92244</v>
      </c>
    </row>
    <row r="59" spans="1:21" ht="22.5" hidden="1">
      <c r="A59" s="126">
        <v>57</v>
      </c>
      <c r="B59" s="127" t="s">
        <v>419</v>
      </c>
      <c r="C59" s="130" t="s">
        <v>432</v>
      </c>
      <c r="D59" s="131" t="s">
        <v>421</v>
      </c>
      <c r="E59" s="132">
        <v>275.71390000000002</v>
      </c>
      <c r="F59" s="133">
        <v>43009</v>
      </c>
      <c r="G59" s="133">
        <v>43404</v>
      </c>
      <c r="H59" s="138">
        <v>2019</v>
      </c>
      <c r="I59" s="133"/>
      <c r="J59" s="133">
        <v>43404</v>
      </c>
      <c r="K59" s="126">
        <v>4.67</v>
      </c>
      <c r="L59" s="124">
        <f>ROUND(K59*365*E59*取费表!$B$2,0)</f>
        <v>84594</v>
      </c>
      <c r="M59" s="124">
        <f t="shared" si="5"/>
        <v>117492</v>
      </c>
      <c r="N59" s="136">
        <f t="shared" si="31"/>
        <v>117492</v>
      </c>
      <c r="O59" s="124">
        <f t="shared" si="32"/>
        <v>117492</v>
      </c>
      <c r="P59" s="124">
        <f t="shared" si="32"/>
        <v>117492</v>
      </c>
      <c r="Q59" s="124">
        <f t="shared" si="32"/>
        <v>117492</v>
      </c>
    </row>
    <row r="60" spans="1:21" ht="22.5" hidden="1">
      <c r="A60" s="126">
        <v>58</v>
      </c>
      <c r="B60" s="127" t="s">
        <v>433</v>
      </c>
      <c r="C60" s="130" t="s">
        <v>434</v>
      </c>
      <c r="D60" s="131" t="s">
        <v>435</v>
      </c>
      <c r="E60" s="132">
        <v>166.02</v>
      </c>
      <c r="F60" s="133">
        <v>43132</v>
      </c>
      <c r="G60" s="133">
        <v>43861</v>
      </c>
      <c r="H60" s="138">
        <v>2020</v>
      </c>
      <c r="I60" s="133"/>
      <c r="J60" s="133">
        <v>43861</v>
      </c>
      <c r="K60" s="126">
        <v>5.6</v>
      </c>
      <c r="L60" s="124">
        <f>ROUND(K60*365*E60*取费表!$B$2,0)</f>
        <v>61082</v>
      </c>
      <c r="M60" s="124">
        <f t="shared" si="5"/>
        <v>84836</v>
      </c>
      <c r="N60" s="124">
        <f t="shared" si="31"/>
        <v>84836</v>
      </c>
      <c r="O60" s="124">
        <f t="shared" ref="O60:S60" si="33">N60</f>
        <v>84836</v>
      </c>
      <c r="P60" s="124">
        <f t="shared" si="33"/>
        <v>84836</v>
      </c>
      <c r="Q60" s="124">
        <f t="shared" si="33"/>
        <v>84836</v>
      </c>
      <c r="R60" s="124">
        <f t="shared" si="33"/>
        <v>84836</v>
      </c>
      <c r="S60" s="136">
        <f t="shared" si="33"/>
        <v>84836</v>
      </c>
      <c r="T60" s="124">
        <f>S60</f>
        <v>84836</v>
      </c>
      <c r="U60" s="124">
        <f>T60</f>
        <v>84836</v>
      </c>
    </row>
    <row r="61" spans="1:21" ht="22.5" hidden="1">
      <c r="A61" s="126">
        <v>59</v>
      </c>
      <c r="B61" s="127" t="s">
        <v>436</v>
      </c>
      <c r="C61" s="130" t="s">
        <v>437</v>
      </c>
      <c r="D61" s="131" t="s">
        <v>438</v>
      </c>
      <c r="E61" s="132">
        <v>131.46</v>
      </c>
      <c r="F61" s="133">
        <v>41860</v>
      </c>
      <c r="G61" s="133">
        <v>43685</v>
      </c>
      <c r="H61" s="138">
        <v>2019</v>
      </c>
      <c r="I61" s="133"/>
      <c r="J61" s="133">
        <v>43685</v>
      </c>
      <c r="K61" s="126">
        <v>5.33</v>
      </c>
      <c r="L61" s="124">
        <f>ROUND(K61*365*E61*取费表!$B$2,0)</f>
        <v>46035</v>
      </c>
      <c r="M61" s="124">
        <f t="shared" si="5"/>
        <v>63937</v>
      </c>
      <c r="N61" s="124">
        <f t="shared" si="31"/>
        <v>63937</v>
      </c>
      <c r="O61" s="124">
        <f>N61</f>
        <v>63937</v>
      </c>
      <c r="P61" s="124">
        <f>O61</f>
        <v>63937</v>
      </c>
      <c r="Q61" s="136">
        <f>P61</f>
        <v>63937</v>
      </c>
    </row>
    <row r="62" spans="1:21" ht="14.25" hidden="1" customHeight="1">
      <c r="A62" s="126">
        <v>60</v>
      </c>
      <c r="B62" s="127" t="s">
        <v>433</v>
      </c>
      <c r="C62" s="130" t="s">
        <v>439</v>
      </c>
      <c r="D62" s="238" t="s">
        <v>440</v>
      </c>
      <c r="E62" s="132">
        <v>130.35</v>
      </c>
      <c r="F62" s="237">
        <v>41860</v>
      </c>
      <c r="G62" s="237">
        <v>43685</v>
      </c>
      <c r="H62" s="138">
        <v>2019</v>
      </c>
      <c r="I62" s="133"/>
      <c r="J62" s="237">
        <v>43685</v>
      </c>
      <c r="K62" s="126">
        <v>5.6</v>
      </c>
      <c r="L62" s="124">
        <f>ROUND(K62*365*E62*取费表!$B$2,0)</f>
        <v>47958</v>
      </c>
      <c r="M62" s="124">
        <f t="shared" si="5"/>
        <v>66609</v>
      </c>
      <c r="N62" s="124">
        <f t="shared" si="31"/>
        <v>66609</v>
      </c>
      <c r="O62" s="124">
        <f t="shared" ref="O62:Q62" si="34">N62</f>
        <v>66609</v>
      </c>
      <c r="P62" s="124">
        <f t="shared" si="34"/>
        <v>66609</v>
      </c>
      <c r="Q62" s="136">
        <f t="shared" si="34"/>
        <v>66609</v>
      </c>
    </row>
    <row r="63" spans="1:21" hidden="1">
      <c r="A63" s="126">
        <v>61</v>
      </c>
      <c r="B63" s="127" t="s">
        <v>436</v>
      </c>
      <c r="C63" s="130" t="s">
        <v>441</v>
      </c>
      <c r="D63" s="238"/>
      <c r="E63" s="132">
        <v>96</v>
      </c>
      <c r="F63" s="237"/>
      <c r="G63" s="237"/>
      <c r="H63" s="138">
        <v>2019</v>
      </c>
      <c r="I63" s="133"/>
      <c r="J63" s="237"/>
      <c r="K63" s="126">
        <v>5.6</v>
      </c>
      <c r="L63" s="124">
        <f>ROUND(K63*365*E63*取费表!$B$2,0)</f>
        <v>35320</v>
      </c>
      <c r="M63" s="124">
        <f t="shared" si="5"/>
        <v>49056</v>
      </c>
      <c r="N63" s="124">
        <f t="shared" ref="N63:Q64" si="35">M63</f>
        <v>49056</v>
      </c>
      <c r="O63" s="124">
        <f t="shared" si="35"/>
        <v>49056</v>
      </c>
      <c r="P63" s="124">
        <f t="shared" si="35"/>
        <v>49056</v>
      </c>
      <c r="Q63" s="136">
        <f t="shared" si="35"/>
        <v>49056</v>
      </c>
    </row>
    <row r="64" spans="1:21" hidden="1">
      <c r="A64" s="126">
        <v>62</v>
      </c>
      <c r="B64" s="127" t="s">
        <v>436</v>
      </c>
      <c r="C64" s="130" t="s">
        <v>442</v>
      </c>
      <c r="D64" s="238"/>
      <c r="E64" s="132">
        <v>388.87</v>
      </c>
      <c r="F64" s="237"/>
      <c r="G64" s="237"/>
      <c r="H64" s="138">
        <v>2019</v>
      </c>
      <c r="I64" s="133"/>
      <c r="J64" s="237"/>
      <c r="K64" s="126">
        <v>5.6</v>
      </c>
      <c r="L64" s="124">
        <f>ROUND(K64*365*E64*取费表!$B$2,0)</f>
        <v>143073</v>
      </c>
      <c r="M64" s="124">
        <f t="shared" si="5"/>
        <v>198713</v>
      </c>
      <c r="N64" s="124">
        <f t="shared" si="35"/>
        <v>198713</v>
      </c>
      <c r="O64" s="124">
        <f t="shared" si="35"/>
        <v>198713</v>
      </c>
      <c r="P64" s="124">
        <f t="shared" si="35"/>
        <v>198713</v>
      </c>
      <c r="Q64" s="136">
        <f t="shared" si="35"/>
        <v>198713</v>
      </c>
    </row>
    <row r="65" spans="1:21" ht="14.25" hidden="1" customHeight="1">
      <c r="A65" s="126">
        <v>63</v>
      </c>
      <c r="B65" s="127" t="s">
        <v>436</v>
      </c>
      <c r="C65" s="130" t="s">
        <v>443</v>
      </c>
      <c r="D65" s="238" t="s">
        <v>444</v>
      </c>
      <c r="E65" s="132">
        <v>151.62</v>
      </c>
      <c r="F65" s="133">
        <v>42080</v>
      </c>
      <c r="G65" s="133">
        <v>43359</v>
      </c>
      <c r="H65" s="138">
        <v>2018</v>
      </c>
      <c r="I65" s="133"/>
      <c r="J65" s="133">
        <v>43147</v>
      </c>
      <c r="K65" s="126">
        <v>5</v>
      </c>
      <c r="L65" s="124">
        <f>ROUND(K65*365*E65*取费表!$B$2,0)</f>
        <v>49807</v>
      </c>
      <c r="M65" s="136">
        <f t="shared" si="5"/>
        <v>69177</v>
      </c>
    </row>
    <row r="66" spans="1:21" hidden="1">
      <c r="A66" s="126">
        <v>64</v>
      </c>
      <c r="B66" s="127" t="s">
        <v>436</v>
      </c>
      <c r="C66" s="130" t="s">
        <v>445</v>
      </c>
      <c r="D66" s="238"/>
      <c r="E66" s="132">
        <v>96.47</v>
      </c>
      <c r="F66" s="133">
        <v>42080</v>
      </c>
      <c r="G66" s="133">
        <v>43359</v>
      </c>
      <c r="H66" s="138">
        <v>2018</v>
      </c>
      <c r="I66" s="133"/>
      <c r="J66" s="133">
        <v>43147</v>
      </c>
      <c r="K66" s="126">
        <v>5</v>
      </c>
      <c r="L66" s="124">
        <f>ROUND(K66*365*E66*取费表!$B$2,0)</f>
        <v>31690</v>
      </c>
      <c r="M66" s="136">
        <f t="shared" si="5"/>
        <v>44014</v>
      </c>
    </row>
    <row r="67" spans="1:21" hidden="1">
      <c r="A67" s="126">
        <v>65</v>
      </c>
      <c r="B67" s="127" t="s">
        <v>433</v>
      </c>
      <c r="C67" s="130" t="s">
        <v>446</v>
      </c>
      <c r="D67" s="238"/>
      <c r="E67" s="132">
        <v>129.46</v>
      </c>
      <c r="F67" s="133">
        <v>42080</v>
      </c>
      <c r="G67" s="133">
        <v>43359</v>
      </c>
      <c r="H67" s="138">
        <v>2018</v>
      </c>
      <c r="I67" s="133"/>
      <c r="J67" s="133">
        <v>43147</v>
      </c>
      <c r="K67" s="126">
        <v>5</v>
      </c>
      <c r="L67" s="124">
        <f>ROUND(K67*365*E67*取费表!$B$2,0)</f>
        <v>42528</v>
      </c>
      <c r="M67" s="136">
        <f>ROUND(K67*365*E67/4,0)</f>
        <v>59066</v>
      </c>
    </row>
    <row r="68" spans="1:21" hidden="1">
      <c r="A68" s="126">
        <v>66</v>
      </c>
      <c r="B68" s="127" t="s">
        <v>433</v>
      </c>
      <c r="C68" s="130" t="s">
        <v>447</v>
      </c>
      <c r="D68" s="131" t="s">
        <v>448</v>
      </c>
      <c r="E68" s="132">
        <v>128.24</v>
      </c>
      <c r="F68" s="133">
        <v>42979</v>
      </c>
      <c r="G68" s="133">
        <v>43708</v>
      </c>
      <c r="H68" s="138">
        <v>2019</v>
      </c>
      <c r="I68" s="133"/>
      <c r="J68" s="133">
        <v>43708</v>
      </c>
      <c r="K68" s="126">
        <v>4.7300000000000004</v>
      </c>
      <c r="L68" s="124">
        <f>ROUND(K68*365*E68*取费表!$B$2,0)</f>
        <v>39852</v>
      </c>
      <c r="M68" s="124">
        <f>ROUND(K68*365*E68/4,0)</f>
        <v>55350</v>
      </c>
      <c r="N68" s="124">
        <f t="shared" ref="N68:Q69" si="36">M68</f>
        <v>55350</v>
      </c>
      <c r="O68" s="124">
        <f t="shared" si="36"/>
        <v>55350</v>
      </c>
      <c r="P68" s="124">
        <f t="shared" si="36"/>
        <v>55350</v>
      </c>
      <c r="Q68" s="136">
        <f t="shared" si="36"/>
        <v>55350</v>
      </c>
    </row>
    <row r="69" spans="1:21" ht="22.5" hidden="1">
      <c r="A69" s="126">
        <v>67</v>
      </c>
      <c r="B69" s="127" t="s">
        <v>433</v>
      </c>
      <c r="C69" s="130" t="s">
        <v>449</v>
      </c>
      <c r="D69" s="131" t="s">
        <v>450</v>
      </c>
      <c r="E69" s="132">
        <v>157.68</v>
      </c>
      <c r="F69" s="237">
        <v>43049</v>
      </c>
      <c r="G69" s="237">
        <v>43799</v>
      </c>
      <c r="H69" s="138">
        <v>2020</v>
      </c>
      <c r="I69" s="133"/>
      <c r="J69" s="237">
        <v>43799</v>
      </c>
      <c r="K69" s="126">
        <v>4.83</v>
      </c>
      <c r="L69" s="124">
        <f>ROUND(K69*365*E69*取费表!$B$2,0)</f>
        <v>50037</v>
      </c>
      <c r="M69" s="124">
        <f t="shared" ref="M69:M76" si="37">ROUND(K69*365*E69/4,0)</f>
        <v>69495</v>
      </c>
      <c r="N69" s="124">
        <f t="shared" si="36"/>
        <v>69495</v>
      </c>
      <c r="O69" s="124">
        <f t="shared" si="36"/>
        <v>69495</v>
      </c>
      <c r="P69" s="124">
        <f t="shared" si="36"/>
        <v>69495</v>
      </c>
      <c r="Q69" s="124">
        <f t="shared" si="36"/>
        <v>69495</v>
      </c>
      <c r="R69" s="136">
        <f>Q69</f>
        <v>69495</v>
      </c>
      <c r="S69" s="124">
        <f>R69</f>
        <v>69495</v>
      </c>
      <c r="T69" s="124">
        <f>S69</f>
        <v>69495</v>
      </c>
      <c r="U69" s="124">
        <f>T69</f>
        <v>69495</v>
      </c>
    </row>
    <row r="70" spans="1:21" ht="22.5" hidden="1">
      <c r="A70" s="126">
        <v>68</v>
      </c>
      <c r="B70" s="127" t="s">
        <v>436</v>
      </c>
      <c r="C70" s="130" t="s">
        <v>451</v>
      </c>
      <c r="D70" s="131" t="s">
        <v>450</v>
      </c>
      <c r="E70" s="132">
        <v>122</v>
      </c>
      <c r="F70" s="237"/>
      <c r="G70" s="237"/>
      <c r="H70" s="138">
        <v>2020</v>
      </c>
      <c r="I70" s="133"/>
      <c r="J70" s="237"/>
      <c r="K70" s="126">
        <v>4.83</v>
      </c>
      <c r="L70" s="124">
        <f>ROUND(K70*365*E70*取费表!$B$2,0)</f>
        <v>38714</v>
      </c>
      <c r="M70" s="124">
        <f t="shared" si="37"/>
        <v>53770</v>
      </c>
      <c r="N70" s="124">
        <f>M70</f>
        <v>53770</v>
      </c>
      <c r="O70" s="124">
        <f t="shared" ref="O70:R70" si="38">N70</f>
        <v>53770</v>
      </c>
      <c r="P70" s="124">
        <f t="shared" si="38"/>
        <v>53770</v>
      </c>
      <c r="Q70" s="124">
        <f t="shared" si="38"/>
        <v>53770</v>
      </c>
      <c r="R70" s="136">
        <f t="shared" si="38"/>
        <v>53770</v>
      </c>
      <c r="S70" s="124">
        <f>R70</f>
        <v>53770</v>
      </c>
      <c r="T70" s="124">
        <f>S70</f>
        <v>53770</v>
      </c>
      <c r="U70" s="124">
        <f>T70</f>
        <v>53770</v>
      </c>
    </row>
    <row r="71" spans="1:21" ht="22.5" hidden="1">
      <c r="A71" s="126">
        <v>69</v>
      </c>
      <c r="B71" s="127" t="s">
        <v>436</v>
      </c>
      <c r="C71" s="130" t="s">
        <v>452</v>
      </c>
      <c r="D71" s="131" t="s">
        <v>453</v>
      </c>
      <c r="E71" s="132">
        <v>95.15</v>
      </c>
      <c r="F71" s="133">
        <v>42719</v>
      </c>
      <c r="G71" s="133">
        <v>43404</v>
      </c>
      <c r="H71" s="138">
        <v>2019</v>
      </c>
      <c r="I71" s="133"/>
      <c r="J71" s="133">
        <v>43404</v>
      </c>
      <c r="K71" s="126">
        <v>4.67</v>
      </c>
      <c r="L71" s="124">
        <f>ROUND(K71*365*E71*取费表!$B$2,0)</f>
        <v>29194</v>
      </c>
      <c r="M71" s="124">
        <f t="shared" si="37"/>
        <v>40547</v>
      </c>
      <c r="N71" s="136">
        <f>M71</f>
        <v>40547</v>
      </c>
      <c r="O71" s="124">
        <f>N71</f>
        <v>40547</v>
      </c>
      <c r="P71" s="124">
        <f>O71</f>
        <v>40547</v>
      </c>
      <c r="Q71" s="124">
        <f>P71</f>
        <v>40547</v>
      </c>
    </row>
    <row r="72" spans="1:21" ht="22.5" hidden="1">
      <c r="A72" s="126">
        <v>70</v>
      </c>
      <c r="B72" s="127" t="s">
        <v>433</v>
      </c>
      <c r="C72" s="130" t="s">
        <v>454</v>
      </c>
      <c r="D72" s="131" t="s">
        <v>455</v>
      </c>
      <c r="E72" s="132">
        <v>94.23</v>
      </c>
      <c r="F72" s="133">
        <v>42248</v>
      </c>
      <c r="G72" s="133">
        <v>43343</v>
      </c>
      <c r="H72" s="138">
        <v>2018</v>
      </c>
      <c r="I72" s="133"/>
      <c r="J72" s="133">
        <v>43343</v>
      </c>
      <c r="K72" s="126">
        <v>5.67</v>
      </c>
      <c r="L72" s="124">
        <f>ROUND(K72*365*E72*取费表!$B$2,0)</f>
        <v>35102</v>
      </c>
      <c r="M72" s="136">
        <f t="shared" si="37"/>
        <v>48753</v>
      </c>
    </row>
    <row r="73" spans="1:21" ht="22.5" hidden="1">
      <c r="A73" s="126">
        <v>71</v>
      </c>
      <c r="B73" s="127" t="s">
        <v>433</v>
      </c>
      <c r="C73" s="130" t="s">
        <v>456</v>
      </c>
      <c r="D73" s="131" t="s">
        <v>455</v>
      </c>
      <c r="E73" s="132">
        <v>94.68</v>
      </c>
      <c r="F73" s="133">
        <v>42263</v>
      </c>
      <c r="G73" s="133">
        <v>43343</v>
      </c>
      <c r="H73" s="138">
        <v>2018</v>
      </c>
      <c r="I73" s="133"/>
      <c r="J73" s="133">
        <v>43343</v>
      </c>
      <c r="K73" s="126">
        <v>5.67</v>
      </c>
      <c r="L73" s="124">
        <f>ROUND(K73*365*E73*取费表!$B$2,0)</f>
        <v>35270</v>
      </c>
      <c r="M73" s="136">
        <f t="shared" si="37"/>
        <v>48986</v>
      </c>
    </row>
    <row r="74" spans="1:21" ht="22.5" hidden="1">
      <c r="A74" s="126">
        <v>72</v>
      </c>
      <c r="B74" s="127" t="s">
        <v>436</v>
      </c>
      <c r="C74" s="130" t="s">
        <v>457</v>
      </c>
      <c r="D74" s="131" t="s">
        <v>455</v>
      </c>
      <c r="E74" s="132">
        <v>119.9</v>
      </c>
      <c r="F74" s="133">
        <v>42248</v>
      </c>
      <c r="G74" s="133">
        <v>43343</v>
      </c>
      <c r="H74" s="138">
        <v>2018</v>
      </c>
      <c r="I74" s="133"/>
      <c r="J74" s="133">
        <v>43343</v>
      </c>
      <c r="K74" s="126">
        <v>5.67</v>
      </c>
      <c r="L74" s="124">
        <f>ROUND(K74*365*E74*取费表!$B$2,0)</f>
        <v>44665</v>
      </c>
      <c r="M74" s="136">
        <f t="shared" si="37"/>
        <v>62035</v>
      </c>
    </row>
    <row r="75" spans="1:21" hidden="1">
      <c r="A75" s="126">
        <v>73</v>
      </c>
      <c r="B75" s="127" t="s">
        <v>436</v>
      </c>
      <c r="C75" s="130" t="s">
        <v>458</v>
      </c>
      <c r="D75" s="131" t="s">
        <v>459</v>
      </c>
      <c r="E75" s="132">
        <v>175.24</v>
      </c>
      <c r="F75" s="133">
        <v>42663</v>
      </c>
      <c r="G75" s="133">
        <v>43392</v>
      </c>
      <c r="H75" s="138">
        <v>2018</v>
      </c>
      <c r="I75" s="133"/>
      <c r="J75" s="133">
        <v>43392</v>
      </c>
      <c r="K75" s="126">
        <v>5.17</v>
      </c>
      <c r="L75" s="124">
        <f>ROUND(K75*365*E75*取费表!$B$2,0)</f>
        <v>59524</v>
      </c>
      <c r="M75" s="136">
        <f t="shared" si="37"/>
        <v>82672</v>
      </c>
    </row>
    <row r="76" spans="1:21" hidden="1">
      <c r="A76" s="126">
        <v>74</v>
      </c>
      <c r="B76" s="127" t="s">
        <v>436</v>
      </c>
      <c r="C76" s="130" t="s">
        <v>460</v>
      </c>
      <c r="D76" s="131" t="s">
        <v>459</v>
      </c>
      <c r="E76" s="132">
        <v>92.96</v>
      </c>
      <c r="F76" s="133">
        <v>42663</v>
      </c>
      <c r="G76" s="133">
        <v>43392</v>
      </c>
      <c r="H76" s="138">
        <v>2018</v>
      </c>
      <c r="I76" s="133"/>
      <c r="J76" s="133">
        <v>43392</v>
      </c>
      <c r="K76" s="126">
        <v>5.17</v>
      </c>
      <c r="L76" s="124">
        <f>ROUND(K76*365*E76*取费表!$B$2,0)</f>
        <v>31576</v>
      </c>
      <c r="M76" s="136">
        <f t="shared" si="37"/>
        <v>43855</v>
      </c>
    </row>
    <row r="77" spans="1:21" ht="22.5" hidden="1">
      <c r="A77" s="126">
        <v>75</v>
      </c>
      <c r="B77" s="127" t="s">
        <v>436</v>
      </c>
      <c r="C77" s="130" t="s">
        <v>461</v>
      </c>
      <c r="D77" s="131" t="s">
        <v>462</v>
      </c>
      <c r="E77" s="132">
        <v>93.83</v>
      </c>
      <c r="F77" s="133">
        <v>41869</v>
      </c>
      <c r="G77" s="133">
        <v>43694</v>
      </c>
      <c r="H77" s="138">
        <v>2019</v>
      </c>
      <c r="I77" s="133"/>
      <c r="J77" s="133">
        <v>43694</v>
      </c>
      <c r="K77" s="126">
        <v>5.13</v>
      </c>
      <c r="L77" s="124">
        <f>ROUND(K77*365*E77*取费表!$B$2,0)</f>
        <v>31625</v>
      </c>
      <c r="M77" s="124">
        <f>ROUND(K77*365*E77/4,0)</f>
        <v>43923</v>
      </c>
      <c r="N77" s="124">
        <f t="shared" ref="N77:Q78" si="39">M77</f>
        <v>43923</v>
      </c>
      <c r="O77" s="124">
        <f t="shared" si="39"/>
        <v>43923</v>
      </c>
      <c r="P77" s="124">
        <f t="shared" si="39"/>
        <v>43923</v>
      </c>
      <c r="Q77" s="136">
        <f t="shared" si="39"/>
        <v>43923</v>
      </c>
    </row>
    <row r="78" spans="1:21" hidden="1">
      <c r="A78" s="126">
        <v>76</v>
      </c>
      <c r="B78" s="127" t="s">
        <v>436</v>
      </c>
      <c r="C78" s="130" t="s">
        <v>463</v>
      </c>
      <c r="D78" s="131" t="s">
        <v>459</v>
      </c>
      <c r="E78" s="132">
        <v>93.98</v>
      </c>
      <c r="F78" s="133">
        <v>42510</v>
      </c>
      <c r="G78" s="133">
        <v>43392</v>
      </c>
      <c r="H78" s="138">
        <v>2019</v>
      </c>
      <c r="I78" s="133"/>
      <c r="J78" s="133">
        <v>43392</v>
      </c>
      <c r="K78" s="126">
        <v>5.17</v>
      </c>
      <c r="L78" s="124">
        <f>ROUND(K78*365*E78*取费表!$B$2,0)</f>
        <v>31922</v>
      </c>
      <c r="M78" s="124">
        <f>ROUND(K78*365*E78/4,0)</f>
        <v>44336</v>
      </c>
      <c r="N78" s="136">
        <f t="shared" si="39"/>
        <v>44336</v>
      </c>
      <c r="O78" s="124">
        <f t="shared" si="39"/>
        <v>44336</v>
      </c>
      <c r="P78" s="124">
        <f t="shared" si="39"/>
        <v>44336</v>
      </c>
      <c r="Q78" s="124">
        <f t="shared" si="39"/>
        <v>44336</v>
      </c>
    </row>
    <row r="79" spans="1:21" hidden="1">
      <c r="A79" s="126">
        <v>77</v>
      </c>
      <c r="B79" s="127" t="s">
        <v>436</v>
      </c>
      <c r="C79" s="130" t="s">
        <v>464</v>
      </c>
      <c r="D79" s="131" t="s">
        <v>465</v>
      </c>
      <c r="E79" s="132">
        <v>125.06</v>
      </c>
      <c r="F79" s="133">
        <v>42917</v>
      </c>
      <c r="G79" s="133">
        <v>43830</v>
      </c>
      <c r="H79" s="138">
        <v>2020</v>
      </c>
      <c r="I79" s="133"/>
      <c r="J79" s="133">
        <v>43830</v>
      </c>
      <c r="K79" s="126">
        <v>4.83</v>
      </c>
      <c r="L79" s="124">
        <f>ROUND(K79*365*E79*取费表!$B$2,0)</f>
        <v>39685</v>
      </c>
      <c r="M79" s="124">
        <f t="shared" ref="M79:M80" si="40">ROUND(K79*365*E79/4,0)</f>
        <v>55119</v>
      </c>
      <c r="N79" s="124">
        <f>M79</f>
        <v>55119</v>
      </c>
      <c r="O79" s="124">
        <f t="shared" ref="O79:R79" si="41">N79</f>
        <v>55119</v>
      </c>
      <c r="P79" s="124">
        <f t="shared" si="41"/>
        <v>55119</v>
      </c>
      <c r="Q79" s="124">
        <f t="shared" si="41"/>
        <v>55119</v>
      </c>
      <c r="R79" s="136">
        <f t="shared" si="41"/>
        <v>55119</v>
      </c>
      <c r="S79" s="124">
        <f>R79</f>
        <v>55119</v>
      </c>
      <c r="T79" s="124">
        <f>S79</f>
        <v>55119</v>
      </c>
      <c r="U79" s="124">
        <f>T79</f>
        <v>55119</v>
      </c>
    </row>
    <row r="80" spans="1:21" ht="22.5" hidden="1">
      <c r="A80" s="126">
        <v>78</v>
      </c>
      <c r="B80" s="127" t="s">
        <v>466</v>
      </c>
      <c r="C80" s="130" t="s">
        <v>467</v>
      </c>
      <c r="D80" s="131" t="s">
        <v>424</v>
      </c>
      <c r="E80" s="132">
        <v>2742.355</v>
      </c>
      <c r="F80" s="133">
        <v>42267</v>
      </c>
      <c r="G80" s="133">
        <v>43362</v>
      </c>
      <c r="H80" s="138">
        <v>2018</v>
      </c>
      <c r="I80" s="133"/>
      <c r="J80" s="133">
        <v>43362</v>
      </c>
      <c r="K80" s="126">
        <v>4.67</v>
      </c>
      <c r="L80" s="124">
        <f>ROUND(K80*365*E80*取费表!$B$2,0)</f>
        <v>841407</v>
      </c>
      <c r="M80" s="136">
        <f t="shared" si="40"/>
        <v>1168620</v>
      </c>
    </row>
    <row r="81" spans="1:29" hidden="1">
      <c r="A81" s="126">
        <v>79</v>
      </c>
      <c r="B81" s="127" t="s">
        <v>468</v>
      </c>
      <c r="C81" s="130" t="s">
        <v>469</v>
      </c>
      <c r="D81" s="131" t="s">
        <v>470</v>
      </c>
      <c r="E81" s="132">
        <v>715</v>
      </c>
      <c r="F81" s="133">
        <v>43191</v>
      </c>
      <c r="G81" s="133">
        <v>44286</v>
      </c>
      <c r="H81" s="138">
        <v>2021</v>
      </c>
      <c r="I81" s="133"/>
      <c r="J81" s="133">
        <v>44286</v>
      </c>
      <c r="K81" s="126">
        <v>5.33</v>
      </c>
      <c r="L81" s="124">
        <f>ROUND(K81*365*E81*取费表!$B$2,0)</f>
        <v>250379</v>
      </c>
      <c r="M81" s="124">
        <f>ROUND(K81*365*E81/4,0)</f>
        <v>347749</v>
      </c>
      <c r="N81" s="124">
        <f t="shared" ref="N81:N91" si="42">M81</f>
        <v>347749</v>
      </c>
      <c r="O81" s="124">
        <f t="shared" ref="O81:W81" si="43">N81</f>
        <v>347749</v>
      </c>
      <c r="P81" s="124">
        <f t="shared" si="43"/>
        <v>347749</v>
      </c>
      <c r="Q81" s="124">
        <f t="shared" si="43"/>
        <v>347749</v>
      </c>
      <c r="R81" s="124">
        <f t="shared" si="43"/>
        <v>347749</v>
      </c>
      <c r="S81" s="124">
        <f t="shared" si="43"/>
        <v>347749</v>
      </c>
      <c r="T81" s="124">
        <f t="shared" si="43"/>
        <v>347749</v>
      </c>
      <c r="U81" s="124">
        <f t="shared" si="43"/>
        <v>347749</v>
      </c>
      <c r="V81" s="124">
        <f t="shared" si="43"/>
        <v>347749</v>
      </c>
      <c r="W81" s="136">
        <f t="shared" si="43"/>
        <v>347749</v>
      </c>
      <c r="X81" s="124">
        <f>W81</f>
        <v>347749</v>
      </c>
      <c r="Y81" s="124">
        <f>X81</f>
        <v>347749</v>
      </c>
    </row>
    <row r="82" spans="1:29" ht="33.75" hidden="1">
      <c r="A82" s="126">
        <v>80</v>
      </c>
      <c r="B82" s="127" t="s">
        <v>468</v>
      </c>
      <c r="C82" s="130" t="s">
        <v>471</v>
      </c>
      <c r="D82" s="131" t="s">
        <v>472</v>
      </c>
      <c r="E82" s="132">
        <v>842.8</v>
      </c>
      <c r="F82" s="133">
        <v>42795</v>
      </c>
      <c r="G82" s="133">
        <v>44620</v>
      </c>
      <c r="H82" s="138">
        <v>2022</v>
      </c>
      <c r="I82" s="133" t="s">
        <v>537</v>
      </c>
      <c r="J82" s="133">
        <v>44620</v>
      </c>
      <c r="K82" s="126">
        <v>4.5</v>
      </c>
      <c r="L82" s="124">
        <f>ROUND(135*12*取费表!B2*办公现金流!E82,0)</f>
        <v>245760</v>
      </c>
      <c r="M82" s="124">
        <f>ROUND(135*3*E82,0)</f>
        <v>341334</v>
      </c>
      <c r="N82" s="124">
        <f t="shared" si="42"/>
        <v>341334</v>
      </c>
      <c r="O82" s="124">
        <f>ROUND(142*3*E82,0)</f>
        <v>359033</v>
      </c>
      <c r="P82" s="124">
        <f t="shared" ref="P82:V82" si="44">O82</f>
        <v>359033</v>
      </c>
      <c r="Q82" s="124">
        <f t="shared" si="44"/>
        <v>359033</v>
      </c>
      <c r="R82" s="124">
        <f t="shared" si="44"/>
        <v>359033</v>
      </c>
      <c r="S82" s="124">
        <f t="shared" si="44"/>
        <v>359033</v>
      </c>
      <c r="T82" s="124">
        <f t="shared" si="44"/>
        <v>359033</v>
      </c>
      <c r="U82" s="124">
        <f t="shared" si="44"/>
        <v>359033</v>
      </c>
      <c r="V82" s="124">
        <f t="shared" si="44"/>
        <v>359033</v>
      </c>
      <c r="W82" s="124">
        <f>ROUND(149*3*E82,0)</f>
        <v>376732</v>
      </c>
      <c r="X82" s="124">
        <f>W82</f>
        <v>376732</v>
      </c>
      <c r="Y82" s="124">
        <f>X82</f>
        <v>376732</v>
      </c>
      <c r="Z82" s="124">
        <f>Y82</f>
        <v>376732</v>
      </c>
      <c r="AA82" s="136">
        <f>Z82</f>
        <v>376732</v>
      </c>
      <c r="AB82" s="124">
        <f>AA82</f>
        <v>376732</v>
      </c>
      <c r="AC82" s="124">
        <f>AB82</f>
        <v>376732</v>
      </c>
    </row>
    <row r="83" spans="1:29" ht="42.75" hidden="1" customHeight="1">
      <c r="A83" s="126">
        <v>81</v>
      </c>
      <c r="B83" s="127" t="s">
        <v>473</v>
      </c>
      <c r="C83" s="131" t="s">
        <v>474</v>
      </c>
      <c r="D83" s="131" t="s">
        <v>475</v>
      </c>
      <c r="E83" s="132">
        <v>1184.8399999999999</v>
      </c>
      <c r="F83" s="133">
        <v>43009</v>
      </c>
      <c r="G83" s="133">
        <v>44834</v>
      </c>
      <c r="H83" s="138">
        <v>2022</v>
      </c>
      <c r="I83" s="133"/>
      <c r="J83" s="133">
        <v>44834</v>
      </c>
      <c r="K83" s="126">
        <v>4.33</v>
      </c>
      <c r="L83" s="124">
        <f>ROUND(K83*365*E83*取费表!$B$2,0)</f>
        <v>337064</v>
      </c>
      <c r="M83" s="124">
        <f>ROUND(K83*365*E83/4,0)</f>
        <v>468145</v>
      </c>
      <c r="N83" s="124">
        <f t="shared" si="42"/>
        <v>468145</v>
      </c>
      <c r="O83" s="124">
        <f t="shared" ref="O83:AC84" si="45">N83</f>
        <v>468145</v>
      </c>
      <c r="P83" s="124">
        <f t="shared" si="45"/>
        <v>468145</v>
      </c>
      <c r="Q83" s="124">
        <f t="shared" si="45"/>
        <v>468145</v>
      </c>
      <c r="R83" s="124">
        <f t="shared" si="45"/>
        <v>468145</v>
      </c>
      <c r="S83" s="124">
        <f t="shared" si="45"/>
        <v>468145</v>
      </c>
      <c r="T83" s="124">
        <f t="shared" si="45"/>
        <v>468145</v>
      </c>
      <c r="U83" s="124">
        <f t="shared" si="45"/>
        <v>468145</v>
      </c>
      <c r="V83" s="124">
        <f t="shared" si="45"/>
        <v>468145</v>
      </c>
      <c r="W83" s="124">
        <f t="shared" si="45"/>
        <v>468145</v>
      </c>
      <c r="X83" s="124">
        <f t="shared" si="45"/>
        <v>468145</v>
      </c>
      <c r="Y83" s="124">
        <f t="shared" si="45"/>
        <v>468145</v>
      </c>
      <c r="Z83" s="124">
        <f t="shared" si="45"/>
        <v>468145</v>
      </c>
      <c r="AA83" s="124">
        <f t="shared" si="45"/>
        <v>468145</v>
      </c>
      <c r="AB83" s="124">
        <f t="shared" si="45"/>
        <v>468145</v>
      </c>
      <c r="AC83" s="136">
        <f t="shared" si="45"/>
        <v>468145</v>
      </c>
    </row>
    <row r="84" spans="1:29" hidden="1">
      <c r="A84" s="126">
        <v>82</v>
      </c>
      <c r="B84" s="127" t="s">
        <v>473</v>
      </c>
      <c r="C84" s="131" t="s">
        <v>476</v>
      </c>
      <c r="D84" s="131" t="s">
        <v>477</v>
      </c>
      <c r="E84" s="132">
        <v>633.85</v>
      </c>
      <c r="F84" s="133">
        <v>43191</v>
      </c>
      <c r="G84" s="133">
        <v>43921</v>
      </c>
      <c r="H84" s="138">
        <v>2020</v>
      </c>
      <c r="I84" s="133"/>
      <c r="J84" s="133">
        <v>43921</v>
      </c>
      <c r="K84" s="126">
        <v>5</v>
      </c>
      <c r="L84" s="124">
        <f>ROUND(K84*365*E84*取费表!$B$2,0)</f>
        <v>208220</v>
      </c>
      <c r="M84" s="124">
        <f>ROUND(K84*365*E84/4,0)</f>
        <v>289194</v>
      </c>
      <c r="N84" s="124">
        <f t="shared" si="42"/>
        <v>289194</v>
      </c>
      <c r="O84" s="124">
        <f t="shared" ref="O84:S84" si="46">N84</f>
        <v>289194</v>
      </c>
      <c r="P84" s="124">
        <f t="shared" si="46"/>
        <v>289194</v>
      </c>
      <c r="Q84" s="124">
        <f t="shared" si="46"/>
        <v>289194</v>
      </c>
      <c r="R84" s="124">
        <f t="shared" si="46"/>
        <v>289194</v>
      </c>
      <c r="S84" s="136">
        <f t="shared" si="46"/>
        <v>289194</v>
      </c>
      <c r="T84" s="124">
        <f>S84</f>
        <v>289194</v>
      </c>
      <c r="U84" s="124">
        <f t="shared" si="45"/>
        <v>289194</v>
      </c>
    </row>
    <row r="85" spans="1:29" ht="22.5" hidden="1">
      <c r="A85" s="126">
        <v>83</v>
      </c>
      <c r="B85" s="127" t="s">
        <v>473</v>
      </c>
      <c r="C85" s="135" t="s">
        <v>478</v>
      </c>
      <c r="D85" s="131" t="s">
        <v>479</v>
      </c>
      <c r="E85" s="132">
        <v>521.53</v>
      </c>
      <c r="F85" s="133">
        <v>43070</v>
      </c>
      <c r="G85" s="133">
        <v>44165</v>
      </c>
      <c r="H85" s="138">
        <v>2021</v>
      </c>
      <c r="I85" s="133" t="s">
        <v>538</v>
      </c>
      <c r="J85" s="133">
        <v>44165</v>
      </c>
      <c r="K85" s="126">
        <v>4.83</v>
      </c>
      <c r="L85" s="124">
        <f>ROUND(145*12*E85*取费表!B2,0)</f>
        <v>163343</v>
      </c>
      <c r="M85" s="124">
        <f>ROUND(145*3*E85,0)</f>
        <v>226866</v>
      </c>
      <c r="N85" s="124">
        <f t="shared" si="42"/>
        <v>226866</v>
      </c>
      <c r="O85" s="124">
        <f>N85</f>
        <v>226866</v>
      </c>
      <c r="P85" s="124">
        <f>O85</f>
        <v>226866</v>
      </c>
      <c r="Q85" s="124">
        <f>P85</f>
        <v>226866</v>
      </c>
      <c r="R85" s="124">
        <f>Q85</f>
        <v>226866</v>
      </c>
      <c r="S85" s="124">
        <f>ROUND(152*3*E85,0)</f>
        <v>237818</v>
      </c>
      <c r="T85" s="124">
        <f>S85</f>
        <v>237818</v>
      </c>
      <c r="U85" s="124">
        <f t="shared" ref="U85:Y86" si="47">T85</f>
        <v>237818</v>
      </c>
      <c r="V85" s="136">
        <f t="shared" si="47"/>
        <v>237818</v>
      </c>
      <c r="W85" s="124">
        <f t="shared" si="47"/>
        <v>237818</v>
      </c>
      <c r="X85" s="124">
        <f t="shared" si="47"/>
        <v>237818</v>
      </c>
      <c r="Y85" s="124">
        <f t="shared" si="47"/>
        <v>237818</v>
      </c>
    </row>
    <row r="86" spans="1:29" ht="22.5" hidden="1">
      <c r="A86" s="126">
        <v>84</v>
      </c>
      <c r="B86" s="127" t="s">
        <v>480</v>
      </c>
      <c r="C86" s="130" t="s">
        <v>481</v>
      </c>
      <c r="D86" s="131" t="s">
        <v>482</v>
      </c>
      <c r="E86" s="132">
        <v>219.24</v>
      </c>
      <c r="F86" s="133">
        <v>42644</v>
      </c>
      <c r="G86" s="133">
        <v>44469</v>
      </c>
      <c r="H86" s="138">
        <v>2021</v>
      </c>
      <c r="I86" s="133" t="s">
        <v>539</v>
      </c>
      <c r="J86" s="133">
        <v>44469</v>
      </c>
      <c r="K86" s="126">
        <v>4.83</v>
      </c>
      <c r="L86" s="124">
        <f>ROUND(135*12*E86*取费表!B2,0)</f>
        <v>63930</v>
      </c>
      <c r="M86" s="124">
        <f>ROUND(135*3*E86,0)</f>
        <v>88792</v>
      </c>
      <c r="N86" s="124">
        <f t="shared" si="42"/>
        <v>88792</v>
      </c>
      <c r="O86" s="124">
        <f t="shared" ref="O86:Q87" si="48">N86</f>
        <v>88792</v>
      </c>
      <c r="P86" s="124">
        <f t="shared" si="48"/>
        <v>88792</v>
      </c>
      <c r="Q86" s="124">
        <f t="shared" si="48"/>
        <v>88792</v>
      </c>
      <c r="R86" s="124">
        <f>ROUND(145*3*E86,0)</f>
        <v>95369</v>
      </c>
      <c r="S86" s="124">
        <f>R86</f>
        <v>95369</v>
      </c>
      <c r="T86" s="124">
        <f>S86</f>
        <v>95369</v>
      </c>
      <c r="U86" s="124">
        <f t="shared" si="47"/>
        <v>95369</v>
      </c>
      <c r="V86" s="124">
        <f t="shared" si="47"/>
        <v>95369</v>
      </c>
      <c r="W86" s="124">
        <f t="shared" si="47"/>
        <v>95369</v>
      </c>
      <c r="X86" s="124">
        <f t="shared" si="47"/>
        <v>95369</v>
      </c>
      <c r="Y86" s="136">
        <f t="shared" si="47"/>
        <v>95369</v>
      </c>
    </row>
    <row r="87" spans="1:29" hidden="1">
      <c r="A87" s="126">
        <v>85</v>
      </c>
      <c r="B87" s="127" t="s">
        <v>480</v>
      </c>
      <c r="C87" s="130" t="s">
        <v>483</v>
      </c>
      <c r="D87" s="131" t="s">
        <v>484</v>
      </c>
      <c r="E87" s="132">
        <v>195.1</v>
      </c>
      <c r="F87" s="133">
        <v>42653</v>
      </c>
      <c r="G87" s="133">
        <v>43382</v>
      </c>
      <c r="H87" s="138">
        <v>2019</v>
      </c>
      <c r="I87" s="133"/>
      <c r="J87" s="133">
        <v>43382</v>
      </c>
      <c r="K87" s="126">
        <v>5</v>
      </c>
      <c r="L87" s="124">
        <f>ROUND(K87*365*E87*取费表!$B$2,0)</f>
        <v>64090</v>
      </c>
      <c r="M87" s="124">
        <f>ROUND(K87*365*E87/4,0)</f>
        <v>89014</v>
      </c>
      <c r="N87" s="136">
        <f t="shared" si="42"/>
        <v>89014</v>
      </c>
      <c r="O87" s="124">
        <f t="shared" si="48"/>
        <v>89014</v>
      </c>
      <c r="P87" s="124">
        <f t="shared" si="48"/>
        <v>89014</v>
      </c>
      <c r="Q87" s="124">
        <f t="shared" si="48"/>
        <v>89014</v>
      </c>
    </row>
    <row r="88" spans="1:29" ht="22.5" hidden="1">
      <c r="A88" s="126">
        <v>86</v>
      </c>
      <c r="B88" s="127" t="s">
        <v>480</v>
      </c>
      <c r="C88" s="130" t="s">
        <v>485</v>
      </c>
      <c r="D88" s="131" t="s">
        <v>486</v>
      </c>
      <c r="E88" s="132">
        <v>702.48</v>
      </c>
      <c r="F88" s="133">
        <v>42658</v>
      </c>
      <c r="G88" s="133">
        <v>44483</v>
      </c>
      <c r="H88" s="138">
        <v>2022</v>
      </c>
      <c r="I88" s="133"/>
      <c r="J88" s="133">
        <v>44483</v>
      </c>
      <c r="K88" s="126">
        <v>4.83</v>
      </c>
      <c r="L88" s="124">
        <f>ROUND(K88*365*E88*取费表!$B$2,0)</f>
        <v>222919</v>
      </c>
      <c r="M88" s="124">
        <f>ROUND(K88*365*E88/4,0)</f>
        <v>309609</v>
      </c>
      <c r="N88" s="124">
        <f t="shared" si="42"/>
        <v>309609</v>
      </c>
      <c r="O88" s="124">
        <f t="shared" ref="O88:Z90" si="49">N88</f>
        <v>309609</v>
      </c>
      <c r="P88" s="124">
        <f t="shared" si="49"/>
        <v>309609</v>
      </c>
      <c r="Q88" s="124">
        <f t="shared" si="49"/>
        <v>309609</v>
      </c>
      <c r="R88" s="124">
        <f t="shared" si="49"/>
        <v>309609</v>
      </c>
      <c r="S88" s="124">
        <f t="shared" si="49"/>
        <v>309609</v>
      </c>
      <c r="T88" s="124">
        <f t="shared" si="49"/>
        <v>309609</v>
      </c>
      <c r="U88" s="124">
        <f t="shared" si="49"/>
        <v>309609</v>
      </c>
      <c r="V88" s="124">
        <f t="shared" si="49"/>
        <v>309609</v>
      </c>
      <c r="W88" s="124">
        <f t="shared" si="49"/>
        <v>309609</v>
      </c>
      <c r="X88" s="124">
        <f t="shared" si="49"/>
        <v>309609</v>
      </c>
      <c r="Y88" s="124">
        <f t="shared" si="49"/>
        <v>309609</v>
      </c>
      <c r="Z88" s="136">
        <f t="shared" si="49"/>
        <v>309609</v>
      </c>
      <c r="AA88" s="124">
        <f>Z88</f>
        <v>309609</v>
      </c>
      <c r="AB88" s="124">
        <f>AA88</f>
        <v>309609</v>
      </c>
      <c r="AC88" s="124">
        <f>AB88</f>
        <v>309609</v>
      </c>
    </row>
    <row r="89" spans="1:29" hidden="1">
      <c r="A89" s="126">
        <v>87</v>
      </c>
      <c r="B89" s="127" t="s">
        <v>480</v>
      </c>
      <c r="C89" s="130" t="s">
        <v>487</v>
      </c>
      <c r="D89" s="131" t="s">
        <v>488</v>
      </c>
      <c r="E89" s="132">
        <v>420</v>
      </c>
      <c r="F89" s="133">
        <v>42583</v>
      </c>
      <c r="G89" s="133">
        <v>44408</v>
      </c>
      <c r="H89" s="138">
        <v>2021</v>
      </c>
      <c r="I89" s="133"/>
      <c r="J89" s="133">
        <v>44408</v>
      </c>
      <c r="K89" s="126">
        <v>4.33</v>
      </c>
      <c r="L89" s="124">
        <f>ROUND(K89*365*E89*取费表!$B$2,0)</f>
        <v>119482</v>
      </c>
      <c r="M89" s="124">
        <f>ROUND(K89*365*E89/4,0)</f>
        <v>165947</v>
      </c>
      <c r="N89" s="124">
        <f t="shared" si="42"/>
        <v>165947</v>
      </c>
      <c r="O89" s="124">
        <f t="shared" si="49"/>
        <v>165947</v>
      </c>
      <c r="P89" s="124">
        <f t="shared" si="49"/>
        <v>165947</v>
      </c>
      <c r="Q89" s="124">
        <f t="shared" si="49"/>
        <v>165947</v>
      </c>
      <c r="R89" s="124">
        <f t="shared" si="49"/>
        <v>165947</v>
      </c>
      <c r="S89" s="124">
        <f t="shared" si="49"/>
        <v>165947</v>
      </c>
      <c r="T89" s="124">
        <f t="shared" si="49"/>
        <v>165947</v>
      </c>
      <c r="U89" s="124">
        <f t="shared" si="49"/>
        <v>165947</v>
      </c>
      <c r="V89" s="124">
        <f t="shared" si="49"/>
        <v>165947</v>
      </c>
      <c r="W89" s="124">
        <f t="shared" si="49"/>
        <v>165947</v>
      </c>
      <c r="X89" s="124">
        <f t="shared" si="49"/>
        <v>165947</v>
      </c>
      <c r="Y89" s="136">
        <f t="shared" si="49"/>
        <v>165947</v>
      </c>
    </row>
    <row r="90" spans="1:29" ht="22.5" hidden="1">
      <c r="A90" s="126">
        <v>88</v>
      </c>
      <c r="B90" s="127" t="s">
        <v>480</v>
      </c>
      <c r="C90" s="130" t="s">
        <v>489</v>
      </c>
      <c r="D90" s="131" t="s">
        <v>490</v>
      </c>
      <c r="E90" s="132">
        <v>273.04000000000002</v>
      </c>
      <c r="F90" s="133">
        <v>42644</v>
      </c>
      <c r="G90" s="133">
        <v>44469</v>
      </c>
      <c r="H90" s="138">
        <v>2021</v>
      </c>
      <c r="I90" s="133" t="s">
        <v>540</v>
      </c>
      <c r="J90" s="133">
        <v>44469</v>
      </c>
      <c r="K90" s="126">
        <v>4.47</v>
      </c>
      <c r="L90" s="124">
        <f>ROUND(134*12*E90*取费表!B2,0)</f>
        <v>79029</v>
      </c>
      <c r="M90" s="124">
        <f>ROUND(134*3*E90,0)</f>
        <v>109762</v>
      </c>
      <c r="N90" s="124">
        <f t="shared" si="42"/>
        <v>109762</v>
      </c>
      <c r="O90" s="124">
        <f>N90</f>
        <v>109762</v>
      </c>
      <c r="P90" s="124">
        <f t="shared" si="49"/>
        <v>109762</v>
      </c>
      <c r="Q90" s="124">
        <f t="shared" si="49"/>
        <v>109762</v>
      </c>
      <c r="R90" s="124">
        <f>ROUND(147*3*E90,0)</f>
        <v>120411</v>
      </c>
      <c r="S90" s="124">
        <f>R90</f>
        <v>120411</v>
      </c>
      <c r="T90" s="124">
        <f t="shared" ref="T90:Y90" si="50">S90</f>
        <v>120411</v>
      </c>
      <c r="U90" s="124">
        <f t="shared" si="50"/>
        <v>120411</v>
      </c>
      <c r="V90" s="124">
        <f t="shared" si="50"/>
        <v>120411</v>
      </c>
      <c r="W90" s="124">
        <f t="shared" si="50"/>
        <v>120411</v>
      </c>
      <c r="X90" s="124">
        <f t="shared" si="50"/>
        <v>120411</v>
      </c>
      <c r="Y90" s="136">
        <f t="shared" si="50"/>
        <v>120411</v>
      </c>
    </row>
    <row r="91" spans="1:29" ht="22.5" hidden="1">
      <c r="A91" s="126">
        <v>89</v>
      </c>
      <c r="B91" s="127" t="s">
        <v>480</v>
      </c>
      <c r="C91" s="130" t="s">
        <v>491</v>
      </c>
      <c r="D91" s="131" t="s">
        <v>492</v>
      </c>
      <c r="E91" s="132">
        <v>179.93</v>
      </c>
      <c r="F91" s="133">
        <v>42957</v>
      </c>
      <c r="G91" s="133">
        <v>43686</v>
      </c>
      <c r="H91" s="138">
        <v>2019</v>
      </c>
      <c r="I91" s="133"/>
      <c r="J91" s="133">
        <v>43686</v>
      </c>
      <c r="K91" s="126">
        <v>5</v>
      </c>
      <c r="L91" s="124">
        <f>ROUND(K91*365*E91*取费表!$B$2,0)</f>
        <v>59107</v>
      </c>
      <c r="M91" s="124">
        <f>ROUND(K91*365*E91/4,0)</f>
        <v>82093</v>
      </c>
      <c r="N91" s="124">
        <f t="shared" si="42"/>
        <v>82093</v>
      </c>
      <c r="O91" s="124">
        <f>N91</f>
        <v>82093</v>
      </c>
      <c r="P91" s="124">
        <f>O91</f>
        <v>82093</v>
      </c>
      <c r="Q91" s="136">
        <f>P91</f>
        <v>82093</v>
      </c>
    </row>
    <row r="92" spans="1:29" hidden="1">
      <c r="A92" s="126">
        <v>90</v>
      </c>
      <c r="B92" s="127" t="s">
        <v>480</v>
      </c>
      <c r="C92" s="130" t="s">
        <v>493</v>
      </c>
      <c r="D92" s="131" t="s">
        <v>494</v>
      </c>
      <c r="E92" s="132">
        <v>50</v>
      </c>
      <c r="F92" s="133">
        <v>42736</v>
      </c>
      <c r="G92" s="133">
        <v>43321</v>
      </c>
      <c r="H92" s="138">
        <v>2018</v>
      </c>
      <c r="I92" s="133"/>
      <c r="J92" s="133">
        <v>43321</v>
      </c>
      <c r="K92" s="126">
        <v>4.83</v>
      </c>
      <c r="L92" s="124">
        <f>ROUND(K92*365*E92*取费表!$B$2,0)</f>
        <v>15867</v>
      </c>
      <c r="M92" s="136">
        <f>ROUND(K92*365*E92/4,0)</f>
        <v>22037</v>
      </c>
    </row>
    <row r="93" spans="1:29" hidden="1">
      <c r="A93" s="126">
        <v>91</v>
      </c>
      <c r="B93" s="127" t="s">
        <v>480</v>
      </c>
      <c r="C93" s="130" t="s">
        <v>495</v>
      </c>
      <c r="D93" s="131" t="s">
        <v>494</v>
      </c>
      <c r="E93" s="132">
        <v>261.87</v>
      </c>
      <c r="F93" s="133">
        <v>42592</v>
      </c>
      <c r="G93" s="133">
        <v>43321</v>
      </c>
      <c r="H93" s="138">
        <v>2018</v>
      </c>
      <c r="I93" s="133"/>
      <c r="J93" s="133">
        <v>43321</v>
      </c>
      <c r="K93" s="126">
        <v>4.83</v>
      </c>
      <c r="L93" s="124">
        <f>ROUND(K93*365*E93*取费表!$B$2,0)</f>
        <v>83099</v>
      </c>
      <c r="M93" s="136">
        <f t="shared" ref="M93" si="51">ROUND(K93*365*E93/4,0)</f>
        <v>115416</v>
      </c>
    </row>
    <row r="94" spans="1:29" ht="22.5" hidden="1">
      <c r="A94" s="126">
        <v>92</v>
      </c>
      <c r="B94" s="127" t="s">
        <v>480</v>
      </c>
      <c r="C94" s="130" t="s">
        <v>496</v>
      </c>
      <c r="D94" s="131" t="s">
        <v>497</v>
      </c>
      <c r="E94" s="132">
        <v>261.2</v>
      </c>
      <c r="F94" s="133">
        <v>42560</v>
      </c>
      <c r="G94" s="133">
        <v>43685</v>
      </c>
      <c r="H94" s="138">
        <v>2019</v>
      </c>
      <c r="I94" s="133"/>
      <c r="J94" s="133">
        <v>43685</v>
      </c>
      <c r="K94" s="126">
        <v>5.23</v>
      </c>
      <c r="L94" s="124">
        <f>ROUND(K94*365*E94*取费表!$B$2,0)</f>
        <v>89751</v>
      </c>
      <c r="M94" s="124">
        <f>ROUND(K94*365*E94/4,0)</f>
        <v>124654</v>
      </c>
      <c r="N94" s="124">
        <f t="shared" ref="N94:O96" si="52">M94</f>
        <v>124654</v>
      </c>
      <c r="O94" s="124">
        <f t="shared" si="52"/>
        <v>124654</v>
      </c>
      <c r="P94" s="124">
        <f t="shared" ref="P94:Q94" si="53">O94</f>
        <v>124654</v>
      </c>
      <c r="Q94" s="136">
        <f t="shared" si="53"/>
        <v>124654</v>
      </c>
    </row>
    <row r="95" spans="1:29" ht="22.5" hidden="1">
      <c r="A95" s="126">
        <v>93</v>
      </c>
      <c r="B95" s="127" t="s">
        <v>480</v>
      </c>
      <c r="C95" s="130" t="s">
        <v>498</v>
      </c>
      <c r="D95" s="131" t="s">
        <v>499</v>
      </c>
      <c r="E95" s="132">
        <v>179.78</v>
      </c>
      <c r="F95" s="133">
        <v>42552</v>
      </c>
      <c r="G95" s="133">
        <v>43646</v>
      </c>
      <c r="H95" s="138">
        <v>2019</v>
      </c>
      <c r="I95" s="133"/>
      <c r="J95" s="133">
        <v>43646</v>
      </c>
      <c r="K95" s="126">
        <v>5.33</v>
      </c>
      <c r="L95" s="124">
        <f>ROUND(K95*365*E95*取费表!$B$2,0)</f>
        <v>62956</v>
      </c>
      <c r="M95" s="124">
        <f>ROUND(K95*365*E95/4,0)</f>
        <v>87438</v>
      </c>
      <c r="N95" s="124">
        <f t="shared" si="52"/>
        <v>87438</v>
      </c>
      <c r="O95" s="124">
        <f t="shared" si="52"/>
        <v>87438</v>
      </c>
      <c r="P95" s="136">
        <f>O95</f>
        <v>87438</v>
      </c>
      <c r="Q95" s="124">
        <f>P95</f>
        <v>87438</v>
      </c>
    </row>
    <row r="96" spans="1:29" ht="22.5" hidden="1">
      <c r="A96" s="126">
        <v>94</v>
      </c>
      <c r="B96" s="127" t="s">
        <v>500</v>
      </c>
      <c r="C96" s="130" t="s">
        <v>501</v>
      </c>
      <c r="D96" s="131" t="s">
        <v>502</v>
      </c>
      <c r="E96" s="132">
        <v>195.1</v>
      </c>
      <c r="F96" s="133">
        <v>42566</v>
      </c>
      <c r="G96" s="133">
        <v>43660</v>
      </c>
      <c r="H96" s="138">
        <v>2019</v>
      </c>
      <c r="I96" s="133"/>
      <c r="J96" s="133">
        <v>43660</v>
      </c>
      <c r="K96" s="126">
        <v>4.53</v>
      </c>
      <c r="L96" s="124">
        <f>ROUND(K96*365*E96*取费表!$B$2,0)</f>
        <v>58066</v>
      </c>
      <c r="M96" s="124">
        <f t="shared" ref="M96:M111" si="54">ROUND(K96*365*E96/4,0)</f>
        <v>80647</v>
      </c>
      <c r="N96" s="124">
        <f t="shared" si="52"/>
        <v>80647</v>
      </c>
      <c r="O96" s="124">
        <f t="shared" si="52"/>
        <v>80647</v>
      </c>
      <c r="P96" s="136">
        <f>O96</f>
        <v>80647</v>
      </c>
      <c r="Q96" s="124">
        <f>P96</f>
        <v>80647</v>
      </c>
    </row>
    <row r="97" spans="1:25" hidden="1">
      <c r="A97" s="126">
        <v>95</v>
      </c>
      <c r="B97" s="127" t="s">
        <v>500</v>
      </c>
      <c r="C97" s="130" t="s">
        <v>503</v>
      </c>
      <c r="D97" s="131" t="s">
        <v>504</v>
      </c>
      <c r="E97" s="132">
        <v>608.48</v>
      </c>
      <c r="F97" s="133">
        <v>42552</v>
      </c>
      <c r="G97" s="133">
        <v>43646</v>
      </c>
      <c r="H97" s="138">
        <v>2019</v>
      </c>
      <c r="I97" s="133"/>
      <c r="J97" s="133">
        <v>43646</v>
      </c>
      <c r="K97" s="126">
        <v>4.93</v>
      </c>
      <c r="L97" s="124">
        <f>ROUND(K97*365*E97*取费表!$B$2,0)</f>
        <v>197087</v>
      </c>
      <c r="M97" s="124">
        <f t="shared" si="54"/>
        <v>273732</v>
      </c>
      <c r="N97" s="124">
        <f>M97</f>
        <v>273732</v>
      </c>
      <c r="O97" s="124">
        <f t="shared" ref="O97:P97" si="55">N97</f>
        <v>273732</v>
      </c>
      <c r="P97" s="136">
        <f t="shared" si="55"/>
        <v>273732</v>
      </c>
      <c r="Q97" s="124">
        <f>P97</f>
        <v>273732</v>
      </c>
    </row>
    <row r="98" spans="1:25" hidden="1">
      <c r="A98" s="126">
        <v>96</v>
      </c>
      <c r="B98" s="127" t="s">
        <v>500</v>
      </c>
      <c r="C98" s="130" t="s">
        <v>505</v>
      </c>
      <c r="D98" s="131" t="s">
        <v>506</v>
      </c>
      <c r="E98" s="132">
        <v>592</v>
      </c>
      <c r="F98" s="133">
        <v>42537</v>
      </c>
      <c r="G98" s="133">
        <v>43631</v>
      </c>
      <c r="H98" s="138">
        <v>2019</v>
      </c>
      <c r="I98" s="133"/>
      <c r="J98" s="133">
        <v>43631</v>
      </c>
      <c r="K98" s="126">
        <v>4.33</v>
      </c>
      <c r="L98" s="124">
        <f>ROUND(K98*365*E98*取费表!$B$2,0)</f>
        <v>168413</v>
      </c>
      <c r="M98" s="124">
        <f t="shared" si="54"/>
        <v>233907</v>
      </c>
      <c r="N98" s="124">
        <f>M98</f>
        <v>233907</v>
      </c>
      <c r="O98" s="124">
        <f t="shared" ref="O98:P98" si="56">N98</f>
        <v>233907</v>
      </c>
      <c r="P98" s="136">
        <f t="shared" si="56"/>
        <v>233907</v>
      </c>
      <c r="Q98" s="124">
        <f>P98</f>
        <v>233907</v>
      </c>
    </row>
    <row r="99" spans="1:25" ht="22.5" hidden="1">
      <c r="A99" s="126">
        <v>97</v>
      </c>
      <c r="B99" s="127" t="s">
        <v>500</v>
      </c>
      <c r="C99" s="130" t="s">
        <v>507</v>
      </c>
      <c r="D99" s="131" t="s">
        <v>508</v>
      </c>
      <c r="E99" s="132">
        <v>452.53800000000001</v>
      </c>
      <c r="F99" s="133">
        <v>42644</v>
      </c>
      <c r="G99" s="133">
        <v>43373</v>
      </c>
      <c r="H99" s="138">
        <v>2018</v>
      </c>
      <c r="I99" s="133"/>
      <c r="J99" s="133">
        <v>43373</v>
      </c>
      <c r="K99" s="126">
        <v>4.67</v>
      </c>
      <c r="L99" s="124">
        <f>ROUND(K99*365*E99*取费表!$B$2,0)</f>
        <v>138847</v>
      </c>
      <c r="M99" s="136">
        <f t="shared" si="54"/>
        <v>192843</v>
      </c>
    </row>
    <row r="100" spans="1:25" ht="22.5" hidden="1">
      <c r="A100" s="126">
        <v>98</v>
      </c>
      <c r="B100" s="127" t="s">
        <v>500</v>
      </c>
      <c r="C100" s="130" t="s">
        <v>509</v>
      </c>
      <c r="D100" s="131" t="s">
        <v>508</v>
      </c>
      <c r="E100" s="132">
        <v>301.69200000000001</v>
      </c>
      <c r="F100" s="133">
        <v>42676</v>
      </c>
      <c r="G100" s="133">
        <v>43373</v>
      </c>
      <c r="H100" s="138">
        <v>2018</v>
      </c>
      <c r="I100" s="133"/>
      <c r="J100" s="133">
        <v>43373</v>
      </c>
      <c r="K100" s="126">
        <v>4.67</v>
      </c>
      <c r="L100" s="124">
        <f>ROUND(K100*365*E100*取费表!$B$2,0)</f>
        <v>92565</v>
      </c>
      <c r="M100" s="136">
        <f>ROUND(K100*365*E100/4,0)</f>
        <v>128562</v>
      </c>
    </row>
    <row r="101" spans="1:25" hidden="1">
      <c r="A101" s="126">
        <v>99</v>
      </c>
      <c r="B101" s="127" t="s">
        <v>510</v>
      </c>
      <c r="C101" s="130" t="s">
        <v>511</v>
      </c>
      <c r="D101" s="131" t="s">
        <v>512</v>
      </c>
      <c r="E101" s="132">
        <v>2742.6448999999998</v>
      </c>
      <c r="F101" s="133">
        <v>42644</v>
      </c>
      <c r="G101" s="133">
        <v>44469</v>
      </c>
      <c r="H101" s="138">
        <v>2021</v>
      </c>
      <c r="I101" s="133" t="s">
        <v>541</v>
      </c>
      <c r="J101" s="133">
        <v>44469</v>
      </c>
      <c r="K101" s="126">
        <v>4.2699999999999996</v>
      </c>
      <c r="L101" s="124">
        <f>ROUND(128*E101*12*取费表!B2,0)</f>
        <v>758286</v>
      </c>
      <c r="M101" s="124">
        <f>ROUND(128*3*E101,0)</f>
        <v>1053176</v>
      </c>
      <c r="N101" s="124">
        <f>O101</f>
        <v>1094315</v>
      </c>
      <c r="O101" s="124">
        <f>ROUND(133*3*E101,0)</f>
        <v>1094315</v>
      </c>
      <c r="P101" s="124">
        <f t="shared" ref="P101:U101" si="57">O101</f>
        <v>1094315</v>
      </c>
      <c r="Q101" s="124">
        <f t="shared" si="57"/>
        <v>1094315</v>
      </c>
      <c r="R101" s="124">
        <f t="shared" si="57"/>
        <v>1094315</v>
      </c>
      <c r="S101" s="124">
        <f t="shared" si="57"/>
        <v>1094315</v>
      </c>
      <c r="T101" s="124">
        <f t="shared" si="57"/>
        <v>1094315</v>
      </c>
      <c r="U101" s="124">
        <f t="shared" si="57"/>
        <v>1094315</v>
      </c>
      <c r="V101" s="124">
        <f>ROUND(140*3*E101,0)</f>
        <v>1151911</v>
      </c>
      <c r="W101" s="124">
        <f>V101</f>
        <v>1151911</v>
      </c>
      <c r="X101" s="124">
        <f>W101</f>
        <v>1151911</v>
      </c>
      <c r="Y101" s="136">
        <f>X101</f>
        <v>1151911</v>
      </c>
    </row>
    <row r="102" spans="1:25" hidden="1">
      <c r="A102" s="126">
        <v>100</v>
      </c>
      <c r="B102" s="127" t="s">
        <v>513</v>
      </c>
      <c r="C102" s="130" t="s">
        <v>514</v>
      </c>
      <c r="D102" s="131" t="s">
        <v>515</v>
      </c>
      <c r="E102" s="132">
        <v>557.79999999999995</v>
      </c>
      <c r="F102" s="133">
        <v>42736</v>
      </c>
      <c r="G102" s="133">
        <v>44392</v>
      </c>
      <c r="H102" s="138">
        <v>2021</v>
      </c>
      <c r="I102" s="133"/>
      <c r="J102" s="133">
        <v>44392</v>
      </c>
      <c r="K102" s="126">
        <v>4.67</v>
      </c>
      <c r="L102" s="124">
        <f>ROUND(K102*365*E102*取费表!$B$2,0)</f>
        <v>171144</v>
      </c>
      <c r="M102" s="124">
        <f t="shared" si="54"/>
        <v>237699</v>
      </c>
      <c r="N102" s="124">
        <f>M102</f>
        <v>237699</v>
      </c>
      <c r="O102" s="124">
        <f t="shared" ref="O102:Y102" si="58">N102</f>
        <v>237699</v>
      </c>
      <c r="P102" s="124">
        <f t="shared" si="58"/>
        <v>237699</v>
      </c>
      <c r="Q102" s="124">
        <f t="shared" si="58"/>
        <v>237699</v>
      </c>
      <c r="R102" s="124">
        <f t="shared" si="58"/>
        <v>237699</v>
      </c>
      <c r="S102" s="124">
        <f t="shared" si="58"/>
        <v>237699</v>
      </c>
      <c r="T102" s="124">
        <f t="shared" si="58"/>
        <v>237699</v>
      </c>
      <c r="U102" s="124">
        <f t="shared" si="58"/>
        <v>237699</v>
      </c>
      <c r="V102" s="124">
        <f t="shared" si="58"/>
        <v>237699</v>
      </c>
      <c r="W102" s="124">
        <f t="shared" si="58"/>
        <v>237699</v>
      </c>
      <c r="X102" s="124">
        <f t="shared" si="58"/>
        <v>237699</v>
      </c>
      <c r="Y102" s="136">
        <f t="shared" si="58"/>
        <v>237699</v>
      </c>
    </row>
    <row r="103" spans="1:25" hidden="1">
      <c r="A103" s="126">
        <v>101</v>
      </c>
      <c r="B103" s="127" t="s">
        <v>513</v>
      </c>
      <c r="C103" s="130" t="s">
        <v>516</v>
      </c>
      <c r="D103" s="131" t="s">
        <v>517</v>
      </c>
      <c r="E103" s="132">
        <v>500</v>
      </c>
      <c r="F103" s="133">
        <v>42736</v>
      </c>
      <c r="G103" s="133">
        <v>44392</v>
      </c>
      <c r="H103" s="138">
        <v>2021</v>
      </c>
      <c r="I103" s="133"/>
      <c r="J103" s="133">
        <v>44392</v>
      </c>
      <c r="K103" s="126">
        <v>4.67</v>
      </c>
      <c r="L103" s="124">
        <f>ROUND(K103*365*E103*取费表!$B$2,0)</f>
        <v>153410</v>
      </c>
      <c r="M103" s="124">
        <f t="shared" si="54"/>
        <v>213069</v>
      </c>
      <c r="N103" s="124">
        <f t="shared" ref="N103:Y108" si="59">M103</f>
        <v>213069</v>
      </c>
      <c r="O103" s="124">
        <f t="shared" si="59"/>
        <v>213069</v>
      </c>
      <c r="P103" s="124">
        <f t="shared" si="59"/>
        <v>213069</v>
      </c>
      <c r="Q103" s="124">
        <f t="shared" si="59"/>
        <v>213069</v>
      </c>
      <c r="R103" s="124">
        <f t="shared" si="59"/>
        <v>213069</v>
      </c>
      <c r="S103" s="124">
        <f t="shared" si="59"/>
        <v>213069</v>
      </c>
      <c r="T103" s="124">
        <f t="shared" si="59"/>
        <v>213069</v>
      </c>
      <c r="U103" s="124">
        <f t="shared" si="59"/>
        <v>213069</v>
      </c>
      <c r="V103" s="124">
        <f t="shared" si="59"/>
        <v>213069</v>
      </c>
      <c r="W103" s="124">
        <f t="shared" si="59"/>
        <v>213069</v>
      </c>
      <c r="X103" s="124">
        <f t="shared" si="59"/>
        <v>213069</v>
      </c>
      <c r="Y103" s="136">
        <f t="shared" si="59"/>
        <v>213069</v>
      </c>
    </row>
    <row r="104" spans="1:25" ht="22.5" hidden="1">
      <c r="A104" s="126">
        <v>102</v>
      </c>
      <c r="B104" s="127" t="s">
        <v>513</v>
      </c>
      <c r="C104" s="130" t="s">
        <v>518</v>
      </c>
      <c r="D104" s="131" t="s">
        <v>519</v>
      </c>
      <c r="E104" s="132">
        <v>500</v>
      </c>
      <c r="F104" s="133">
        <v>42736</v>
      </c>
      <c r="G104" s="133">
        <v>44392</v>
      </c>
      <c r="H104" s="138">
        <v>2021</v>
      </c>
      <c r="I104" s="133"/>
      <c r="J104" s="133">
        <v>44392</v>
      </c>
      <c r="K104" s="126">
        <v>4.67</v>
      </c>
      <c r="L104" s="124">
        <f>ROUND(K104*365*E104*取费表!$B$2,0)</f>
        <v>153410</v>
      </c>
      <c r="M104" s="124">
        <f t="shared" si="54"/>
        <v>213069</v>
      </c>
      <c r="N104" s="124">
        <f t="shared" si="59"/>
        <v>213069</v>
      </c>
      <c r="O104" s="124">
        <f t="shared" si="59"/>
        <v>213069</v>
      </c>
      <c r="P104" s="124">
        <f t="shared" si="59"/>
        <v>213069</v>
      </c>
      <c r="Q104" s="124">
        <f t="shared" si="59"/>
        <v>213069</v>
      </c>
      <c r="R104" s="124">
        <f t="shared" si="59"/>
        <v>213069</v>
      </c>
      <c r="S104" s="124">
        <f t="shared" si="59"/>
        <v>213069</v>
      </c>
      <c r="T104" s="124">
        <f t="shared" si="59"/>
        <v>213069</v>
      </c>
      <c r="U104" s="124">
        <f t="shared" si="59"/>
        <v>213069</v>
      </c>
      <c r="V104" s="124">
        <f t="shared" si="59"/>
        <v>213069</v>
      </c>
      <c r="W104" s="124">
        <f t="shared" si="59"/>
        <v>213069</v>
      </c>
      <c r="X104" s="124">
        <f t="shared" si="59"/>
        <v>213069</v>
      </c>
      <c r="Y104" s="136">
        <f t="shared" si="59"/>
        <v>213069</v>
      </c>
    </row>
    <row r="105" spans="1:25" hidden="1">
      <c r="A105" s="126">
        <v>103</v>
      </c>
      <c r="B105" s="127" t="s">
        <v>513</v>
      </c>
      <c r="C105" s="130" t="s">
        <v>520</v>
      </c>
      <c r="D105" s="131" t="s">
        <v>521</v>
      </c>
      <c r="E105" s="132">
        <v>1184.8399999999999</v>
      </c>
      <c r="F105" s="133">
        <v>42614</v>
      </c>
      <c r="G105" s="133">
        <v>43708</v>
      </c>
      <c r="H105" s="138">
        <v>2019</v>
      </c>
      <c r="I105" s="133"/>
      <c r="J105" s="133">
        <v>43708</v>
      </c>
      <c r="K105" s="126">
        <v>4.67</v>
      </c>
      <c r="L105" s="124">
        <f>ROUND(K105*365*E105*取费表!$B$2,0)</f>
        <v>363531</v>
      </c>
      <c r="M105" s="173">
        <f t="shared" si="54"/>
        <v>504905</v>
      </c>
      <c r="N105" s="124">
        <f>M105</f>
        <v>504905</v>
      </c>
      <c r="O105" s="124">
        <f>N105</f>
        <v>504905</v>
      </c>
      <c r="P105" s="124">
        <f>O105</f>
        <v>504905</v>
      </c>
      <c r="Q105" s="136">
        <f>P105</f>
        <v>504905</v>
      </c>
    </row>
    <row r="106" spans="1:25" ht="22.5" hidden="1">
      <c r="A106" s="126">
        <v>104</v>
      </c>
      <c r="B106" s="127" t="s">
        <v>522</v>
      </c>
      <c r="C106" s="130" t="s">
        <v>523</v>
      </c>
      <c r="D106" s="131" t="s">
        <v>424</v>
      </c>
      <c r="E106" s="132">
        <v>1243.6010000000001</v>
      </c>
      <c r="F106" s="133">
        <v>43070</v>
      </c>
      <c r="G106" s="133">
        <v>43799</v>
      </c>
      <c r="H106" s="138">
        <v>2020</v>
      </c>
      <c r="I106" s="133"/>
      <c r="J106" s="133">
        <v>43799</v>
      </c>
      <c r="K106" s="126">
        <v>5</v>
      </c>
      <c r="L106" s="124">
        <f>ROUND(K106*365*E106*取费表!$B$2,0)</f>
        <v>408523</v>
      </c>
      <c r="M106" s="124">
        <f t="shared" si="54"/>
        <v>567393</v>
      </c>
      <c r="N106" s="124">
        <f t="shared" si="59"/>
        <v>567393</v>
      </c>
      <c r="O106" s="124">
        <f>N106</f>
        <v>567393</v>
      </c>
      <c r="P106" s="124">
        <f t="shared" ref="P106:R106" si="60">O106</f>
        <v>567393</v>
      </c>
      <c r="Q106" s="124">
        <f t="shared" si="60"/>
        <v>567393</v>
      </c>
      <c r="R106" s="136">
        <f t="shared" si="60"/>
        <v>567393</v>
      </c>
      <c r="S106" s="124">
        <f>R106</f>
        <v>567393</v>
      </c>
      <c r="T106" s="124">
        <f>S106</f>
        <v>567393</v>
      </c>
      <c r="U106" s="124">
        <f>T106</f>
        <v>567393</v>
      </c>
    </row>
    <row r="107" spans="1:25" ht="22.5" hidden="1">
      <c r="A107" s="126">
        <v>105</v>
      </c>
      <c r="B107" s="127" t="s">
        <v>522</v>
      </c>
      <c r="C107" s="130" t="s">
        <v>524</v>
      </c>
      <c r="D107" s="131" t="s">
        <v>525</v>
      </c>
      <c r="E107" s="132">
        <v>385.67189999999999</v>
      </c>
      <c r="F107" s="133">
        <v>42241</v>
      </c>
      <c r="G107" s="133">
        <v>43336</v>
      </c>
      <c r="H107" s="138">
        <v>2018</v>
      </c>
      <c r="I107" s="133"/>
      <c r="J107" s="133">
        <v>43336</v>
      </c>
      <c r="K107" s="126">
        <v>5</v>
      </c>
      <c r="L107" s="124">
        <f>ROUND(K107*365*E107*取费表!$B$2,0)</f>
        <v>126693</v>
      </c>
      <c r="M107" s="136">
        <f t="shared" si="54"/>
        <v>175963</v>
      </c>
    </row>
    <row r="108" spans="1:25" ht="22.5" hidden="1">
      <c r="A108" s="126">
        <v>106</v>
      </c>
      <c r="B108" s="127" t="s">
        <v>522</v>
      </c>
      <c r="C108" s="130" t="s">
        <v>526</v>
      </c>
      <c r="D108" s="131" t="s">
        <v>527</v>
      </c>
      <c r="E108" s="132">
        <v>547.47</v>
      </c>
      <c r="F108" s="133">
        <v>41989</v>
      </c>
      <c r="G108" s="133">
        <v>44180</v>
      </c>
      <c r="H108" s="138">
        <v>2021</v>
      </c>
      <c r="I108" s="133"/>
      <c r="J108" s="133">
        <v>43084</v>
      </c>
      <c r="K108" s="126">
        <v>5</v>
      </c>
      <c r="L108" s="124">
        <f>ROUND(K108*365*E108*取费表!$B$2,0)</f>
        <v>179844</v>
      </c>
      <c r="M108" s="124">
        <f t="shared" si="54"/>
        <v>249783</v>
      </c>
      <c r="N108" s="124">
        <f t="shared" si="59"/>
        <v>249783</v>
      </c>
      <c r="O108" s="124">
        <f>N108</f>
        <v>249783</v>
      </c>
      <c r="P108" s="124">
        <f t="shared" ref="P108:V108" si="61">O108</f>
        <v>249783</v>
      </c>
      <c r="Q108" s="124">
        <f t="shared" si="61"/>
        <v>249783</v>
      </c>
      <c r="R108" s="124">
        <f t="shared" si="61"/>
        <v>249783</v>
      </c>
      <c r="S108" s="124">
        <f t="shared" si="61"/>
        <v>249783</v>
      </c>
      <c r="T108" s="124">
        <f t="shared" si="61"/>
        <v>249783</v>
      </c>
      <c r="U108" s="124">
        <f t="shared" si="61"/>
        <v>249783</v>
      </c>
      <c r="V108" s="136">
        <f t="shared" si="61"/>
        <v>249783</v>
      </c>
      <c r="W108" s="124">
        <f>V108</f>
        <v>249783</v>
      </c>
      <c r="X108" s="124">
        <f>W108</f>
        <v>249783</v>
      </c>
      <c r="Y108" s="124">
        <f>X108</f>
        <v>249783</v>
      </c>
    </row>
    <row r="109" spans="1:25" hidden="1">
      <c r="A109" s="126">
        <v>107</v>
      </c>
      <c r="B109" s="127" t="s">
        <v>522</v>
      </c>
      <c r="C109" s="130" t="s">
        <v>528</v>
      </c>
      <c r="D109" s="131" t="s">
        <v>529</v>
      </c>
      <c r="E109" s="132">
        <v>356.02120000000002</v>
      </c>
      <c r="F109" s="133">
        <v>42705</v>
      </c>
      <c r="G109" s="133">
        <v>43434</v>
      </c>
      <c r="H109" s="138">
        <v>2019</v>
      </c>
      <c r="I109" s="133"/>
      <c r="J109" s="133">
        <v>43434</v>
      </c>
      <c r="K109" s="126">
        <v>4.83</v>
      </c>
      <c r="L109" s="124">
        <f>ROUND(K109*365*E109*取费表!$B$2,0)</f>
        <v>112977</v>
      </c>
      <c r="M109" s="124">
        <f>ROUND(K109*365*E109/4,0)</f>
        <v>156912</v>
      </c>
      <c r="N109" s="136">
        <f>M109</f>
        <v>156912</v>
      </c>
      <c r="O109" s="124">
        <f>N109</f>
        <v>156912</v>
      </c>
      <c r="P109" s="124">
        <f t="shared" ref="P109:Q109" si="62">O109</f>
        <v>156912</v>
      </c>
      <c r="Q109" s="124">
        <f t="shared" si="62"/>
        <v>156912</v>
      </c>
    </row>
    <row r="110" spans="1:25" hidden="1">
      <c r="A110" s="126">
        <v>108</v>
      </c>
      <c r="B110" s="127" t="s">
        <v>522</v>
      </c>
      <c r="C110" s="130" t="s">
        <v>530</v>
      </c>
      <c r="D110" s="131" t="s">
        <v>529</v>
      </c>
      <c r="E110" s="132">
        <v>210.1695</v>
      </c>
      <c r="F110" s="133">
        <v>42705</v>
      </c>
      <c r="G110" s="133">
        <v>43434</v>
      </c>
      <c r="H110" s="138">
        <v>2019</v>
      </c>
      <c r="I110" s="133"/>
      <c r="J110" s="133">
        <v>43434</v>
      </c>
      <c r="K110" s="126">
        <v>4.83</v>
      </c>
      <c r="L110" s="124">
        <f>ROUND(K110*365*E110*取费表!$B$2,0)</f>
        <v>66693</v>
      </c>
      <c r="M110" s="124">
        <f t="shared" si="54"/>
        <v>92630</v>
      </c>
      <c r="N110" s="136">
        <f>M110</f>
        <v>92630</v>
      </c>
      <c r="O110" s="124">
        <f>N110</f>
        <v>92630</v>
      </c>
      <c r="P110" s="124">
        <f t="shared" ref="P110:Q110" si="63">O110</f>
        <v>92630</v>
      </c>
      <c r="Q110" s="124">
        <f t="shared" si="63"/>
        <v>92630</v>
      </c>
    </row>
    <row r="111" spans="1:25" hidden="1">
      <c r="A111" s="126">
        <v>109</v>
      </c>
      <c r="B111" s="127" t="s">
        <v>531</v>
      </c>
      <c r="C111" s="130" t="s">
        <v>532</v>
      </c>
      <c r="D111" s="131" t="s">
        <v>533</v>
      </c>
      <c r="E111" s="132">
        <v>2708.0783999999999</v>
      </c>
      <c r="F111" s="133">
        <v>42170</v>
      </c>
      <c r="G111" s="133">
        <v>43569</v>
      </c>
      <c r="H111" s="138">
        <v>2019</v>
      </c>
      <c r="I111" s="133"/>
      <c r="J111" s="133">
        <v>43569</v>
      </c>
      <c r="K111" s="126">
        <v>4.67</v>
      </c>
      <c r="L111" s="124">
        <f>ROUND(K111*365*E111*取费表!$B$2,0)</f>
        <v>830890</v>
      </c>
      <c r="M111" s="124">
        <f t="shared" si="54"/>
        <v>1154014</v>
      </c>
      <c r="N111" s="124">
        <f>M111</f>
        <v>1154014</v>
      </c>
      <c r="O111" s="124">
        <f>N111</f>
        <v>1154014</v>
      </c>
      <c r="P111" s="124">
        <f t="shared" ref="P111:R111" si="64">O111</f>
        <v>1154014</v>
      </c>
      <c r="Q111" s="124">
        <f t="shared" si="64"/>
        <v>1154014</v>
      </c>
      <c r="R111" s="136">
        <f t="shared" si="64"/>
        <v>1154014</v>
      </c>
      <c r="S111" s="124">
        <f>R111</f>
        <v>1154014</v>
      </c>
      <c r="T111" s="124">
        <f>S111</f>
        <v>1154014</v>
      </c>
      <c r="U111" s="124">
        <f>T111</f>
        <v>1154014</v>
      </c>
    </row>
    <row r="112" spans="1:25" hidden="1">
      <c r="B112" s="122" t="s">
        <v>287</v>
      </c>
      <c r="E112" s="125">
        <f>基础数据!C12-40107.4</f>
        <v>3834.3899999999994</v>
      </c>
      <c r="K112" s="124">
        <v>4.5</v>
      </c>
      <c r="L112" s="124">
        <f>ROUND(K112*365*E112*取费表!$B$2*取费表!B19,0)</f>
        <v>1042946</v>
      </c>
      <c r="M112" s="136">
        <f>ROUND(K112*365*E112*取费表!B19/4,0)</f>
        <v>1448537</v>
      </c>
    </row>
    <row r="113" spans="1:135" hidden="1">
      <c r="A113" s="239" t="s">
        <v>12</v>
      </c>
      <c r="B113" s="239"/>
      <c r="C113" s="239"/>
      <c r="D113" s="239"/>
      <c r="E113" s="125">
        <f>SUM(E3:E112)</f>
        <v>43941.792399999998</v>
      </c>
    </row>
    <row r="115" spans="1:135" s="28" customFormat="1" ht="20.25">
      <c r="A115" s="76" t="s">
        <v>605</v>
      </c>
      <c r="B115" s="30"/>
      <c r="C115" s="31"/>
      <c r="D115" s="29"/>
      <c r="E115" s="32"/>
      <c r="F115" s="29"/>
      <c r="G115" s="29"/>
      <c r="H115" s="30"/>
      <c r="I115" s="29"/>
      <c r="J115" s="29"/>
      <c r="K115" s="29"/>
      <c r="L115" s="224" t="s">
        <v>145</v>
      </c>
      <c r="M115" s="224"/>
      <c r="N115" s="224"/>
      <c r="O115" s="224" t="s">
        <v>221</v>
      </c>
      <c r="P115" s="224"/>
      <c r="Q115" s="224"/>
      <c r="R115" s="224"/>
      <c r="S115" s="224" t="s">
        <v>146</v>
      </c>
      <c r="T115" s="224"/>
      <c r="U115" s="224"/>
      <c r="V115" s="224"/>
      <c r="W115" s="224" t="s">
        <v>147</v>
      </c>
      <c r="X115" s="224"/>
      <c r="Y115" s="224"/>
      <c r="Z115" s="224"/>
      <c r="AA115" s="224" t="s">
        <v>148</v>
      </c>
      <c r="AB115" s="224"/>
      <c r="AC115" s="224"/>
      <c r="AD115" s="224"/>
      <c r="AE115" s="224" t="s">
        <v>149</v>
      </c>
      <c r="AF115" s="224"/>
      <c r="AG115" s="224"/>
      <c r="AH115" s="224"/>
      <c r="AI115" s="224" t="s">
        <v>150</v>
      </c>
      <c r="AJ115" s="224"/>
      <c r="AK115" s="224"/>
      <c r="AL115" s="224"/>
      <c r="AM115" s="224" t="s">
        <v>151</v>
      </c>
      <c r="AN115" s="224"/>
      <c r="AO115" s="224"/>
      <c r="AP115" s="224"/>
      <c r="AQ115" s="224" t="s">
        <v>152</v>
      </c>
      <c r="AR115" s="224"/>
      <c r="AS115" s="224"/>
      <c r="AT115" s="224"/>
      <c r="AU115" s="224" t="s">
        <v>153</v>
      </c>
      <c r="AV115" s="224"/>
      <c r="AW115" s="224"/>
      <c r="AX115" s="224"/>
      <c r="AY115" s="231" t="s">
        <v>154</v>
      </c>
      <c r="AZ115" s="231"/>
      <c r="BA115" s="231"/>
      <c r="BB115" s="231"/>
      <c r="BC115" s="224" t="s">
        <v>155</v>
      </c>
      <c r="BD115" s="224"/>
      <c r="BE115" s="224"/>
      <c r="BF115" s="224"/>
      <c r="BG115" s="224" t="s">
        <v>156</v>
      </c>
      <c r="BH115" s="224"/>
      <c r="BI115" s="224"/>
      <c r="BJ115" s="224"/>
      <c r="BK115" s="224" t="s">
        <v>157</v>
      </c>
      <c r="BL115" s="224"/>
      <c r="BM115" s="224"/>
      <c r="BN115" s="224"/>
      <c r="BO115" s="224" t="s">
        <v>158</v>
      </c>
      <c r="BP115" s="224"/>
      <c r="BQ115" s="224"/>
      <c r="BR115" s="224"/>
      <c r="BS115" s="224" t="s">
        <v>159</v>
      </c>
      <c r="BT115" s="224"/>
      <c r="BU115" s="224"/>
      <c r="BV115" s="224"/>
      <c r="BW115" s="224" t="s">
        <v>222</v>
      </c>
      <c r="BX115" s="224"/>
      <c r="BY115" s="224"/>
      <c r="BZ115" s="224"/>
      <c r="CA115" s="224" t="s">
        <v>223</v>
      </c>
      <c r="CB115" s="224"/>
      <c r="CC115" s="224"/>
      <c r="CD115" s="224"/>
      <c r="CE115" s="224" t="s">
        <v>160</v>
      </c>
      <c r="CF115" s="224"/>
      <c r="CG115" s="224"/>
      <c r="CH115" s="224"/>
      <c r="CI115" s="224" t="s">
        <v>161</v>
      </c>
      <c r="CJ115" s="224"/>
      <c r="CK115" s="224"/>
      <c r="CL115" s="224"/>
      <c r="CM115" s="224" t="s">
        <v>162</v>
      </c>
      <c r="CN115" s="224"/>
      <c r="CO115" s="224"/>
      <c r="CP115" s="224"/>
      <c r="CQ115" s="224" t="s">
        <v>594</v>
      </c>
      <c r="CR115" s="224"/>
      <c r="CS115" s="224"/>
      <c r="CT115" s="224"/>
      <c r="CU115" s="224" t="s">
        <v>595</v>
      </c>
      <c r="CV115" s="224"/>
      <c r="CW115" s="224"/>
      <c r="CX115" s="224"/>
      <c r="CY115" s="224" t="s">
        <v>596</v>
      </c>
      <c r="CZ115" s="224"/>
      <c r="DA115" s="224"/>
      <c r="DB115" s="224"/>
      <c r="DC115" s="224" t="s">
        <v>597</v>
      </c>
      <c r="DD115" s="224"/>
      <c r="DE115" s="224"/>
      <c r="DF115" s="224"/>
      <c r="DG115" s="224" t="s">
        <v>598</v>
      </c>
      <c r="DH115" s="224"/>
      <c r="DI115" s="224"/>
      <c r="DJ115" s="224"/>
      <c r="DK115" s="224" t="s">
        <v>599</v>
      </c>
      <c r="DL115" s="224"/>
      <c r="DM115" s="224"/>
      <c r="DN115" s="224"/>
      <c r="DO115" s="224" t="s">
        <v>600</v>
      </c>
      <c r="DP115" s="224"/>
      <c r="DQ115" s="224"/>
      <c r="DR115" s="224"/>
      <c r="DS115" s="224" t="s">
        <v>601</v>
      </c>
      <c r="DT115" s="224"/>
      <c r="DU115" s="224"/>
      <c r="DV115" s="224"/>
      <c r="DW115" s="224" t="s">
        <v>602</v>
      </c>
      <c r="DX115" s="224"/>
      <c r="DY115" s="224"/>
      <c r="DZ115" s="224"/>
      <c r="EA115" s="224" t="s">
        <v>603</v>
      </c>
      <c r="EB115" s="224"/>
      <c r="EC115" s="224"/>
      <c r="ED115" s="224"/>
    </row>
    <row r="116" spans="1:135" s="40" customFormat="1" ht="36">
      <c r="A116" s="140" t="s">
        <v>272</v>
      </c>
      <c r="B116" s="141" t="s">
        <v>136</v>
      </c>
      <c r="C116" s="142" t="s">
        <v>137</v>
      </c>
      <c r="D116" s="34" t="s">
        <v>138</v>
      </c>
      <c r="E116" s="34" t="s">
        <v>139</v>
      </c>
      <c r="F116" s="34" t="s">
        <v>313</v>
      </c>
      <c r="G116" s="34" t="s">
        <v>314</v>
      </c>
      <c r="H116" s="35" t="s">
        <v>315</v>
      </c>
      <c r="I116" s="34" t="s">
        <v>142</v>
      </c>
      <c r="J116" s="34" t="s">
        <v>143</v>
      </c>
      <c r="K116" s="34" t="s">
        <v>144</v>
      </c>
      <c r="L116" s="39" t="s">
        <v>224</v>
      </c>
      <c r="M116" s="68" t="s">
        <v>163</v>
      </c>
      <c r="N116" s="39" t="s">
        <v>225</v>
      </c>
      <c r="O116" s="39" t="s">
        <v>164</v>
      </c>
      <c r="P116" s="39" t="s">
        <v>226</v>
      </c>
      <c r="Q116" s="68" t="s">
        <v>227</v>
      </c>
      <c r="R116" s="39" t="s">
        <v>165</v>
      </c>
      <c r="S116" s="39" t="s">
        <v>228</v>
      </c>
      <c r="T116" s="39" t="s">
        <v>166</v>
      </c>
      <c r="U116" s="68" t="s">
        <v>167</v>
      </c>
      <c r="V116" s="39" t="s">
        <v>229</v>
      </c>
      <c r="W116" s="39" t="s">
        <v>230</v>
      </c>
      <c r="X116" s="39" t="s">
        <v>231</v>
      </c>
      <c r="Y116" s="68" t="s">
        <v>168</v>
      </c>
      <c r="Z116" s="39" t="s">
        <v>169</v>
      </c>
      <c r="AA116" s="39" t="s">
        <v>232</v>
      </c>
      <c r="AB116" s="39" t="s">
        <v>170</v>
      </c>
      <c r="AC116" s="68" t="s">
        <v>233</v>
      </c>
      <c r="AD116" s="39" t="s">
        <v>234</v>
      </c>
      <c r="AE116" s="39" t="s">
        <v>171</v>
      </c>
      <c r="AF116" s="39" t="s">
        <v>172</v>
      </c>
      <c r="AG116" s="68" t="s">
        <v>173</v>
      </c>
      <c r="AH116" s="39" t="s">
        <v>174</v>
      </c>
      <c r="AI116" s="39" t="s">
        <v>175</v>
      </c>
      <c r="AJ116" s="39" t="s">
        <v>235</v>
      </c>
      <c r="AK116" s="68" t="s">
        <v>176</v>
      </c>
      <c r="AL116" s="39" t="s">
        <v>177</v>
      </c>
      <c r="AM116" s="39" t="s">
        <v>178</v>
      </c>
      <c r="AN116" s="39" t="s">
        <v>179</v>
      </c>
      <c r="AO116" s="68" t="s">
        <v>180</v>
      </c>
      <c r="AP116" s="39" t="s">
        <v>181</v>
      </c>
      <c r="AQ116" s="39" t="s">
        <v>182</v>
      </c>
      <c r="AR116" s="39" t="s">
        <v>236</v>
      </c>
      <c r="AS116" s="68" t="s">
        <v>183</v>
      </c>
      <c r="AT116" s="39" t="s">
        <v>237</v>
      </c>
      <c r="AU116" s="39" t="s">
        <v>184</v>
      </c>
      <c r="AV116" s="39" t="s">
        <v>238</v>
      </c>
      <c r="AW116" s="68" t="s">
        <v>239</v>
      </c>
      <c r="AX116" s="39" t="s">
        <v>185</v>
      </c>
      <c r="AY116" s="39" t="s">
        <v>186</v>
      </c>
      <c r="AZ116" s="39" t="s">
        <v>240</v>
      </c>
      <c r="BA116" s="68" t="s">
        <v>187</v>
      </c>
      <c r="BB116" s="78" t="s">
        <v>188</v>
      </c>
      <c r="BC116" s="39" t="s">
        <v>241</v>
      </c>
      <c r="BD116" s="39" t="s">
        <v>189</v>
      </c>
      <c r="BE116" s="39" t="s">
        <v>190</v>
      </c>
      <c r="BF116" s="39" t="s">
        <v>242</v>
      </c>
      <c r="BG116" s="39" t="s">
        <v>243</v>
      </c>
      <c r="BH116" s="39" t="s">
        <v>191</v>
      </c>
      <c r="BI116" s="39" t="s">
        <v>192</v>
      </c>
      <c r="BJ116" s="39" t="s">
        <v>193</v>
      </c>
      <c r="BK116" s="39" t="s">
        <v>244</v>
      </c>
      <c r="BL116" s="39" t="s">
        <v>194</v>
      </c>
      <c r="BM116" s="39" t="s">
        <v>195</v>
      </c>
      <c r="BN116" s="39" t="s">
        <v>196</v>
      </c>
      <c r="BO116" s="39" t="s">
        <v>245</v>
      </c>
      <c r="BP116" s="39" t="s">
        <v>197</v>
      </c>
      <c r="BQ116" s="39" t="s">
        <v>198</v>
      </c>
      <c r="BR116" s="39" t="s">
        <v>199</v>
      </c>
      <c r="BS116" s="39" t="s">
        <v>200</v>
      </c>
      <c r="BT116" s="39" t="s">
        <v>201</v>
      </c>
      <c r="BU116" s="39" t="s">
        <v>202</v>
      </c>
      <c r="BV116" s="39" t="s">
        <v>246</v>
      </c>
      <c r="BW116" s="39" t="s">
        <v>203</v>
      </c>
      <c r="BX116" s="39" t="s">
        <v>204</v>
      </c>
      <c r="BY116" s="39" t="s">
        <v>247</v>
      </c>
      <c r="BZ116" s="39" t="s">
        <v>205</v>
      </c>
      <c r="CA116" s="39" t="s">
        <v>206</v>
      </c>
      <c r="CB116" s="39" t="s">
        <v>207</v>
      </c>
      <c r="CC116" s="39" t="s">
        <v>208</v>
      </c>
      <c r="CD116" s="39" t="s">
        <v>209</v>
      </c>
      <c r="CE116" s="39" t="s">
        <v>210</v>
      </c>
      <c r="CF116" s="39" t="s">
        <v>211</v>
      </c>
      <c r="CG116" s="39" t="s">
        <v>212</v>
      </c>
      <c r="CH116" s="39" t="s">
        <v>213</v>
      </c>
      <c r="CI116" s="39" t="s">
        <v>214</v>
      </c>
      <c r="CJ116" s="39" t="s">
        <v>215</v>
      </c>
      <c r="CK116" s="39" t="s">
        <v>216</v>
      </c>
      <c r="CL116" s="39" t="s">
        <v>217</v>
      </c>
      <c r="CM116" s="39" t="s">
        <v>248</v>
      </c>
      <c r="CN116" s="39" t="s">
        <v>218</v>
      </c>
      <c r="CO116" s="39" t="s">
        <v>219</v>
      </c>
      <c r="CP116" s="39" t="s">
        <v>220</v>
      </c>
      <c r="CQ116" s="40" t="str">
        <f>CQ2</f>
        <v>2039年1季度</v>
      </c>
      <c r="CR116" s="40" t="str">
        <f t="shared" ref="CR116:ED116" si="65">CR2</f>
        <v>2039年2季度</v>
      </c>
      <c r="CS116" s="40" t="str">
        <f t="shared" si="65"/>
        <v>2039年3季度</v>
      </c>
      <c r="CT116" s="40" t="str">
        <f t="shared" si="65"/>
        <v>2039年4季度</v>
      </c>
      <c r="CU116" s="40" t="str">
        <f t="shared" si="65"/>
        <v>2040年1季度</v>
      </c>
      <c r="CV116" s="40" t="str">
        <f t="shared" si="65"/>
        <v>2040年2季度</v>
      </c>
      <c r="CW116" s="40" t="str">
        <f t="shared" si="65"/>
        <v>2040年3季度</v>
      </c>
      <c r="CX116" s="40" t="str">
        <f t="shared" si="65"/>
        <v>2040年4季度</v>
      </c>
      <c r="CY116" s="40" t="str">
        <f t="shared" si="65"/>
        <v>2041年1季度</v>
      </c>
      <c r="CZ116" s="40" t="str">
        <f t="shared" si="65"/>
        <v>2041年2季度</v>
      </c>
      <c r="DA116" s="40" t="str">
        <f t="shared" si="65"/>
        <v>2041年3季度</v>
      </c>
      <c r="DB116" s="40" t="str">
        <f t="shared" si="65"/>
        <v>2041年4季度</v>
      </c>
      <c r="DC116" s="40" t="str">
        <f t="shared" si="65"/>
        <v>2042年1季度</v>
      </c>
      <c r="DD116" s="40" t="str">
        <f t="shared" si="65"/>
        <v>2042年2季度</v>
      </c>
      <c r="DE116" s="40" t="str">
        <f t="shared" si="65"/>
        <v>2042年3季度</v>
      </c>
      <c r="DF116" s="40" t="str">
        <f t="shared" si="65"/>
        <v>2042年4季度</v>
      </c>
      <c r="DG116" s="40" t="str">
        <f t="shared" si="65"/>
        <v>2043年1季度</v>
      </c>
      <c r="DH116" s="40" t="str">
        <f t="shared" si="65"/>
        <v>2043年2季度</v>
      </c>
      <c r="DI116" s="40" t="str">
        <f t="shared" si="65"/>
        <v>2043年3季度</v>
      </c>
      <c r="DJ116" s="40" t="str">
        <f t="shared" si="65"/>
        <v>2043年4季度</v>
      </c>
      <c r="DK116" s="40" t="str">
        <f t="shared" si="65"/>
        <v>2044年1季度</v>
      </c>
      <c r="DL116" s="40" t="str">
        <f t="shared" si="65"/>
        <v>2044年2季度</v>
      </c>
      <c r="DM116" s="40" t="str">
        <f t="shared" si="65"/>
        <v>2044年3季度</v>
      </c>
      <c r="DN116" s="40" t="str">
        <f t="shared" si="65"/>
        <v>2044年4季度</v>
      </c>
      <c r="DO116" s="40" t="str">
        <f t="shared" si="65"/>
        <v>2045年1季度</v>
      </c>
      <c r="DP116" s="40" t="str">
        <f t="shared" si="65"/>
        <v>2045年2季度</v>
      </c>
      <c r="DQ116" s="40" t="str">
        <f t="shared" si="65"/>
        <v>2045年3季度</v>
      </c>
      <c r="DR116" s="40" t="str">
        <f t="shared" si="65"/>
        <v>2045年4季度</v>
      </c>
      <c r="DS116" s="40" t="str">
        <f t="shared" si="65"/>
        <v>2046年1季度</v>
      </c>
      <c r="DT116" s="40" t="str">
        <f t="shared" si="65"/>
        <v>2046年2季度</v>
      </c>
      <c r="DU116" s="40" t="str">
        <f t="shared" si="65"/>
        <v>2046年3季度</v>
      </c>
      <c r="DV116" s="40" t="str">
        <f t="shared" si="65"/>
        <v>2046年4季度</v>
      </c>
      <c r="DW116" s="40" t="str">
        <f t="shared" si="65"/>
        <v>2047年1季度</v>
      </c>
      <c r="DX116" s="40" t="str">
        <f t="shared" si="65"/>
        <v>2047年2季度</v>
      </c>
      <c r="DY116" s="40" t="str">
        <f t="shared" si="65"/>
        <v>2047年3季度</v>
      </c>
      <c r="DZ116" s="40" t="str">
        <f t="shared" si="65"/>
        <v>2047年4季度</v>
      </c>
      <c r="EA116" s="40" t="str">
        <f t="shared" si="65"/>
        <v>2048年1季度</v>
      </c>
      <c r="EB116" s="40" t="str">
        <f t="shared" si="65"/>
        <v>2048年2季度</v>
      </c>
      <c r="EC116" s="40" t="str">
        <f t="shared" si="65"/>
        <v>2048年3季度</v>
      </c>
      <c r="ED116" s="40" t="str">
        <f t="shared" si="65"/>
        <v>2048年4季度</v>
      </c>
    </row>
    <row r="117" spans="1:135" ht="16.5" customHeight="1">
      <c r="A117" s="144">
        <v>1</v>
      </c>
      <c r="B117" s="143"/>
      <c r="C117" s="145" t="s">
        <v>288</v>
      </c>
      <c r="D117" s="126">
        <v>1</v>
      </c>
      <c r="E117" s="129">
        <f>E4+E5+E8+E22+E23+E24+E30+E35+E65+E46+E47+E49+E51+E52+E66+E67+E72+E73+E74+E75+E76+E80+E92+E93+E99+E100+E107</f>
        <v>7507.3482999999997</v>
      </c>
      <c r="F117" s="126"/>
      <c r="G117" s="126"/>
      <c r="H117" s="127"/>
      <c r="I117" s="126">
        <f>M117/3/E117/30</f>
        <v>4.8726348112377673</v>
      </c>
      <c r="J117" s="126"/>
      <c r="K117" s="126"/>
      <c r="L117" s="129">
        <f>L4+L5+L8+L22+L23+L24+L30+L35+L65+L46+L47+L49+L51+L52+L66+L67+L72+L73+L74+L75+L76+L80+L92+L93+L99+L100+L107</f>
        <v>2370421</v>
      </c>
      <c r="M117" s="150">
        <f>M4+M5+M8+M22+M23+M24+M30+M35+M65+M46+M47+M49+M51+M52+M66+M67+M72+M73+M74+M75+M76+M80+M92+M93+M99+M100+M107</f>
        <v>3292251</v>
      </c>
      <c r="N117" s="126">
        <f>M117*(1+取费表!$B$7)*取费表!$B$19</f>
        <v>3150025.7568000001</v>
      </c>
      <c r="O117" s="126">
        <f>N117</f>
        <v>3150025.7568000001</v>
      </c>
      <c r="P117" s="126">
        <f>O117</f>
        <v>3150025.7568000001</v>
      </c>
      <c r="Q117" s="126">
        <f>P117</f>
        <v>3150025.7568000001</v>
      </c>
      <c r="R117" s="126">
        <f>Q117*(1+取费表!$C$7)</f>
        <v>3276026.7870720001</v>
      </c>
      <c r="S117" s="126">
        <f t="shared" ref="S117:U118" si="66">R117</f>
        <v>3276026.7870720001</v>
      </c>
      <c r="T117" s="126">
        <f t="shared" si="66"/>
        <v>3276026.7870720001</v>
      </c>
      <c r="U117" s="126">
        <f t="shared" si="66"/>
        <v>3276026.7870720001</v>
      </c>
      <c r="V117" s="126">
        <f>U117*(1+取费表!$D$7)</f>
        <v>3407067.8585548801</v>
      </c>
      <c r="W117" s="126">
        <f t="shared" ref="W117:Y119" si="67">V117</f>
        <v>3407067.8585548801</v>
      </c>
      <c r="X117" s="126">
        <f t="shared" si="67"/>
        <v>3407067.8585548801</v>
      </c>
      <c r="Y117" s="126">
        <f t="shared" si="67"/>
        <v>3407067.8585548801</v>
      </c>
      <c r="Z117" s="126">
        <f>Y117*(1+取费表!$E$7)</f>
        <v>3526315.2336043008</v>
      </c>
      <c r="AA117" s="126">
        <f>Z117</f>
        <v>3526315.2336043008</v>
      </c>
      <c r="AB117" s="126">
        <f t="shared" ref="AB117:AC117" si="68">AA117</f>
        <v>3526315.2336043008</v>
      </c>
      <c r="AC117" s="126">
        <f t="shared" si="68"/>
        <v>3526315.2336043008</v>
      </c>
      <c r="AD117" s="126">
        <f>AC117*(1+取费表!$F$7)</f>
        <v>3649736.2667804509</v>
      </c>
      <c r="AE117" s="126">
        <f>AD117</f>
        <v>3649736.2667804509</v>
      </c>
      <c r="AF117" s="126">
        <f t="shared" ref="AF117:AG117" si="69">AE117</f>
        <v>3649736.2667804509</v>
      </c>
      <c r="AG117" s="126">
        <f t="shared" si="69"/>
        <v>3649736.2667804509</v>
      </c>
      <c r="AH117" s="126">
        <f>AG117*(1+取费表!$G$7)</f>
        <v>3740979.6734499619</v>
      </c>
      <c r="AI117" s="126">
        <f t="shared" ref="AI117:AI122" si="70">AH117</f>
        <v>3740979.6734499619</v>
      </c>
      <c r="AJ117" s="126">
        <f t="shared" ref="AJ117" si="71">AI117</f>
        <v>3740979.6734499619</v>
      </c>
      <c r="AK117" s="126">
        <f>AJ117</f>
        <v>3740979.6734499619</v>
      </c>
      <c r="AL117" s="126">
        <f>AK117*(1+取费表!$G$7)</f>
        <v>3834504.1652862108</v>
      </c>
      <c r="AM117" s="126">
        <f t="shared" ref="AM117:AS117" si="72">AL117</f>
        <v>3834504.1652862108</v>
      </c>
      <c r="AN117" s="126">
        <f t="shared" si="72"/>
        <v>3834504.1652862108</v>
      </c>
      <c r="AO117" s="126">
        <f t="shared" si="72"/>
        <v>3834504.1652862108</v>
      </c>
      <c r="AP117" s="126">
        <f>AO117*(1+取费表!$G$7)</f>
        <v>3930366.7694183658</v>
      </c>
      <c r="AQ117" s="126">
        <f t="shared" si="72"/>
        <v>3930366.7694183658</v>
      </c>
      <c r="AR117" s="126">
        <f t="shared" si="72"/>
        <v>3930366.7694183658</v>
      </c>
      <c r="AS117" s="126">
        <f t="shared" si="72"/>
        <v>3930366.7694183658</v>
      </c>
      <c r="AT117" s="126">
        <f>AS117*(1+取费表!$G$7)</f>
        <v>4028625.9386538244</v>
      </c>
      <c r="AU117" s="126">
        <f t="shared" ref="AU117:AW117" si="73">AT117</f>
        <v>4028625.9386538244</v>
      </c>
      <c r="AV117" s="126">
        <f t="shared" si="73"/>
        <v>4028625.9386538244</v>
      </c>
      <c r="AW117" s="126">
        <f t="shared" si="73"/>
        <v>4028625.9386538244</v>
      </c>
      <c r="AX117" s="126">
        <f>AW117*(1+取费表!$G$7)</f>
        <v>4129341.5871201698</v>
      </c>
      <c r="AY117" s="126">
        <f t="shared" ref="AY117:BA117" si="74">AX117</f>
        <v>4129341.5871201698</v>
      </c>
      <c r="AZ117" s="126">
        <f t="shared" si="74"/>
        <v>4129341.5871201698</v>
      </c>
      <c r="BA117" s="126">
        <f t="shared" si="74"/>
        <v>4129341.5871201698</v>
      </c>
      <c r="BB117" s="126">
        <f>BA117*(1+取费表!$H$7)</f>
        <v>4211928.4188625729</v>
      </c>
      <c r="BC117" s="126">
        <f>BB117</f>
        <v>4211928.4188625729</v>
      </c>
      <c r="BD117" s="126">
        <f>BC117</f>
        <v>4211928.4188625729</v>
      </c>
      <c r="BE117" s="126">
        <f>BD117</f>
        <v>4211928.4188625729</v>
      </c>
      <c r="BF117" s="126">
        <f>BE117*(1+取费表!$H$7)</f>
        <v>4296166.9872398246</v>
      </c>
      <c r="BG117" s="126">
        <f t="shared" ref="BG117:BI117" si="75">BF117</f>
        <v>4296166.9872398246</v>
      </c>
      <c r="BH117" s="126">
        <f t="shared" si="75"/>
        <v>4296166.9872398246</v>
      </c>
      <c r="BI117" s="126">
        <f t="shared" si="75"/>
        <v>4296166.9872398246</v>
      </c>
      <c r="BJ117" s="126">
        <f>BI117*(1+取费表!$H$7)</f>
        <v>4382090.3269846216</v>
      </c>
      <c r="BK117" s="126">
        <f t="shared" ref="BK117:BM117" si="76">BJ117</f>
        <v>4382090.3269846216</v>
      </c>
      <c r="BL117" s="126">
        <f t="shared" si="76"/>
        <v>4382090.3269846216</v>
      </c>
      <c r="BM117" s="126">
        <f t="shared" si="76"/>
        <v>4382090.3269846216</v>
      </c>
      <c r="BN117" s="126">
        <f>BM117*(1+取费表!$H$7)</f>
        <v>4469732.1335243145</v>
      </c>
      <c r="BO117" s="126">
        <f t="shared" ref="BO117:BQ117" si="77">BN117</f>
        <v>4469732.1335243145</v>
      </c>
      <c r="BP117" s="126">
        <f t="shared" si="77"/>
        <v>4469732.1335243145</v>
      </c>
      <c r="BQ117" s="126">
        <f t="shared" si="77"/>
        <v>4469732.1335243145</v>
      </c>
      <c r="BR117" s="126">
        <f>BQ117*(1+取费表!$H$7)</f>
        <v>4559126.7761948006</v>
      </c>
      <c r="BS117" s="126">
        <f t="shared" ref="BS117:BU117" si="78">BR117</f>
        <v>4559126.7761948006</v>
      </c>
      <c r="BT117" s="126">
        <f t="shared" si="78"/>
        <v>4559126.7761948006</v>
      </c>
      <c r="BU117" s="126">
        <f t="shared" si="78"/>
        <v>4559126.7761948006</v>
      </c>
      <c r="BV117" s="126">
        <f>BU117*(1+取费表!$H$7)</f>
        <v>4650309.3117186967</v>
      </c>
      <c r="BW117" s="126">
        <f t="shared" ref="BW117:BY117" si="79">BV117</f>
        <v>4650309.3117186967</v>
      </c>
      <c r="BX117" s="126">
        <f t="shared" si="79"/>
        <v>4650309.3117186967</v>
      </c>
      <c r="BY117" s="126">
        <f t="shared" si="79"/>
        <v>4650309.3117186967</v>
      </c>
      <c r="BZ117" s="126">
        <f>BY117*(1+取费表!$H$7)</f>
        <v>4743315.4979530703</v>
      </c>
      <c r="CA117" s="126">
        <f t="shared" ref="CA117:CC117" si="80">BZ117</f>
        <v>4743315.4979530703</v>
      </c>
      <c r="CB117" s="126">
        <f t="shared" si="80"/>
        <v>4743315.4979530703</v>
      </c>
      <c r="CC117" s="126">
        <f t="shared" si="80"/>
        <v>4743315.4979530703</v>
      </c>
      <c r="CD117" s="126">
        <f>CC117*(1+取费表!$H$7)</f>
        <v>4838181.8079121318</v>
      </c>
      <c r="CE117" s="126">
        <f t="shared" ref="CE117:CG117" si="81">CD117</f>
        <v>4838181.8079121318</v>
      </c>
      <c r="CF117" s="126">
        <f t="shared" si="81"/>
        <v>4838181.8079121318</v>
      </c>
      <c r="CG117" s="126">
        <f t="shared" si="81"/>
        <v>4838181.8079121318</v>
      </c>
      <c r="CH117" s="126">
        <f>CG117*(1+取费表!$H$7)</f>
        <v>4934945.4440703746</v>
      </c>
      <c r="CI117" s="126">
        <f t="shared" ref="CI117:CK117" si="82">CH117</f>
        <v>4934945.4440703746</v>
      </c>
      <c r="CJ117" s="126">
        <f t="shared" si="82"/>
        <v>4934945.4440703746</v>
      </c>
      <c r="CK117" s="126">
        <f t="shared" si="82"/>
        <v>4934945.4440703746</v>
      </c>
      <c r="CL117" s="126">
        <f>CK117*(1+取费表!$H$7)</f>
        <v>5033644.3529517818</v>
      </c>
      <c r="CM117" s="126">
        <f t="shared" ref="CM117:CO117" si="83">CL117</f>
        <v>5033644.3529517818</v>
      </c>
      <c r="CN117" s="126">
        <f t="shared" si="83"/>
        <v>5033644.3529517818</v>
      </c>
      <c r="CO117" s="126">
        <f t="shared" si="83"/>
        <v>5033644.3529517818</v>
      </c>
      <c r="CP117" s="126">
        <f>CO117*(1+取费表!$H$7)</f>
        <v>5134317.2400108175</v>
      </c>
      <c r="CQ117" s="126">
        <f t="shared" ref="CQ117:CS117" si="84">CP117</f>
        <v>5134317.2400108175</v>
      </c>
      <c r="CR117" s="126">
        <f t="shared" si="84"/>
        <v>5134317.2400108175</v>
      </c>
      <c r="CS117" s="126">
        <f t="shared" si="84"/>
        <v>5134317.2400108175</v>
      </c>
      <c r="CT117" s="126">
        <f>CS117*(1+取费表!$H$7)</f>
        <v>5237003.5848110337</v>
      </c>
      <c r="CU117" s="126">
        <f t="shared" ref="CU117:CW117" si="85">CT117</f>
        <v>5237003.5848110337</v>
      </c>
      <c r="CV117" s="126">
        <f t="shared" si="85"/>
        <v>5237003.5848110337</v>
      </c>
      <c r="CW117" s="126">
        <f t="shared" si="85"/>
        <v>5237003.5848110337</v>
      </c>
      <c r="CX117" s="126">
        <f>CW117*(1+取费表!$H$7)</f>
        <v>5341743.6565072546</v>
      </c>
      <c r="CY117" s="126">
        <f t="shared" ref="CY117:DA117" si="86">CX117</f>
        <v>5341743.6565072546</v>
      </c>
      <c r="CZ117" s="126">
        <f t="shared" si="86"/>
        <v>5341743.6565072546</v>
      </c>
      <c r="DA117" s="126">
        <f t="shared" si="86"/>
        <v>5341743.6565072546</v>
      </c>
      <c r="DB117" s="126">
        <f>DA117*(1+取费表!$H$7)</f>
        <v>5448578.5296374001</v>
      </c>
      <c r="DC117" s="126">
        <f t="shared" ref="DC117:DE117" si="87">DB117</f>
        <v>5448578.5296374001</v>
      </c>
      <c r="DD117" s="126">
        <f t="shared" si="87"/>
        <v>5448578.5296374001</v>
      </c>
      <c r="DE117" s="126">
        <f t="shared" si="87"/>
        <v>5448578.5296374001</v>
      </c>
      <c r="DF117" s="126">
        <f>DE117*(1+取费表!$H$7)</f>
        <v>5557550.1002301481</v>
      </c>
      <c r="DG117" s="126">
        <f t="shared" ref="DG117:DI117" si="88">DF117</f>
        <v>5557550.1002301481</v>
      </c>
      <c r="DH117" s="126">
        <f t="shared" si="88"/>
        <v>5557550.1002301481</v>
      </c>
      <c r="DI117" s="126">
        <f t="shared" si="88"/>
        <v>5557550.1002301481</v>
      </c>
      <c r="DJ117" s="126">
        <f>DI117*(1+取费表!$H$7)</f>
        <v>5668701.102234751</v>
      </c>
      <c r="DK117" s="126">
        <f t="shared" ref="DK117:DM117" si="89">DJ117</f>
        <v>5668701.102234751</v>
      </c>
      <c r="DL117" s="126">
        <f t="shared" si="89"/>
        <v>5668701.102234751</v>
      </c>
      <c r="DM117" s="126">
        <f t="shared" si="89"/>
        <v>5668701.102234751</v>
      </c>
      <c r="DN117" s="126">
        <f>DM117*(1+取费表!$H$7)</f>
        <v>5782075.124279446</v>
      </c>
      <c r="DO117" s="126">
        <f t="shared" ref="DO117:DQ117" si="90">DN117</f>
        <v>5782075.124279446</v>
      </c>
      <c r="DP117" s="126">
        <f t="shared" si="90"/>
        <v>5782075.124279446</v>
      </c>
      <c r="DQ117" s="126">
        <f t="shared" si="90"/>
        <v>5782075.124279446</v>
      </c>
      <c r="DR117" s="126">
        <f>DQ117*(1+取费表!$H$7)</f>
        <v>5897716.6267650351</v>
      </c>
      <c r="DS117" s="126">
        <f t="shared" ref="DS117:DU117" si="91">DR117</f>
        <v>5897716.6267650351</v>
      </c>
      <c r="DT117" s="126">
        <f t="shared" si="91"/>
        <v>5897716.6267650351</v>
      </c>
      <c r="DU117" s="126">
        <f t="shared" si="91"/>
        <v>5897716.6267650351</v>
      </c>
      <c r="DV117" s="126">
        <f>DU117*(1+取费表!$H$7)</f>
        <v>6015670.9593003355</v>
      </c>
      <c r="DW117" s="126">
        <f t="shared" ref="DW117:DY117" si="92">DV117</f>
        <v>6015670.9593003355</v>
      </c>
      <c r="DX117" s="126">
        <f t="shared" si="92"/>
        <v>6015670.9593003355</v>
      </c>
      <c r="DY117" s="126">
        <f t="shared" si="92"/>
        <v>6015670.9593003355</v>
      </c>
      <c r="DZ117" s="126">
        <f>DY117*(1+取费表!$H$7)</f>
        <v>6135984.3784863427</v>
      </c>
      <c r="EA117" s="126">
        <f t="shared" ref="EA117:EC117" si="93">DZ117</f>
        <v>6135984.3784863427</v>
      </c>
      <c r="EB117" s="126">
        <f t="shared" si="93"/>
        <v>6135984.3784863427</v>
      </c>
      <c r="EC117" s="126">
        <f t="shared" si="93"/>
        <v>6135984.3784863427</v>
      </c>
      <c r="ED117" s="126">
        <f>EC117*(1+取费表!$H$7)</f>
        <v>6258704.0660560699</v>
      </c>
      <c r="EE117" s="124">
        <f>SUM(L117:ED117)</f>
        <v>567968465.65171576</v>
      </c>
    </row>
    <row r="118" spans="1:135" ht="12.75">
      <c r="A118" s="146">
        <v>2</v>
      </c>
      <c r="B118" s="146"/>
      <c r="C118" s="146" t="s">
        <v>283</v>
      </c>
      <c r="D118" s="126">
        <v>2</v>
      </c>
      <c r="E118" s="129">
        <f>E6+E9+E13+E15+E17+E18+E19+E20+E25+E28+E29+E33+E36+E37+E44+E45+E53+E54+E55+E56+E57+E58+E59+E61+E62+E63+E64+E68+E71+E77+E78+E87+E91+E94+E95+E96+E97+E98+E109+E110+E111+E105</f>
        <v>14998.427200000002</v>
      </c>
      <c r="F118" s="126"/>
      <c r="G118" s="126"/>
      <c r="H118" s="127"/>
      <c r="I118" s="126">
        <f t="shared" ref="I118:I123" si="94">M118/3/E118/30</f>
        <v>4.7898014859110605</v>
      </c>
      <c r="J118" s="126"/>
      <c r="K118" s="126"/>
      <c r="L118" s="172">
        <f>L6+L9+L13+L15+L17+L18+L19+L20+L25+L28+L29+L33+L36+L37+L44+L45+L53+L54+L55+L56+L57+L58+L59+L61+L62+L63+L64+L68+L71+L77+L78+L87+L91+L94+L95+L96+L97+L98+L109+L110+L111+L105</f>
        <v>4655201</v>
      </c>
      <c r="M118" s="126">
        <f>M6+M9+M13+M15+M17+M18+M19+M20+M25+M28+M29+M33+M36+M37+M44+M45+M53+M54+M55+M56+M57+M58+M59+M61+M62+M63+M64+M68+M71+M77+M78+M87+M91+M94+M95+M96+M97+M98+M109+M110+M111+M105</f>
        <v>6465554</v>
      </c>
      <c r="N118" s="126">
        <f>N6+N9+N13+N15+N17+N18+N19+N20+N25+N28+N29+N33+N36+N37+N44+N45+N53+N54+N55+N56+N57+N58+N59+N61+N62+N63+N64+N68+N71+N77+N78+N87+N91+N94+N95+N96+N97+N98+N109+N110+N111+N105</f>
        <v>6465554</v>
      </c>
      <c r="O118" s="126">
        <f t="shared" ref="O118:Q118" si="95">O6+O9+O13+O15+O17+O18+O19+O20+O25+O28+O29+O33+O36+O37+O44+O45+O53+O54+O55+O56+O57+O58+O59+O61+O62+O63+O64+O65+O68+O71+O77+O78+O87+O91+O94+O95+O96+O97+O98+O105+O109+O110+O111</f>
        <v>6465554</v>
      </c>
      <c r="P118" s="126">
        <f t="shared" si="95"/>
        <v>6465554</v>
      </c>
      <c r="Q118" s="147">
        <f t="shared" si="95"/>
        <v>6465554</v>
      </c>
      <c r="R118" s="126">
        <f>Q118*(1+取费表!$C$7)*取费表!C17</f>
        <v>6051758.5440000007</v>
      </c>
      <c r="S118" s="126">
        <f t="shared" si="66"/>
        <v>6051758.5440000007</v>
      </c>
      <c r="T118" s="126">
        <f t="shared" si="66"/>
        <v>6051758.5440000007</v>
      </c>
      <c r="U118" s="126">
        <f t="shared" si="66"/>
        <v>6051758.5440000007</v>
      </c>
      <c r="V118" s="126">
        <f>U118*(1+取费表!$D$7)</f>
        <v>6293828.8857600009</v>
      </c>
      <c r="W118" s="126">
        <f t="shared" si="67"/>
        <v>6293828.8857600009</v>
      </c>
      <c r="X118" s="126">
        <f t="shared" si="67"/>
        <v>6293828.8857600009</v>
      </c>
      <c r="Y118" s="126">
        <f t="shared" si="67"/>
        <v>6293828.8857600009</v>
      </c>
      <c r="Z118" s="126">
        <f>Y118*(1+取费表!$E$7)</f>
        <v>6514112.8967616009</v>
      </c>
      <c r="AA118" s="126">
        <f>Z118</f>
        <v>6514112.8967616009</v>
      </c>
      <c r="AB118" s="126">
        <f t="shared" ref="AB118:AC118" si="96">AA118</f>
        <v>6514112.8967616009</v>
      </c>
      <c r="AC118" s="126">
        <f t="shared" si="96"/>
        <v>6514112.8967616009</v>
      </c>
      <c r="AD118" s="126">
        <f>AC118*(1+取费表!$F$7)</f>
        <v>6742106.8481482565</v>
      </c>
      <c r="AE118" s="126">
        <f>AD118</f>
        <v>6742106.8481482565</v>
      </c>
      <c r="AF118" s="126">
        <f t="shared" ref="AF118:AG118" si="97">AE118</f>
        <v>6742106.8481482565</v>
      </c>
      <c r="AG118" s="126">
        <f t="shared" si="97"/>
        <v>6742106.8481482565</v>
      </c>
      <c r="AH118" s="126">
        <f>AG118*(1+取费表!$G$7)</f>
        <v>6910659.519351962</v>
      </c>
      <c r="AI118" s="126">
        <f t="shared" si="70"/>
        <v>6910659.519351962</v>
      </c>
      <c r="AJ118" s="126">
        <f t="shared" ref="AJ118:AK118" si="98">AI118</f>
        <v>6910659.519351962</v>
      </c>
      <c r="AK118" s="126">
        <f t="shared" si="98"/>
        <v>6910659.519351962</v>
      </c>
      <c r="AL118" s="126">
        <f>AK118*(1+取费表!$G$7)</f>
        <v>7083426.0073357606</v>
      </c>
      <c r="AM118" s="126">
        <f t="shared" ref="AM118:AS118" si="99">AL118</f>
        <v>7083426.0073357606</v>
      </c>
      <c r="AN118" s="126">
        <f t="shared" si="99"/>
        <v>7083426.0073357606</v>
      </c>
      <c r="AO118" s="126">
        <f t="shared" si="99"/>
        <v>7083426.0073357606</v>
      </c>
      <c r="AP118" s="126">
        <f>AO118*(1+取费表!$G$7)</f>
        <v>7260511.6575191543</v>
      </c>
      <c r="AQ118" s="126">
        <f t="shared" si="99"/>
        <v>7260511.6575191543</v>
      </c>
      <c r="AR118" s="126">
        <f t="shared" si="99"/>
        <v>7260511.6575191543</v>
      </c>
      <c r="AS118" s="126">
        <f t="shared" si="99"/>
        <v>7260511.6575191543</v>
      </c>
      <c r="AT118" s="126">
        <f>AS118*(1+取费表!$G$7)</f>
        <v>7442024.4489571322</v>
      </c>
      <c r="AU118" s="126">
        <f t="shared" ref="AU118:AW118" si="100">AT118</f>
        <v>7442024.4489571322</v>
      </c>
      <c r="AV118" s="126">
        <f t="shared" si="100"/>
        <v>7442024.4489571322</v>
      </c>
      <c r="AW118" s="126">
        <f t="shared" si="100"/>
        <v>7442024.4489571322</v>
      </c>
      <c r="AX118" s="126">
        <f>AW118*(1+取费表!$G$7)</f>
        <v>7628075.0601810599</v>
      </c>
      <c r="AY118" s="126">
        <f t="shared" ref="AY118:BA118" si="101">AX118</f>
        <v>7628075.0601810599</v>
      </c>
      <c r="AZ118" s="126">
        <f t="shared" si="101"/>
        <v>7628075.0601810599</v>
      </c>
      <c r="BA118" s="126">
        <f t="shared" si="101"/>
        <v>7628075.0601810599</v>
      </c>
      <c r="BB118" s="126">
        <f>BA118*(1+取费表!$H$7)</f>
        <v>7780636.5613846816</v>
      </c>
      <c r="BC118" s="126">
        <f t="shared" ref="BC118:BE118" si="102">BB118</f>
        <v>7780636.5613846816</v>
      </c>
      <c r="BD118" s="126">
        <f t="shared" si="102"/>
        <v>7780636.5613846816</v>
      </c>
      <c r="BE118" s="126">
        <f t="shared" si="102"/>
        <v>7780636.5613846816</v>
      </c>
      <c r="BF118" s="126">
        <f>BE118*(1+取费表!$H$7)</f>
        <v>7936249.2926123757</v>
      </c>
      <c r="BG118" s="126">
        <f t="shared" ref="BG118:BI118" si="103">BF118</f>
        <v>7936249.2926123757</v>
      </c>
      <c r="BH118" s="126">
        <f t="shared" si="103"/>
        <v>7936249.2926123757</v>
      </c>
      <c r="BI118" s="126">
        <f t="shared" si="103"/>
        <v>7936249.2926123757</v>
      </c>
      <c r="BJ118" s="126">
        <f>BI118*(1+取费表!$H$7)</f>
        <v>8094974.2784646237</v>
      </c>
      <c r="BK118" s="126">
        <f t="shared" ref="BK118:BM118" si="104">BJ118</f>
        <v>8094974.2784646237</v>
      </c>
      <c r="BL118" s="126">
        <f t="shared" si="104"/>
        <v>8094974.2784646237</v>
      </c>
      <c r="BM118" s="126">
        <f t="shared" si="104"/>
        <v>8094974.2784646237</v>
      </c>
      <c r="BN118" s="126">
        <f>BM118*(1+取费表!$H$7)</f>
        <v>8256873.7640339164</v>
      </c>
      <c r="BO118" s="126">
        <f t="shared" ref="BO118:BQ118" si="105">BN118</f>
        <v>8256873.7640339164</v>
      </c>
      <c r="BP118" s="126">
        <f t="shared" si="105"/>
        <v>8256873.7640339164</v>
      </c>
      <c r="BQ118" s="126">
        <f t="shared" si="105"/>
        <v>8256873.7640339164</v>
      </c>
      <c r="BR118" s="126">
        <f>BQ118*(1+取费表!$H$7)</f>
        <v>8422011.2393145952</v>
      </c>
      <c r="BS118" s="126">
        <f t="shared" ref="BS118:BU118" si="106">BR118</f>
        <v>8422011.2393145952</v>
      </c>
      <c r="BT118" s="126">
        <f t="shared" si="106"/>
        <v>8422011.2393145952</v>
      </c>
      <c r="BU118" s="126">
        <f t="shared" si="106"/>
        <v>8422011.2393145952</v>
      </c>
      <c r="BV118" s="126">
        <f>BU118*(1+取费表!$H$7)</f>
        <v>8590451.464100888</v>
      </c>
      <c r="BW118" s="126">
        <f t="shared" ref="BW118:BY118" si="107">BV118</f>
        <v>8590451.464100888</v>
      </c>
      <c r="BX118" s="126">
        <f t="shared" si="107"/>
        <v>8590451.464100888</v>
      </c>
      <c r="BY118" s="126">
        <f t="shared" si="107"/>
        <v>8590451.464100888</v>
      </c>
      <c r="BZ118" s="126">
        <f>BY118*(1+取费表!$H$7)</f>
        <v>8762260.4933829065</v>
      </c>
      <c r="CA118" s="126">
        <f t="shared" ref="CA118:CC118" si="108">BZ118</f>
        <v>8762260.4933829065</v>
      </c>
      <c r="CB118" s="126">
        <f t="shared" si="108"/>
        <v>8762260.4933829065</v>
      </c>
      <c r="CC118" s="126">
        <f t="shared" si="108"/>
        <v>8762260.4933829065</v>
      </c>
      <c r="CD118" s="126">
        <f>CC118*(1+取费表!$H$7)</f>
        <v>8937505.7032505646</v>
      </c>
      <c r="CE118" s="126">
        <f t="shared" ref="CE118:CG118" si="109">CD118</f>
        <v>8937505.7032505646</v>
      </c>
      <c r="CF118" s="126">
        <f t="shared" si="109"/>
        <v>8937505.7032505646</v>
      </c>
      <c r="CG118" s="126">
        <f t="shared" si="109"/>
        <v>8937505.7032505646</v>
      </c>
      <c r="CH118" s="126">
        <f>CG118*(1+取费表!$H$7)</f>
        <v>9116255.8173155766</v>
      </c>
      <c r="CI118" s="126">
        <f t="shared" ref="CI118:CK118" si="110">CH118</f>
        <v>9116255.8173155766</v>
      </c>
      <c r="CJ118" s="126">
        <f t="shared" si="110"/>
        <v>9116255.8173155766</v>
      </c>
      <c r="CK118" s="126">
        <f t="shared" si="110"/>
        <v>9116255.8173155766</v>
      </c>
      <c r="CL118" s="126">
        <f>CK118*(1+取费表!$H$7)</f>
        <v>9298580.9336618874</v>
      </c>
      <c r="CM118" s="126">
        <f t="shared" ref="CM118:CO118" si="111">CL118</f>
        <v>9298580.9336618874</v>
      </c>
      <c r="CN118" s="126">
        <f t="shared" si="111"/>
        <v>9298580.9336618874</v>
      </c>
      <c r="CO118" s="126">
        <f t="shared" si="111"/>
        <v>9298580.9336618874</v>
      </c>
      <c r="CP118" s="126">
        <f>CO118*(1+取费表!$H$7)</f>
        <v>9484552.5523351245</v>
      </c>
      <c r="CQ118" s="126">
        <f t="shared" ref="CQ118:CS118" si="112">CP118</f>
        <v>9484552.5523351245</v>
      </c>
      <c r="CR118" s="126">
        <f t="shared" si="112"/>
        <v>9484552.5523351245</v>
      </c>
      <c r="CS118" s="126">
        <f t="shared" si="112"/>
        <v>9484552.5523351245</v>
      </c>
      <c r="CT118" s="126">
        <f>CS118*(1+取费表!$H$7)</f>
        <v>9674243.6033818275</v>
      </c>
      <c r="CU118" s="126">
        <f t="shared" ref="CU118:CW118" si="113">CT118</f>
        <v>9674243.6033818275</v>
      </c>
      <c r="CV118" s="126">
        <f t="shared" si="113"/>
        <v>9674243.6033818275</v>
      </c>
      <c r="CW118" s="126">
        <f t="shared" si="113"/>
        <v>9674243.6033818275</v>
      </c>
      <c r="CX118" s="126">
        <f>CW118*(1+取费表!$H$7)</f>
        <v>9867728.4754494634</v>
      </c>
      <c r="CY118" s="126">
        <f t="shared" ref="CY118:DA118" si="114">CX118</f>
        <v>9867728.4754494634</v>
      </c>
      <c r="CZ118" s="126">
        <f t="shared" si="114"/>
        <v>9867728.4754494634</v>
      </c>
      <c r="DA118" s="126">
        <f t="shared" si="114"/>
        <v>9867728.4754494634</v>
      </c>
      <c r="DB118" s="126">
        <f>DA118*(1+取费表!$H$7)</f>
        <v>10065083.044958454</v>
      </c>
      <c r="DC118" s="126">
        <f t="shared" ref="DC118:DE118" si="115">DB118</f>
        <v>10065083.044958454</v>
      </c>
      <c r="DD118" s="126">
        <f t="shared" si="115"/>
        <v>10065083.044958454</v>
      </c>
      <c r="DE118" s="126">
        <f t="shared" si="115"/>
        <v>10065083.044958454</v>
      </c>
      <c r="DF118" s="126">
        <f>DE118*(1+取费表!$H$7)</f>
        <v>10266384.705857623</v>
      </c>
      <c r="DG118" s="126">
        <f t="shared" ref="DG118:DI118" si="116">DF118</f>
        <v>10266384.705857623</v>
      </c>
      <c r="DH118" s="126">
        <f t="shared" si="116"/>
        <v>10266384.705857623</v>
      </c>
      <c r="DI118" s="126">
        <f t="shared" si="116"/>
        <v>10266384.705857623</v>
      </c>
      <c r="DJ118" s="126">
        <f>DI118*(1+取费表!$H$7)</f>
        <v>10471712.399974776</v>
      </c>
      <c r="DK118" s="126">
        <f t="shared" ref="DK118:DM118" si="117">DJ118</f>
        <v>10471712.399974776</v>
      </c>
      <c r="DL118" s="126">
        <f t="shared" si="117"/>
        <v>10471712.399974776</v>
      </c>
      <c r="DM118" s="126">
        <f t="shared" si="117"/>
        <v>10471712.399974776</v>
      </c>
      <c r="DN118" s="126">
        <f>DM118*(1+取费表!$H$7)</f>
        <v>10681146.647974271</v>
      </c>
      <c r="DO118" s="126">
        <f t="shared" ref="DO118:DQ118" si="118">DN118</f>
        <v>10681146.647974271</v>
      </c>
      <c r="DP118" s="126">
        <f t="shared" si="118"/>
        <v>10681146.647974271</v>
      </c>
      <c r="DQ118" s="126">
        <f t="shared" si="118"/>
        <v>10681146.647974271</v>
      </c>
      <c r="DR118" s="126">
        <f>DQ118*(1+取费表!$H$7)</f>
        <v>10894769.580933757</v>
      </c>
      <c r="DS118" s="126">
        <f t="shared" ref="DS118:DU118" si="119">DR118</f>
        <v>10894769.580933757</v>
      </c>
      <c r="DT118" s="126">
        <f t="shared" si="119"/>
        <v>10894769.580933757</v>
      </c>
      <c r="DU118" s="126">
        <f t="shared" si="119"/>
        <v>10894769.580933757</v>
      </c>
      <c r="DV118" s="126">
        <f>DU118*(1+取费表!$H$7)</f>
        <v>11112664.972552432</v>
      </c>
      <c r="DW118" s="126">
        <f t="shared" ref="DW118:DY118" si="120">DV118</f>
        <v>11112664.972552432</v>
      </c>
      <c r="DX118" s="126">
        <f t="shared" si="120"/>
        <v>11112664.972552432</v>
      </c>
      <c r="DY118" s="126">
        <f t="shared" si="120"/>
        <v>11112664.972552432</v>
      </c>
      <c r="DZ118" s="126">
        <f>DY118*(1+取费表!$H$7)</f>
        <v>11334918.272003481</v>
      </c>
      <c r="EA118" s="126">
        <f t="shared" ref="EA118:EC118" si="121">DZ118</f>
        <v>11334918.272003481</v>
      </c>
      <c r="EB118" s="126">
        <f t="shared" si="121"/>
        <v>11334918.272003481</v>
      </c>
      <c r="EC118" s="126">
        <f t="shared" si="121"/>
        <v>11334918.272003481</v>
      </c>
      <c r="ED118" s="126">
        <f>EC118*(1+取费表!$H$7)</f>
        <v>11561616.637443552</v>
      </c>
      <c r="EE118" s="124">
        <f t="shared" ref="EE118:EE125" si="122">SUM(L118:ED118)</f>
        <v>1052446618.3212773</v>
      </c>
    </row>
    <row r="119" spans="1:135" ht="12.75">
      <c r="A119" s="146">
        <v>3</v>
      </c>
      <c r="B119" s="146"/>
      <c r="C119" s="146" t="s">
        <v>284</v>
      </c>
      <c r="D119" s="126">
        <v>3</v>
      </c>
      <c r="E119" s="129">
        <f>E10+E11+E12+E14+E27+E31+E32+E34+E38+E41+E42+E43+E50+E60+E69+E70+E79+E84+E106</f>
        <v>5037.8346999999994</v>
      </c>
      <c r="F119" s="126"/>
      <c r="G119" s="126"/>
      <c r="H119" s="127"/>
      <c r="I119" s="126">
        <f t="shared" si="94"/>
        <v>5.00792532950714</v>
      </c>
      <c r="J119" s="126"/>
      <c r="K119" s="126"/>
      <c r="L119" s="148">
        <f>L10+L11+L12+L14+L27+L31+L32+L34+L38+L41+L42+L43+L50+L60+L69+L70+L79+L84+L106</f>
        <v>1634846</v>
      </c>
      <c r="M119" s="148">
        <f t="shared" ref="M119:U119" si="123">M10+M11+M12+M14+M27+M31+M32+M34+M38+M41+M42+M43+M50+M60+M69+M70+M79+M84+M106</f>
        <v>2270619</v>
      </c>
      <c r="N119" s="148">
        <f t="shared" si="123"/>
        <v>2270619</v>
      </c>
      <c r="O119" s="148">
        <f t="shared" si="123"/>
        <v>2270619</v>
      </c>
      <c r="P119" s="148">
        <f t="shared" si="123"/>
        <v>2270619</v>
      </c>
      <c r="Q119" s="148">
        <f t="shared" si="123"/>
        <v>2270619</v>
      </c>
      <c r="R119" s="148">
        <f t="shared" si="123"/>
        <v>2153785</v>
      </c>
      <c r="S119" s="148">
        <f t="shared" si="123"/>
        <v>2153785</v>
      </c>
      <c r="T119" s="148">
        <f t="shared" si="123"/>
        <v>2153785</v>
      </c>
      <c r="U119" s="149">
        <f t="shared" si="123"/>
        <v>2153785</v>
      </c>
      <c r="V119" s="126">
        <f>U119*(1+取费表!$D$7)*取费表!D17</f>
        <v>2015942.76</v>
      </c>
      <c r="W119" s="126">
        <f t="shared" si="67"/>
        <v>2015942.76</v>
      </c>
      <c r="X119" s="126">
        <f t="shared" si="67"/>
        <v>2015942.76</v>
      </c>
      <c r="Y119" s="126">
        <f t="shared" si="67"/>
        <v>2015942.76</v>
      </c>
      <c r="Z119" s="126">
        <f>Y119*(1+取费表!$E$7)</f>
        <v>2086500.7566</v>
      </c>
      <c r="AA119" s="126">
        <f>Z119</f>
        <v>2086500.7566</v>
      </c>
      <c r="AB119" s="126">
        <f t="shared" ref="AB119:AC119" si="124">AA119</f>
        <v>2086500.7566</v>
      </c>
      <c r="AC119" s="126">
        <f t="shared" si="124"/>
        <v>2086500.7566</v>
      </c>
      <c r="AD119" s="126">
        <f>AC119*(1+取费表!$F$7)</f>
        <v>2159528.2830809997</v>
      </c>
      <c r="AE119" s="126">
        <f>AD119</f>
        <v>2159528.2830809997</v>
      </c>
      <c r="AF119" s="126">
        <f t="shared" ref="AF119:AG119" si="125">AE119</f>
        <v>2159528.2830809997</v>
      </c>
      <c r="AG119" s="126">
        <f t="shared" si="125"/>
        <v>2159528.2830809997</v>
      </c>
      <c r="AH119" s="126">
        <f>AG119*(1+取费表!$G$7)</f>
        <v>2213516.4901580247</v>
      </c>
      <c r="AI119" s="126">
        <f t="shared" si="70"/>
        <v>2213516.4901580247</v>
      </c>
      <c r="AJ119" s="126">
        <f t="shared" ref="AJ119" si="126">AI119</f>
        <v>2213516.4901580247</v>
      </c>
      <c r="AK119" s="126">
        <f>AJ119</f>
        <v>2213516.4901580247</v>
      </c>
      <c r="AL119" s="126">
        <f>AK119*(1+取费表!$G$7)</f>
        <v>2268854.402411975</v>
      </c>
      <c r="AM119" s="126">
        <f t="shared" ref="AM119:AS119" si="127">AL119</f>
        <v>2268854.402411975</v>
      </c>
      <c r="AN119" s="126">
        <f t="shared" si="127"/>
        <v>2268854.402411975</v>
      </c>
      <c r="AO119" s="126">
        <f t="shared" si="127"/>
        <v>2268854.402411975</v>
      </c>
      <c r="AP119" s="126">
        <f>AO119*(1+取费表!$G$7)</f>
        <v>2325575.7624722742</v>
      </c>
      <c r="AQ119" s="126">
        <f t="shared" si="127"/>
        <v>2325575.7624722742</v>
      </c>
      <c r="AR119" s="126">
        <f t="shared" si="127"/>
        <v>2325575.7624722742</v>
      </c>
      <c r="AS119" s="126">
        <f t="shared" si="127"/>
        <v>2325575.7624722742</v>
      </c>
      <c r="AT119" s="126">
        <f>AS119*(1+取费表!$G$7)</f>
        <v>2383715.1565340809</v>
      </c>
      <c r="AU119" s="126">
        <f t="shared" ref="AU119:AW119" si="128">AT119</f>
        <v>2383715.1565340809</v>
      </c>
      <c r="AV119" s="126">
        <f t="shared" si="128"/>
        <v>2383715.1565340809</v>
      </c>
      <c r="AW119" s="126">
        <f t="shared" si="128"/>
        <v>2383715.1565340809</v>
      </c>
      <c r="AX119" s="126">
        <f>AW119*(1+取费表!$G$7)</f>
        <v>2443308.0354474327</v>
      </c>
      <c r="AY119" s="126">
        <f t="shared" ref="AY119:BA119" si="129">AX119</f>
        <v>2443308.0354474327</v>
      </c>
      <c r="AZ119" s="126">
        <f t="shared" si="129"/>
        <v>2443308.0354474327</v>
      </c>
      <c r="BA119" s="126">
        <f t="shared" si="129"/>
        <v>2443308.0354474327</v>
      </c>
      <c r="BB119" s="126">
        <f>BA119*(1+取费表!$H$7)</f>
        <v>2492174.1961563812</v>
      </c>
      <c r="BC119" s="126">
        <f t="shared" ref="BC119:BE119" si="130">BB119</f>
        <v>2492174.1961563812</v>
      </c>
      <c r="BD119" s="126">
        <f t="shared" si="130"/>
        <v>2492174.1961563812</v>
      </c>
      <c r="BE119" s="126">
        <f t="shared" si="130"/>
        <v>2492174.1961563812</v>
      </c>
      <c r="BF119" s="126">
        <f>BE119*(1+取费表!$H$7)</f>
        <v>2542017.680079509</v>
      </c>
      <c r="BG119" s="126">
        <f t="shared" ref="BG119:BI119" si="131">BF119</f>
        <v>2542017.680079509</v>
      </c>
      <c r="BH119" s="126">
        <f t="shared" si="131"/>
        <v>2542017.680079509</v>
      </c>
      <c r="BI119" s="126">
        <f t="shared" si="131"/>
        <v>2542017.680079509</v>
      </c>
      <c r="BJ119" s="126">
        <f>BI119*(1+取费表!$H$7)</f>
        <v>2592858.0336810993</v>
      </c>
      <c r="BK119" s="126">
        <f t="shared" ref="BK119:BM119" si="132">BJ119</f>
        <v>2592858.0336810993</v>
      </c>
      <c r="BL119" s="126">
        <f t="shared" si="132"/>
        <v>2592858.0336810993</v>
      </c>
      <c r="BM119" s="126">
        <f t="shared" si="132"/>
        <v>2592858.0336810993</v>
      </c>
      <c r="BN119" s="126">
        <f>BM119*(1+取费表!$H$7)</f>
        <v>2644715.1943547213</v>
      </c>
      <c r="BO119" s="126">
        <f t="shared" ref="BO119:BQ119" si="133">BN119</f>
        <v>2644715.1943547213</v>
      </c>
      <c r="BP119" s="126">
        <f t="shared" si="133"/>
        <v>2644715.1943547213</v>
      </c>
      <c r="BQ119" s="126">
        <f t="shared" si="133"/>
        <v>2644715.1943547213</v>
      </c>
      <c r="BR119" s="126">
        <f>BQ119*(1+取费表!$H$7)</f>
        <v>2697609.4982418157</v>
      </c>
      <c r="BS119" s="126">
        <f t="shared" ref="BS119:BU119" si="134">BR119</f>
        <v>2697609.4982418157</v>
      </c>
      <c r="BT119" s="126">
        <f t="shared" si="134"/>
        <v>2697609.4982418157</v>
      </c>
      <c r="BU119" s="126">
        <f t="shared" si="134"/>
        <v>2697609.4982418157</v>
      </c>
      <c r="BV119" s="126">
        <f>BU119*(1+取费表!$H$7)</f>
        <v>2751561.6882066522</v>
      </c>
      <c r="BW119" s="126">
        <f t="shared" ref="BW119:BY119" si="135">BV119</f>
        <v>2751561.6882066522</v>
      </c>
      <c r="BX119" s="126">
        <f t="shared" si="135"/>
        <v>2751561.6882066522</v>
      </c>
      <c r="BY119" s="126">
        <f t="shared" si="135"/>
        <v>2751561.6882066522</v>
      </c>
      <c r="BZ119" s="126">
        <f>BY119*(1+取费表!$H$7)</f>
        <v>2806592.9219707851</v>
      </c>
      <c r="CA119" s="126">
        <f t="shared" ref="CA119:CC119" si="136">BZ119</f>
        <v>2806592.9219707851</v>
      </c>
      <c r="CB119" s="126">
        <f t="shared" si="136"/>
        <v>2806592.9219707851</v>
      </c>
      <c r="CC119" s="126">
        <f t="shared" si="136"/>
        <v>2806592.9219707851</v>
      </c>
      <c r="CD119" s="126">
        <f>CC119*(1+取费表!$H$7)</f>
        <v>2862724.7804102008</v>
      </c>
      <c r="CE119" s="126">
        <f t="shared" ref="CE119:CG119" si="137">CD119</f>
        <v>2862724.7804102008</v>
      </c>
      <c r="CF119" s="126">
        <f t="shared" si="137"/>
        <v>2862724.7804102008</v>
      </c>
      <c r="CG119" s="126">
        <f t="shared" si="137"/>
        <v>2862724.7804102008</v>
      </c>
      <c r="CH119" s="126">
        <f>CG119*(1+取费表!$H$7)</f>
        <v>2919979.2760184049</v>
      </c>
      <c r="CI119" s="126">
        <f t="shared" ref="CI119:CK119" si="138">CH119</f>
        <v>2919979.2760184049</v>
      </c>
      <c r="CJ119" s="126">
        <f t="shared" si="138"/>
        <v>2919979.2760184049</v>
      </c>
      <c r="CK119" s="126">
        <f t="shared" si="138"/>
        <v>2919979.2760184049</v>
      </c>
      <c r="CL119" s="126">
        <f>CK119*(1+取费表!$H$7)</f>
        <v>2978378.8615387729</v>
      </c>
      <c r="CM119" s="126">
        <f t="shared" ref="CM119:CO119" si="139">CL119</f>
        <v>2978378.8615387729</v>
      </c>
      <c r="CN119" s="126">
        <f t="shared" si="139"/>
        <v>2978378.8615387729</v>
      </c>
      <c r="CO119" s="126">
        <f t="shared" si="139"/>
        <v>2978378.8615387729</v>
      </c>
      <c r="CP119" s="126">
        <f>CO119*(1+取费表!$H$7)</f>
        <v>3037946.4387695487</v>
      </c>
      <c r="CQ119" s="126">
        <f t="shared" ref="CQ119:CS119" si="140">CP119</f>
        <v>3037946.4387695487</v>
      </c>
      <c r="CR119" s="126">
        <f t="shared" si="140"/>
        <v>3037946.4387695487</v>
      </c>
      <c r="CS119" s="126">
        <f t="shared" si="140"/>
        <v>3037946.4387695487</v>
      </c>
      <c r="CT119" s="126">
        <f>CS119*(1+取费表!$H$7)</f>
        <v>3098705.3675449397</v>
      </c>
      <c r="CU119" s="126">
        <f t="shared" ref="CU119:CW119" si="141">CT119</f>
        <v>3098705.3675449397</v>
      </c>
      <c r="CV119" s="126">
        <f t="shared" si="141"/>
        <v>3098705.3675449397</v>
      </c>
      <c r="CW119" s="126">
        <f t="shared" si="141"/>
        <v>3098705.3675449397</v>
      </c>
      <c r="CX119" s="126">
        <f>CW119*(1+取费表!$H$7)</f>
        <v>3160679.4748958386</v>
      </c>
      <c r="CY119" s="126">
        <f t="shared" ref="CY119:DA119" si="142">CX119</f>
        <v>3160679.4748958386</v>
      </c>
      <c r="CZ119" s="126">
        <f t="shared" si="142"/>
        <v>3160679.4748958386</v>
      </c>
      <c r="DA119" s="126">
        <f t="shared" si="142"/>
        <v>3160679.4748958386</v>
      </c>
      <c r="DB119" s="126">
        <f>DA119*(1+取费表!$H$7)</f>
        <v>3223893.0643937555</v>
      </c>
      <c r="DC119" s="126">
        <f t="shared" ref="DC119:DE119" si="143">DB119</f>
        <v>3223893.0643937555</v>
      </c>
      <c r="DD119" s="126">
        <f t="shared" si="143"/>
        <v>3223893.0643937555</v>
      </c>
      <c r="DE119" s="126">
        <f t="shared" si="143"/>
        <v>3223893.0643937555</v>
      </c>
      <c r="DF119" s="126">
        <f>DE119*(1+取费表!$H$7)</f>
        <v>3288370.9256816306</v>
      </c>
      <c r="DG119" s="126">
        <f t="shared" ref="DG119:DI119" si="144">DF119</f>
        <v>3288370.9256816306</v>
      </c>
      <c r="DH119" s="126">
        <f t="shared" si="144"/>
        <v>3288370.9256816306</v>
      </c>
      <c r="DI119" s="126">
        <f t="shared" si="144"/>
        <v>3288370.9256816306</v>
      </c>
      <c r="DJ119" s="126">
        <f>DI119*(1+取费表!$H$7)</f>
        <v>3354138.3441952635</v>
      </c>
      <c r="DK119" s="126">
        <f t="shared" ref="DK119:DM119" si="145">DJ119</f>
        <v>3354138.3441952635</v>
      </c>
      <c r="DL119" s="126">
        <f t="shared" si="145"/>
        <v>3354138.3441952635</v>
      </c>
      <c r="DM119" s="126">
        <f t="shared" si="145"/>
        <v>3354138.3441952635</v>
      </c>
      <c r="DN119" s="126">
        <f>DM119*(1+取费表!$H$7)</f>
        <v>3421221.111079169</v>
      </c>
      <c r="DO119" s="126">
        <f t="shared" ref="DO119:DQ119" si="146">DN119</f>
        <v>3421221.111079169</v>
      </c>
      <c r="DP119" s="126">
        <f t="shared" si="146"/>
        <v>3421221.111079169</v>
      </c>
      <c r="DQ119" s="126">
        <f t="shared" si="146"/>
        <v>3421221.111079169</v>
      </c>
      <c r="DR119" s="126">
        <f>DQ119*(1+取费表!$H$7)</f>
        <v>3489645.5333007523</v>
      </c>
      <c r="DS119" s="126">
        <f t="shared" ref="DS119:DU119" si="147">DR119</f>
        <v>3489645.5333007523</v>
      </c>
      <c r="DT119" s="126">
        <f t="shared" si="147"/>
        <v>3489645.5333007523</v>
      </c>
      <c r="DU119" s="126">
        <f t="shared" si="147"/>
        <v>3489645.5333007523</v>
      </c>
      <c r="DV119" s="126">
        <f>DU119*(1+取费表!$H$7)</f>
        <v>3559438.4439667673</v>
      </c>
      <c r="DW119" s="126">
        <f t="shared" ref="DW119:DY119" si="148">DV119</f>
        <v>3559438.4439667673</v>
      </c>
      <c r="DX119" s="126">
        <f t="shared" si="148"/>
        <v>3559438.4439667673</v>
      </c>
      <c r="DY119" s="126">
        <f t="shared" si="148"/>
        <v>3559438.4439667673</v>
      </c>
      <c r="DZ119" s="126">
        <f>DY119*(1+取费表!$H$7)</f>
        <v>3630627.2128461027</v>
      </c>
      <c r="EA119" s="126">
        <f t="shared" ref="EA119:EC119" si="149">DZ119</f>
        <v>3630627.2128461027</v>
      </c>
      <c r="EB119" s="126">
        <f t="shared" si="149"/>
        <v>3630627.2128461027</v>
      </c>
      <c r="EC119" s="126">
        <f t="shared" si="149"/>
        <v>3630627.2128461027</v>
      </c>
      <c r="ED119" s="126">
        <f>EC119*(1+取费表!$H$7)</f>
        <v>3703239.757103025</v>
      </c>
      <c r="EE119" s="124">
        <f t="shared" si="122"/>
        <v>339107199.53325033</v>
      </c>
    </row>
    <row r="120" spans="1:135" ht="12.75">
      <c r="A120" s="144">
        <v>4</v>
      </c>
      <c r="B120" s="146"/>
      <c r="C120" s="146" t="s">
        <v>285</v>
      </c>
      <c r="D120" s="126">
        <v>4</v>
      </c>
      <c r="E120" s="129">
        <f>E7+E16+E21+E26+E39+E40+E81+E85+E86+E89+E90+E101+E102+E103+E104+E108</f>
        <v>7978.0696000000007</v>
      </c>
      <c r="F120" s="126"/>
      <c r="G120" s="126"/>
      <c r="H120" s="127"/>
      <c r="I120" s="126">
        <f t="shared" si="94"/>
        <v>4.6399862610039566</v>
      </c>
      <c r="J120" s="126"/>
      <c r="K120" s="126"/>
      <c r="L120" s="148">
        <f>L7+L16+L21+L26+L39+L40+L81+L85+L86+L89+L90+L101+L102+L103+L104+L108</f>
        <v>2396814</v>
      </c>
      <c r="M120" s="148">
        <f>M7+M16+M21+M26+M39+M40+M81+M85+M86+M89+M90+M101+M102+M103+M104+M108</f>
        <v>3331632</v>
      </c>
      <c r="N120" s="148">
        <f t="shared" ref="N120:Y120" si="150">N7+N16+N21+N26+N39+N40+N81+N85+N86+N89+N90+N101+N102+N103+N104+N108</f>
        <v>3372771</v>
      </c>
      <c r="O120" s="148">
        <f t="shared" si="150"/>
        <v>3372816</v>
      </c>
      <c r="P120" s="148">
        <f t="shared" si="150"/>
        <v>3372816</v>
      </c>
      <c r="Q120" s="148">
        <f t="shared" si="150"/>
        <v>3372816</v>
      </c>
      <c r="R120" s="148">
        <f t="shared" si="150"/>
        <v>3390042</v>
      </c>
      <c r="S120" s="148">
        <f t="shared" si="150"/>
        <v>3403654</v>
      </c>
      <c r="T120" s="148">
        <f t="shared" si="150"/>
        <v>3407412</v>
      </c>
      <c r="U120" s="148">
        <f t="shared" si="150"/>
        <v>3407412</v>
      </c>
      <c r="V120" s="148">
        <f t="shared" si="150"/>
        <v>3363659</v>
      </c>
      <c r="W120" s="148">
        <f t="shared" si="150"/>
        <v>3363659</v>
      </c>
      <c r="X120" s="148">
        <f t="shared" si="150"/>
        <v>3363659</v>
      </c>
      <c r="Y120" s="149">
        <f t="shared" si="150"/>
        <v>3363659</v>
      </c>
      <c r="Z120" s="126">
        <f>Y120*(1+取费表!$E$7)*取费表!E19</f>
        <v>3202876.0998</v>
      </c>
      <c r="AA120" s="126">
        <f>Z120</f>
        <v>3202876.0998</v>
      </c>
      <c r="AB120" s="126">
        <f t="shared" ref="AB120:AC120" si="151">AA120</f>
        <v>3202876.0998</v>
      </c>
      <c r="AC120" s="126">
        <f t="shared" si="151"/>
        <v>3202876.0998</v>
      </c>
      <c r="AD120" s="126">
        <f>AC120*(1+取费表!$F$7)</f>
        <v>3314976.7632929999</v>
      </c>
      <c r="AE120" s="126">
        <f>AD120</f>
        <v>3314976.7632929999</v>
      </c>
      <c r="AF120" s="126">
        <f t="shared" ref="AF120:AG120" si="152">AE120</f>
        <v>3314976.7632929999</v>
      </c>
      <c r="AG120" s="126">
        <f t="shared" si="152"/>
        <v>3314976.7632929999</v>
      </c>
      <c r="AH120" s="126">
        <f>AG120*(1+取费表!$G$7)</f>
        <v>3397851.1823753244</v>
      </c>
      <c r="AI120" s="126">
        <f t="shared" si="70"/>
        <v>3397851.1823753244</v>
      </c>
      <c r="AJ120" s="126">
        <f t="shared" ref="AJ120:AK120" si="153">AI120</f>
        <v>3397851.1823753244</v>
      </c>
      <c r="AK120" s="126">
        <f t="shared" si="153"/>
        <v>3397851.1823753244</v>
      </c>
      <c r="AL120" s="126">
        <f>AK120*(1+取费表!$G$7)</f>
        <v>3482797.4619347071</v>
      </c>
      <c r="AM120" s="126">
        <f t="shared" ref="AM120:AS120" si="154">AL120</f>
        <v>3482797.4619347071</v>
      </c>
      <c r="AN120" s="126">
        <f t="shared" si="154"/>
        <v>3482797.4619347071</v>
      </c>
      <c r="AO120" s="126">
        <f t="shared" si="154"/>
        <v>3482797.4619347071</v>
      </c>
      <c r="AP120" s="126">
        <f>AO120*(1+取费表!$G$7)</f>
        <v>3569867.3984830743</v>
      </c>
      <c r="AQ120" s="126">
        <f t="shared" si="154"/>
        <v>3569867.3984830743</v>
      </c>
      <c r="AR120" s="126">
        <f t="shared" si="154"/>
        <v>3569867.3984830743</v>
      </c>
      <c r="AS120" s="126">
        <f t="shared" si="154"/>
        <v>3569867.3984830743</v>
      </c>
      <c r="AT120" s="126">
        <f>AS120*(1+取费表!$G$7)</f>
        <v>3659114.0834451509</v>
      </c>
      <c r="AU120" s="126">
        <f t="shared" ref="AU120:AW120" si="155">AT120</f>
        <v>3659114.0834451509</v>
      </c>
      <c r="AV120" s="126">
        <f t="shared" si="155"/>
        <v>3659114.0834451509</v>
      </c>
      <c r="AW120" s="126">
        <f t="shared" si="155"/>
        <v>3659114.0834451509</v>
      </c>
      <c r="AX120" s="126">
        <f>AW120*(1+取费表!$G$7)</f>
        <v>3750591.9355312795</v>
      </c>
      <c r="AY120" s="126">
        <f t="shared" ref="AY120:BA120" si="156">AX120</f>
        <v>3750591.9355312795</v>
      </c>
      <c r="AZ120" s="126">
        <f t="shared" si="156"/>
        <v>3750591.9355312795</v>
      </c>
      <c r="BA120" s="126">
        <f t="shared" si="156"/>
        <v>3750591.9355312795</v>
      </c>
      <c r="BB120" s="126">
        <f>BA120*(1+取费表!$H$7)</f>
        <v>3825603.7742419052</v>
      </c>
      <c r="BC120" s="126">
        <f t="shared" ref="BC120:BE120" si="157">BB120</f>
        <v>3825603.7742419052</v>
      </c>
      <c r="BD120" s="126">
        <f t="shared" si="157"/>
        <v>3825603.7742419052</v>
      </c>
      <c r="BE120" s="126">
        <f t="shared" si="157"/>
        <v>3825603.7742419052</v>
      </c>
      <c r="BF120" s="126">
        <f>BE120*(1+取费表!$H$7)</f>
        <v>3902115.8497267435</v>
      </c>
      <c r="BG120" s="126">
        <f t="shared" ref="BG120:BI120" si="158">BF120</f>
        <v>3902115.8497267435</v>
      </c>
      <c r="BH120" s="126">
        <f t="shared" si="158"/>
        <v>3902115.8497267435</v>
      </c>
      <c r="BI120" s="126">
        <f t="shared" si="158"/>
        <v>3902115.8497267435</v>
      </c>
      <c r="BJ120" s="126">
        <f>BI120*(1+取费表!$H$7)</f>
        <v>3980158.1667212783</v>
      </c>
      <c r="BK120" s="126">
        <f t="shared" ref="BK120:BM120" si="159">BJ120</f>
        <v>3980158.1667212783</v>
      </c>
      <c r="BL120" s="126">
        <f t="shared" si="159"/>
        <v>3980158.1667212783</v>
      </c>
      <c r="BM120" s="126">
        <f t="shared" si="159"/>
        <v>3980158.1667212783</v>
      </c>
      <c r="BN120" s="126">
        <f>BM120*(1+取费表!$H$7)</f>
        <v>4059761.3300557039</v>
      </c>
      <c r="BO120" s="126">
        <f t="shared" ref="BO120:BQ120" si="160">BN120</f>
        <v>4059761.3300557039</v>
      </c>
      <c r="BP120" s="126">
        <f t="shared" si="160"/>
        <v>4059761.3300557039</v>
      </c>
      <c r="BQ120" s="126">
        <f t="shared" si="160"/>
        <v>4059761.3300557039</v>
      </c>
      <c r="BR120" s="126">
        <f>BQ120*(1+取费表!$H$7)</f>
        <v>4140956.5566568179</v>
      </c>
      <c r="BS120" s="126">
        <f t="shared" ref="BS120:BU120" si="161">BR120</f>
        <v>4140956.5566568179</v>
      </c>
      <c r="BT120" s="126">
        <f t="shared" si="161"/>
        <v>4140956.5566568179</v>
      </c>
      <c r="BU120" s="126">
        <f t="shared" si="161"/>
        <v>4140956.5566568179</v>
      </c>
      <c r="BV120" s="126">
        <f>BU120*(1+取费表!$H$7)</f>
        <v>4223775.6877899542</v>
      </c>
      <c r="BW120" s="126">
        <f t="shared" ref="BW120:BY120" si="162">BV120</f>
        <v>4223775.6877899542</v>
      </c>
      <c r="BX120" s="126">
        <f t="shared" si="162"/>
        <v>4223775.6877899542</v>
      </c>
      <c r="BY120" s="126">
        <f t="shared" si="162"/>
        <v>4223775.6877899542</v>
      </c>
      <c r="BZ120" s="126">
        <f>BY120*(1+取费表!$H$7)</f>
        <v>4308251.2015457535</v>
      </c>
      <c r="CA120" s="126">
        <f t="shared" ref="CA120:CC120" si="163">BZ120</f>
        <v>4308251.2015457535</v>
      </c>
      <c r="CB120" s="126">
        <f t="shared" si="163"/>
        <v>4308251.2015457535</v>
      </c>
      <c r="CC120" s="126">
        <f t="shared" si="163"/>
        <v>4308251.2015457535</v>
      </c>
      <c r="CD120" s="126">
        <f>CC120*(1+取费表!$H$7)</f>
        <v>4394416.225576669</v>
      </c>
      <c r="CE120" s="126">
        <f t="shared" ref="CE120:CG120" si="164">CD120</f>
        <v>4394416.225576669</v>
      </c>
      <c r="CF120" s="126">
        <f t="shared" si="164"/>
        <v>4394416.225576669</v>
      </c>
      <c r="CG120" s="126">
        <f t="shared" si="164"/>
        <v>4394416.225576669</v>
      </c>
      <c r="CH120" s="126">
        <f>CG120*(1+取费表!$H$7)</f>
        <v>4482304.5500882026</v>
      </c>
      <c r="CI120" s="126">
        <f t="shared" ref="CI120:CK120" si="165">CH120</f>
        <v>4482304.5500882026</v>
      </c>
      <c r="CJ120" s="126">
        <f t="shared" si="165"/>
        <v>4482304.5500882026</v>
      </c>
      <c r="CK120" s="126">
        <f t="shared" si="165"/>
        <v>4482304.5500882026</v>
      </c>
      <c r="CL120" s="126">
        <f>CK120*(1+取费表!$H$7)</f>
        <v>4571950.6410899665</v>
      </c>
      <c r="CM120" s="126">
        <f t="shared" ref="CM120:CO120" si="166">CL120</f>
        <v>4571950.6410899665</v>
      </c>
      <c r="CN120" s="126">
        <f t="shared" si="166"/>
        <v>4571950.6410899665</v>
      </c>
      <c r="CO120" s="126">
        <f t="shared" si="166"/>
        <v>4571950.6410899665</v>
      </c>
      <c r="CP120" s="126">
        <f>CO120*(1+取费表!$H$7)</f>
        <v>4663389.6539117657</v>
      </c>
      <c r="CQ120" s="126">
        <f t="shared" ref="CQ120:CS120" si="167">CP120</f>
        <v>4663389.6539117657</v>
      </c>
      <c r="CR120" s="126">
        <f t="shared" si="167"/>
        <v>4663389.6539117657</v>
      </c>
      <c r="CS120" s="126">
        <f t="shared" si="167"/>
        <v>4663389.6539117657</v>
      </c>
      <c r="CT120" s="126">
        <f>CS120*(1+取费表!$H$7)</f>
        <v>4756657.446990001</v>
      </c>
      <c r="CU120" s="126">
        <f t="shared" ref="CU120:CW120" si="168">CT120</f>
        <v>4756657.446990001</v>
      </c>
      <c r="CV120" s="126">
        <f t="shared" si="168"/>
        <v>4756657.446990001</v>
      </c>
      <c r="CW120" s="126">
        <f t="shared" si="168"/>
        <v>4756657.446990001</v>
      </c>
      <c r="CX120" s="126">
        <f>CW120*(1+取费表!$H$7)</f>
        <v>4851790.5959298015</v>
      </c>
      <c r="CY120" s="126">
        <f t="shared" ref="CY120:DA120" si="169">CX120</f>
        <v>4851790.5959298015</v>
      </c>
      <c r="CZ120" s="126">
        <f t="shared" si="169"/>
        <v>4851790.5959298015</v>
      </c>
      <c r="DA120" s="126">
        <f t="shared" si="169"/>
        <v>4851790.5959298015</v>
      </c>
      <c r="DB120" s="126">
        <f>DA120*(1+取费表!$H$7)</f>
        <v>4948826.4078483973</v>
      </c>
      <c r="DC120" s="126">
        <f t="shared" ref="DC120:DE120" si="170">DB120</f>
        <v>4948826.4078483973</v>
      </c>
      <c r="DD120" s="126">
        <f t="shared" si="170"/>
        <v>4948826.4078483973</v>
      </c>
      <c r="DE120" s="126">
        <f t="shared" si="170"/>
        <v>4948826.4078483973</v>
      </c>
      <c r="DF120" s="126">
        <f>DE120*(1+取费表!$H$7)</f>
        <v>5047802.9360053651</v>
      </c>
      <c r="DG120" s="126">
        <f t="shared" ref="DG120:DI120" si="171">DF120</f>
        <v>5047802.9360053651</v>
      </c>
      <c r="DH120" s="126">
        <f t="shared" si="171"/>
        <v>5047802.9360053651</v>
      </c>
      <c r="DI120" s="126">
        <f t="shared" si="171"/>
        <v>5047802.9360053651</v>
      </c>
      <c r="DJ120" s="126">
        <f>DI120*(1+取费表!$H$7)</f>
        <v>5148758.9947254723</v>
      </c>
      <c r="DK120" s="126">
        <f t="shared" ref="DK120:DM120" si="172">DJ120</f>
        <v>5148758.9947254723</v>
      </c>
      <c r="DL120" s="126">
        <f t="shared" si="172"/>
        <v>5148758.9947254723</v>
      </c>
      <c r="DM120" s="126">
        <f t="shared" si="172"/>
        <v>5148758.9947254723</v>
      </c>
      <c r="DN120" s="126">
        <f>DM120*(1+取费表!$H$7)</f>
        <v>5251734.174619982</v>
      </c>
      <c r="DO120" s="126">
        <f t="shared" ref="DO120:DQ120" si="173">DN120</f>
        <v>5251734.174619982</v>
      </c>
      <c r="DP120" s="126">
        <f t="shared" si="173"/>
        <v>5251734.174619982</v>
      </c>
      <c r="DQ120" s="126">
        <f t="shared" si="173"/>
        <v>5251734.174619982</v>
      </c>
      <c r="DR120" s="126">
        <f>DQ120*(1+取费表!$H$7)</f>
        <v>5356768.8581123818</v>
      </c>
      <c r="DS120" s="126">
        <f t="shared" ref="DS120:DU120" si="174">DR120</f>
        <v>5356768.8581123818</v>
      </c>
      <c r="DT120" s="126">
        <f t="shared" si="174"/>
        <v>5356768.8581123818</v>
      </c>
      <c r="DU120" s="126">
        <f t="shared" si="174"/>
        <v>5356768.8581123818</v>
      </c>
      <c r="DV120" s="126">
        <f>DU120*(1+取费表!$H$7)</f>
        <v>5463904.2352746297</v>
      </c>
      <c r="DW120" s="126">
        <f t="shared" ref="DW120:DY120" si="175">DV120</f>
        <v>5463904.2352746297</v>
      </c>
      <c r="DX120" s="126">
        <f t="shared" si="175"/>
        <v>5463904.2352746297</v>
      </c>
      <c r="DY120" s="126">
        <f t="shared" si="175"/>
        <v>5463904.2352746297</v>
      </c>
      <c r="DZ120" s="126">
        <f>DY120*(1+取费表!$H$7)</f>
        <v>5573182.3199801221</v>
      </c>
      <c r="EA120" s="126">
        <f t="shared" ref="EA120:EC120" si="176">DZ120</f>
        <v>5573182.3199801221</v>
      </c>
      <c r="EB120" s="126">
        <f t="shared" si="176"/>
        <v>5573182.3199801221</v>
      </c>
      <c r="EC120" s="126">
        <f t="shared" si="176"/>
        <v>5573182.3199801221</v>
      </c>
      <c r="ED120" s="126">
        <f>EC120*(1+取费表!$H$7)</f>
        <v>5684645.9663797244</v>
      </c>
      <c r="EE120" s="124">
        <f t="shared" si="122"/>
        <v>521288205.0933935</v>
      </c>
    </row>
    <row r="121" spans="1:135" ht="12.75">
      <c r="A121" s="146">
        <v>5</v>
      </c>
      <c r="B121" s="146"/>
      <c r="C121" s="146" t="s">
        <v>286</v>
      </c>
      <c r="D121" s="126">
        <v>5</v>
      </c>
      <c r="E121" s="129">
        <f>E82+E83+E88</f>
        <v>2730.12</v>
      </c>
      <c r="F121" s="126"/>
      <c r="G121" s="126"/>
      <c r="H121" s="127"/>
      <c r="I121" s="126">
        <f>M121/3/E121/30</f>
        <v>4.5544925172194306</v>
      </c>
      <c r="J121" s="126"/>
      <c r="K121" s="126"/>
      <c r="L121" s="129">
        <f>L82+L83+L88</f>
        <v>805743</v>
      </c>
      <c r="M121" s="129">
        <f>M82+M83+M88</f>
        <v>1119088</v>
      </c>
      <c r="N121" s="129">
        <f t="shared" ref="N121:AC121" si="177">N82+N83+N88</f>
        <v>1119088</v>
      </c>
      <c r="O121" s="129">
        <f t="shared" si="177"/>
        <v>1136787</v>
      </c>
      <c r="P121" s="129">
        <f t="shared" si="177"/>
        <v>1136787</v>
      </c>
      <c r="Q121" s="129">
        <f t="shared" si="177"/>
        <v>1136787</v>
      </c>
      <c r="R121" s="129">
        <f t="shared" si="177"/>
        <v>1136787</v>
      </c>
      <c r="S121" s="129">
        <f t="shared" si="177"/>
        <v>1136787</v>
      </c>
      <c r="T121" s="129">
        <f t="shared" si="177"/>
        <v>1136787</v>
      </c>
      <c r="U121" s="129">
        <f t="shared" si="177"/>
        <v>1136787</v>
      </c>
      <c r="V121" s="129">
        <f t="shared" si="177"/>
        <v>1136787</v>
      </c>
      <c r="W121" s="129">
        <f t="shared" si="177"/>
        <v>1154486</v>
      </c>
      <c r="X121" s="129">
        <f t="shared" si="177"/>
        <v>1154486</v>
      </c>
      <c r="Y121" s="129">
        <f t="shared" si="177"/>
        <v>1154486</v>
      </c>
      <c r="Z121" s="129">
        <f t="shared" si="177"/>
        <v>1154486</v>
      </c>
      <c r="AA121" s="129">
        <f t="shared" si="177"/>
        <v>1154486</v>
      </c>
      <c r="AB121" s="129">
        <f t="shared" si="177"/>
        <v>1154486</v>
      </c>
      <c r="AC121" s="150">
        <f t="shared" si="177"/>
        <v>1154486</v>
      </c>
      <c r="AD121" s="126">
        <f>AC121*(1+取费表!$F$7)*取费表!F19</f>
        <v>1099301.5692</v>
      </c>
      <c r="AE121" s="126">
        <f>AD121</f>
        <v>1099301.5692</v>
      </c>
      <c r="AF121" s="126">
        <f t="shared" ref="AF121:AG121" si="178">AE121</f>
        <v>1099301.5692</v>
      </c>
      <c r="AG121" s="126">
        <f t="shared" si="178"/>
        <v>1099301.5692</v>
      </c>
      <c r="AH121" s="126">
        <f>AG121*(1+取费表!$G$7)</f>
        <v>1126784.10843</v>
      </c>
      <c r="AI121" s="126">
        <f t="shared" si="70"/>
        <v>1126784.10843</v>
      </c>
      <c r="AJ121" s="126">
        <f t="shared" ref="AJ121" si="179">AI121</f>
        <v>1126784.10843</v>
      </c>
      <c r="AK121" s="126">
        <f>AJ121</f>
        <v>1126784.10843</v>
      </c>
      <c r="AL121" s="126">
        <f>AK121*(1+取费表!$G$7)</f>
        <v>1154953.71114075</v>
      </c>
      <c r="AM121" s="126">
        <f t="shared" ref="AM121:AS121" si="180">AL121</f>
        <v>1154953.71114075</v>
      </c>
      <c r="AN121" s="126">
        <f t="shared" si="180"/>
        <v>1154953.71114075</v>
      </c>
      <c r="AO121" s="126">
        <f t="shared" si="180"/>
        <v>1154953.71114075</v>
      </c>
      <c r="AP121" s="126">
        <f>AO121*(1+取费表!$G$7)</f>
        <v>1183827.5539192685</v>
      </c>
      <c r="AQ121" s="126">
        <f t="shared" si="180"/>
        <v>1183827.5539192685</v>
      </c>
      <c r="AR121" s="126">
        <f t="shared" si="180"/>
        <v>1183827.5539192685</v>
      </c>
      <c r="AS121" s="126">
        <f t="shared" si="180"/>
        <v>1183827.5539192685</v>
      </c>
      <c r="AT121" s="126">
        <f>AS121*(1+取费表!$G$7)</f>
        <v>1213423.2427672502</v>
      </c>
      <c r="AU121" s="126">
        <f t="shared" ref="AU121:AW121" si="181">AT121</f>
        <v>1213423.2427672502</v>
      </c>
      <c r="AV121" s="126">
        <f t="shared" si="181"/>
        <v>1213423.2427672502</v>
      </c>
      <c r="AW121" s="126">
        <f t="shared" si="181"/>
        <v>1213423.2427672502</v>
      </c>
      <c r="AX121" s="126">
        <f>AW121*(1+取费表!$G$7)</f>
        <v>1243758.8238364314</v>
      </c>
      <c r="AY121" s="126">
        <f t="shared" ref="AY121:BA121" si="182">AX121</f>
        <v>1243758.8238364314</v>
      </c>
      <c r="AZ121" s="126">
        <f t="shared" si="182"/>
        <v>1243758.8238364314</v>
      </c>
      <c r="BA121" s="126">
        <f t="shared" si="182"/>
        <v>1243758.8238364314</v>
      </c>
      <c r="BB121" s="126">
        <f>BA121*(1+取费表!$H$7)</f>
        <v>1268634.00031316</v>
      </c>
      <c r="BC121" s="126">
        <f t="shared" ref="BC121:BE121" si="183">BB121</f>
        <v>1268634.00031316</v>
      </c>
      <c r="BD121" s="126">
        <f t="shared" si="183"/>
        <v>1268634.00031316</v>
      </c>
      <c r="BE121" s="126">
        <f t="shared" si="183"/>
        <v>1268634.00031316</v>
      </c>
      <c r="BF121" s="126">
        <f>BE121*(1+取费表!$H$7)</f>
        <v>1294006.6803194233</v>
      </c>
      <c r="BG121" s="126">
        <f t="shared" ref="BG121:BI121" si="184">BF121</f>
        <v>1294006.6803194233</v>
      </c>
      <c r="BH121" s="126">
        <f t="shared" si="184"/>
        <v>1294006.6803194233</v>
      </c>
      <c r="BI121" s="126">
        <f t="shared" si="184"/>
        <v>1294006.6803194233</v>
      </c>
      <c r="BJ121" s="126">
        <f>BI121*(1+取费表!$H$7)</f>
        <v>1319886.8139258118</v>
      </c>
      <c r="BK121" s="126">
        <f t="shared" ref="BK121:BM121" si="185">BJ121</f>
        <v>1319886.8139258118</v>
      </c>
      <c r="BL121" s="126">
        <f t="shared" si="185"/>
        <v>1319886.8139258118</v>
      </c>
      <c r="BM121" s="126">
        <f t="shared" si="185"/>
        <v>1319886.8139258118</v>
      </c>
      <c r="BN121" s="126">
        <f>BM121*(1+取费表!$H$7)</f>
        <v>1346284.550204328</v>
      </c>
      <c r="BO121" s="126">
        <f t="shared" ref="BO121:BQ121" si="186">BN121</f>
        <v>1346284.550204328</v>
      </c>
      <c r="BP121" s="126">
        <f t="shared" si="186"/>
        <v>1346284.550204328</v>
      </c>
      <c r="BQ121" s="126">
        <f t="shared" si="186"/>
        <v>1346284.550204328</v>
      </c>
      <c r="BR121" s="126">
        <f>BQ121*(1+取费表!$H$7)</f>
        <v>1373210.2412084145</v>
      </c>
      <c r="BS121" s="126">
        <f t="shared" ref="BS121:BU121" si="187">BR121</f>
        <v>1373210.2412084145</v>
      </c>
      <c r="BT121" s="126">
        <f t="shared" si="187"/>
        <v>1373210.2412084145</v>
      </c>
      <c r="BU121" s="126">
        <f t="shared" si="187"/>
        <v>1373210.2412084145</v>
      </c>
      <c r="BV121" s="126">
        <f>BU121*(1+取费表!$H$7)</f>
        <v>1400674.4460325828</v>
      </c>
      <c r="BW121" s="126">
        <f t="shared" ref="BW121:BY121" si="188">BV121</f>
        <v>1400674.4460325828</v>
      </c>
      <c r="BX121" s="126">
        <f t="shared" si="188"/>
        <v>1400674.4460325828</v>
      </c>
      <c r="BY121" s="126">
        <f t="shared" si="188"/>
        <v>1400674.4460325828</v>
      </c>
      <c r="BZ121" s="126">
        <f>BY121*(1+取费表!$H$7)</f>
        <v>1428687.9349532344</v>
      </c>
      <c r="CA121" s="126">
        <f t="shared" ref="CA121:CC121" si="189">BZ121</f>
        <v>1428687.9349532344</v>
      </c>
      <c r="CB121" s="126">
        <f t="shared" si="189"/>
        <v>1428687.9349532344</v>
      </c>
      <c r="CC121" s="126">
        <f t="shared" si="189"/>
        <v>1428687.9349532344</v>
      </c>
      <c r="CD121" s="126">
        <f>CC121*(1+取费表!$H$7)</f>
        <v>1457261.693652299</v>
      </c>
      <c r="CE121" s="126">
        <f t="shared" ref="CE121:CG121" si="190">CD121</f>
        <v>1457261.693652299</v>
      </c>
      <c r="CF121" s="126">
        <f t="shared" si="190"/>
        <v>1457261.693652299</v>
      </c>
      <c r="CG121" s="126">
        <f t="shared" si="190"/>
        <v>1457261.693652299</v>
      </c>
      <c r="CH121" s="126">
        <f>CG121*(1+取费表!$H$7)</f>
        <v>1486406.927525345</v>
      </c>
      <c r="CI121" s="126">
        <f t="shared" ref="CI121:CK121" si="191">CH121</f>
        <v>1486406.927525345</v>
      </c>
      <c r="CJ121" s="126">
        <f t="shared" si="191"/>
        <v>1486406.927525345</v>
      </c>
      <c r="CK121" s="126">
        <f t="shared" si="191"/>
        <v>1486406.927525345</v>
      </c>
      <c r="CL121" s="126">
        <f>CK121*(1+取费表!$H$7)</f>
        <v>1516135.0660758519</v>
      </c>
      <c r="CM121" s="126">
        <f t="shared" ref="CM121:CO121" si="192">CL121</f>
        <v>1516135.0660758519</v>
      </c>
      <c r="CN121" s="126">
        <f t="shared" si="192"/>
        <v>1516135.0660758519</v>
      </c>
      <c r="CO121" s="126">
        <f t="shared" si="192"/>
        <v>1516135.0660758519</v>
      </c>
      <c r="CP121" s="126">
        <f>CO121*(1+取费表!$H$7)</f>
        <v>1546457.767397369</v>
      </c>
      <c r="CQ121" s="126">
        <f t="shared" ref="CQ121:CS121" si="193">CP121</f>
        <v>1546457.767397369</v>
      </c>
      <c r="CR121" s="126">
        <f t="shared" si="193"/>
        <v>1546457.767397369</v>
      </c>
      <c r="CS121" s="126">
        <f t="shared" si="193"/>
        <v>1546457.767397369</v>
      </c>
      <c r="CT121" s="126">
        <f>CS121*(1+取费表!$H$7)</f>
        <v>1577386.9227453165</v>
      </c>
      <c r="CU121" s="126">
        <f t="shared" ref="CU121:CW121" si="194">CT121</f>
        <v>1577386.9227453165</v>
      </c>
      <c r="CV121" s="126">
        <f t="shared" si="194"/>
        <v>1577386.9227453165</v>
      </c>
      <c r="CW121" s="126">
        <f t="shared" si="194"/>
        <v>1577386.9227453165</v>
      </c>
      <c r="CX121" s="126">
        <f>CW121*(1+取费表!$H$7)</f>
        <v>1608934.6612002228</v>
      </c>
      <c r="CY121" s="126">
        <f t="shared" ref="CY121:DA121" si="195">CX121</f>
        <v>1608934.6612002228</v>
      </c>
      <c r="CZ121" s="126">
        <f t="shared" si="195"/>
        <v>1608934.6612002228</v>
      </c>
      <c r="DA121" s="126">
        <f t="shared" si="195"/>
        <v>1608934.6612002228</v>
      </c>
      <c r="DB121" s="126">
        <f>DA121*(1+取费表!$H$7)</f>
        <v>1641113.3544242273</v>
      </c>
      <c r="DC121" s="126">
        <f t="shared" ref="DC121:DE121" si="196">DB121</f>
        <v>1641113.3544242273</v>
      </c>
      <c r="DD121" s="126">
        <f t="shared" si="196"/>
        <v>1641113.3544242273</v>
      </c>
      <c r="DE121" s="126">
        <f t="shared" si="196"/>
        <v>1641113.3544242273</v>
      </c>
      <c r="DF121" s="126">
        <f>DE121*(1+取费表!$H$7)</f>
        <v>1673935.6215127117</v>
      </c>
      <c r="DG121" s="126">
        <f t="shared" ref="DG121:DI121" si="197">DF121</f>
        <v>1673935.6215127117</v>
      </c>
      <c r="DH121" s="126">
        <f t="shared" si="197"/>
        <v>1673935.6215127117</v>
      </c>
      <c r="DI121" s="126">
        <f t="shared" si="197"/>
        <v>1673935.6215127117</v>
      </c>
      <c r="DJ121" s="126">
        <f>DI121*(1+取费表!$H$7)</f>
        <v>1707414.3339429661</v>
      </c>
      <c r="DK121" s="126">
        <f t="shared" ref="DK121:DM121" si="198">DJ121</f>
        <v>1707414.3339429661</v>
      </c>
      <c r="DL121" s="126">
        <f t="shared" si="198"/>
        <v>1707414.3339429661</v>
      </c>
      <c r="DM121" s="126">
        <f t="shared" si="198"/>
        <v>1707414.3339429661</v>
      </c>
      <c r="DN121" s="126">
        <f>DM121*(1+取费表!$H$7)</f>
        <v>1741562.6206218253</v>
      </c>
      <c r="DO121" s="126">
        <f t="shared" ref="DO121:DQ121" si="199">DN121</f>
        <v>1741562.6206218253</v>
      </c>
      <c r="DP121" s="126">
        <f t="shared" si="199"/>
        <v>1741562.6206218253</v>
      </c>
      <c r="DQ121" s="126">
        <f t="shared" si="199"/>
        <v>1741562.6206218253</v>
      </c>
      <c r="DR121" s="126">
        <f>DQ121*(1+取费表!$H$7)</f>
        <v>1776393.8730342619</v>
      </c>
      <c r="DS121" s="126">
        <f t="shared" ref="DS121:DU121" si="200">DR121</f>
        <v>1776393.8730342619</v>
      </c>
      <c r="DT121" s="126">
        <f t="shared" si="200"/>
        <v>1776393.8730342619</v>
      </c>
      <c r="DU121" s="126">
        <f t="shared" si="200"/>
        <v>1776393.8730342619</v>
      </c>
      <c r="DV121" s="126">
        <f>DU121*(1+取费表!$H$7)</f>
        <v>1811921.7504949472</v>
      </c>
      <c r="DW121" s="126">
        <f t="shared" ref="DW121:DY121" si="201">DV121</f>
        <v>1811921.7504949472</v>
      </c>
      <c r="DX121" s="126">
        <f t="shared" si="201"/>
        <v>1811921.7504949472</v>
      </c>
      <c r="DY121" s="126">
        <f t="shared" si="201"/>
        <v>1811921.7504949472</v>
      </c>
      <c r="DZ121" s="126">
        <f>DY121*(1+取费表!$H$7)</f>
        <v>1848160.1855048463</v>
      </c>
      <c r="EA121" s="126">
        <f t="shared" ref="EA121:EC121" si="202">DZ121</f>
        <v>1848160.1855048463</v>
      </c>
      <c r="EB121" s="126">
        <f t="shared" si="202"/>
        <v>1848160.1855048463</v>
      </c>
      <c r="EC121" s="126">
        <f t="shared" si="202"/>
        <v>1848160.1855048463</v>
      </c>
      <c r="ED121" s="126">
        <f>EC121*(1+取费表!$H$7)</f>
        <v>1885123.3892149432</v>
      </c>
      <c r="EE121" s="124">
        <f t="shared" si="122"/>
        <v>173490814.20674649</v>
      </c>
    </row>
    <row r="122" spans="1:135" ht="12.75">
      <c r="A122" s="146">
        <v>6</v>
      </c>
      <c r="B122" s="146"/>
      <c r="C122" s="146" t="s">
        <v>592</v>
      </c>
      <c r="D122" s="126">
        <v>6</v>
      </c>
      <c r="E122" s="129">
        <f>E48</f>
        <v>1650.1106</v>
      </c>
      <c r="F122" s="126"/>
      <c r="G122" s="126"/>
      <c r="H122" s="127"/>
      <c r="I122" s="126">
        <f t="shared" si="94"/>
        <v>4.5625022548993588</v>
      </c>
      <c r="J122" s="126"/>
      <c r="K122" s="126"/>
      <c r="L122" s="126">
        <f>L48</f>
        <v>481172</v>
      </c>
      <c r="M122" s="126">
        <f t="shared" ref="M122:AG122" si="203">M48</f>
        <v>677577</v>
      </c>
      <c r="N122" s="126">
        <f t="shared" si="203"/>
        <v>677577</v>
      </c>
      <c r="O122" s="126">
        <f t="shared" si="203"/>
        <v>677577</v>
      </c>
      <c r="P122" s="126">
        <f t="shared" si="203"/>
        <v>677577</v>
      </c>
      <c r="Q122" s="126">
        <f t="shared" si="203"/>
        <v>677577</v>
      </c>
      <c r="R122" s="126">
        <f t="shared" si="203"/>
        <v>677577</v>
      </c>
      <c r="S122" s="126">
        <f t="shared" si="203"/>
        <v>717798</v>
      </c>
      <c r="T122" s="126">
        <f t="shared" si="203"/>
        <v>717798</v>
      </c>
      <c r="U122" s="126">
        <f t="shared" si="203"/>
        <v>717798</v>
      </c>
      <c r="V122" s="126">
        <f t="shared" si="203"/>
        <v>717798</v>
      </c>
      <c r="W122" s="126">
        <f t="shared" si="203"/>
        <v>717798</v>
      </c>
      <c r="X122" s="126">
        <f t="shared" si="203"/>
        <v>717798</v>
      </c>
      <c r="Y122" s="126">
        <f t="shared" si="203"/>
        <v>717798</v>
      </c>
      <c r="Z122" s="126">
        <f t="shared" si="203"/>
        <v>717798</v>
      </c>
      <c r="AA122" s="126">
        <f t="shared" si="203"/>
        <v>717798</v>
      </c>
      <c r="AB122" s="126">
        <f t="shared" si="203"/>
        <v>717798</v>
      </c>
      <c r="AC122" s="126">
        <f t="shared" si="203"/>
        <v>717798</v>
      </c>
      <c r="AD122" s="126">
        <f t="shared" si="203"/>
        <v>717798</v>
      </c>
      <c r="AE122" s="126">
        <f t="shared" si="203"/>
        <v>717798</v>
      </c>
      <c r="AF122" s="126">
        <f t="shared" si="203"/>
        <v>717798</v>
      </c>
      <c r="AG122" s="147">
        <f t="shared" si="203"/>
        <v>717798</v>
      </c>
      <c r="AH122" s="126">
        <f>AG122*(1+取费表!$G$7)*取费表!G19</f>
        <v>676883.51399999997</v>
      </c>
      <c r="AI122" s="126">
        <f t="shared" si="70"/>
        <v>676883.51399999997</v>
      </c>
      <c r="AJ122" s="126">
        <f t="shared" ref="AJ122" si="204">AI122</f>
        <v>676883.51399999997</v>
      </c>
      <c r="AK122" s="126">
        <f>AJ122</f>
        <v>676883.51399999997</v>
      </c>
      <c r="AL122" s="126">
        <f>AK122*(1+取费表!$G$7)</f>
        <v>693805.60184999986</v>
      </c>
      <c r="AM122" s="126">
        <f t="shared" ref="AM122:BA124" si="205">AL122</f>
        <v>693805.60184999986</v>
      </c>
      <c r="AN122" s="126">
        <f t="shared" si="205"/>
        <v>693805.60184999986</v>
      </c>
      <c r="AO122" s="126">
        <f>AN122</f>
        <v>693805.60184999986</v>
      </c>
      <c r="AP122" s="126">
        <f>AO122*(1+取费表!$G$7)</f>
        <v>711150.74189624982</v>
      </c>
      <c r="AQ122" s="126">
        <f t="shared" si="205"/>
        <v>711150.74189624982</v>
      </c>
      <c r="AR122" s="126">
        <f t="shared" si="205"/>
        <v>711150.74189624982</v>
      </c>
      <c r="AS122" s="126">
        <f t="shared" si="205"/>
        <v>711150.74189624982</v>
      </c>
      <c r="AT122" s="126">
        <f>AS122*(1+取费表!$G$7)</f>
        <v>728929.51044365601</v>
      </c>
      <c r="AU122" s="126">
        <f t="shared" ref="AU122:AW122" si="206">AT122</f>
        <v>728929.51044365601</v>
      </c>
      <c r="AV122" s="126">
        <f t="shared" si="206"/>
        <v>728929.51044365601</v>
      </c>
      <c r="AW122" s="126">
        <f t="shared" si="206"/>
        <v>728929.51044365601</v>
      </c>
      <c r="AX122" s="126">
        <f>AW122*(1+取费表!$G$7)</f>
        <v>747152.74820474733</v>
      </c>
      <c r="AY122" s="126">
        <f t="shared" ref="AY122:BA122" si="207">AX122</f>
        <v>747152.74820474733</v>
      </c>
      <c r="AZ122" s="126">
        <f t="shared" si="207"/>
        <v>747152.74820474733</v>
      </c>
      <c r="BA122" s="126">
        <f t="shared" si="207"/>
        <v>747152.74820474733</v>
      </c>
      <c r="BB122" s="126">
        <f>BA122*(1+取费表!$H$7)</f>
        <v>762095.80316884234</v>
      </c>
      <c r="BC122" s="126">
        <f t="shared" ref="BC122:BE122" si="208">BB122</f>
        <v>762095.80316884234</v>
      </c>
      <c r="BD122" s="126">
        <f t="shared" si="208"/>
        <v>762095.80316884234</v>
      </c>
      <c r="BE122" s="126">
        <f t="shared" si="208"/>
        <v>762095.80316884234</v>
      </c>
      <c r="BF122" s="126">
        <f>BE122*(1+取费表!$H$7)</f>
        <v>777337.71923221915</v>
      </c>
      <c r="BG122" s="126">
        <f t="shared" ref="BG122:BI122" si="209">BF122</f>
        <v>777337.71923221915</v>
      </c>
      <c r="BH122" s="126">
        <f t="shared" si="209"/>
        <v>777337.71923221915</v>
      </c>
      <c r="BI122" s="126">
        <f t="shared" si="209"/>
        <v>777337.71923221915</v>
      </c>
      <c r="BJ122" s="126">
        <f>BI122*(1+取费表!$H$7)</f>
        <v>792884.4736168636</v>
      </c>
      <c r="BK122" s="126">
        <f t="shared" ref="BK122:BM122" si="210">BJ122</f>
        <v>792884.4736168636</v>
      </c>
      <c r="BL122" s="126">
        <f t="shared" si="210"/>
        <v>792884.4736168636</v>
      </c>
      <c r="BM122" s="126">
        <f t="shared" si="210"/>
        <v>792884.4736168636</v>
      </c>
      <c r="BN122" s="126">
        <f>BM122*(1+取费表!$H$7)</f>
        <v>808742.16308920085</v>
      </c>
      <c r="BO122" s="126">
        <f t="shared" ref="BO122:BQ122" si="211">BN122</f>
        <v>808742.16308920085</v>
      </c>
      <c r="BP122" s="126">
        <f t="shared" si="211"/>
        <v>808742.16308920085</v>
      </c>
      <c r="BQ122" s="126">
        <f t="shared" si="211"/>
        <v>808742.16308920085</v>
      </c>
      <c r="BR122" s="126">
        <f>BQ122*(1+取费表!$H$7)</f>
        <v>824917.00635098491</v>
      </c>
      <c r="BS122" s="126">
        <f t="shared" ref="BS122:BU122" si="212">BR122</f>
        <v>824917.00635098491</v>
      </c>
      <c r="BT122" s="126">
        <f t="shared" si="212"/>
        <v>824917.00635098491</v>
      </c>
      <c r="BU122" s="126">
        <f t="shared" si="212"/>
        <v>824917.00635098491</v>
      </c>
      <c r="BV122" s="126">
        <f>BU122*(1+取费表!$H$7)</f>
        <v>841415.34647800459</v>
      </c>
      <c r="BW122" s="126">
        <f t="shared" ref="BW122:BY122" si="213">BV122</f>
        <v>841415.34647800459</v>
      </c>
      <c r="BX122" s="126">
        <f t="shared" si="213"/>
        <v>841415.34647800459</v>
      </c>
      <c r="BY122" s="126">
        <f t="shared" si="213"/>
        <v>841415.34647800459</v>
      </c>
      <c r="BZ122" s="126">
        <f>BY122*(1+取费表!$H$7)</f>
        <v>858243.65340756474</v>
      </c>
      <c r="CA122" s="126">
        <f t="shared" ref="CA122:CC122" si="214">BZ122</f>
        <v>858243.65340756474</v>
      </c>
      <c r="CB122" s="126">
        <f t="shared" si="214"/>
        <v>858243.65340756474</v>
      </c>
      <c r="CC122" s="126">
        <f t="shared" si="214"/>
        <v>858243.65340756474</v>
      </c>
      <c r="CD122" s="126">
        <f>CC122*(1+取费表!$H$7)</f>
        <v>875408.52647571603</v>
      </c>
      <c r="CE122" s="126">
        <f t="shared" ref="CE122:CG122" si="215">CD122</f>
        <v>875408.52647571603</v>
      </c>
      <c r="CF122" s="126">
        <f t="shared" si="215"/>
        <v>875408.52647571603</v>
      </c>
      <c r="CG122" s="126">
        <f t="shared" si="215"/>
        <v>875408.52647571603</v>
      </c>
      <c r="CH122" s="126">
        <f>CG122*(1+取费表!$H$7)</f>
        <v>892916.69700523035</v>
      </c>
      <c r="CI122" s="126">
        <f t="shared" ref="CI122:CK122" si="216">CH122</f>
        <v>892916.69700523035</v>
      </c>
      <c r="CJ122" s="126">
        <f t="shared" si="216"/>
        <v>892916.69700523035</v>
      </c>
      <c r="CK122" s="126">
        <f t="shared" si="216"/>
        <v>892916.69700523035</v>
      </c>
      <c r="CL122" s="126">
        <f>CK122*(1+取费表!$H$7)</f>
        <v>910775.03094533493</v>
      </c>
      <c r="CM122" s="126">
        <f t="shared" ref="CM122:CO122" si="217">CL122</f>
        <v>910775.03094533493</v>
      </c>
      <c r="CN122" s="126">
        <f t="shared" si="217"/>
        <v>910775.03094533493</v>
      </c>
      <c r="CO122" s="126">
        <f t="shared" si="217"/>
        <v>910775.03094533493</v>
      </c>
      <c r="CP122" s="126">
        <f>CO122*(1+取费表!$H$7)</f>
        <v>928990.53156424162</v>
      </c>
      <c r="CQ122" s="126">
        <f t="shared" ref="CQ122:CS122" si="218">CP122</f>
        <v>928990.53156424162</v>
      </c>
      <c r="CR122" s="126">
        <f t="shared" si="218"/>
        <v>928990.53156424162</v>
      </c>
      <c r="CS122" s="126">
        <f t="shared" si="218"/>
        <v>928990.53156424162</v>
      </c>
      <c r="CT122" s="126">
        <f>CS122*(1+取费表!$H$7)</f>
        <v>947570.34219552646</v>
      </c>
      <c r="CU122" s="126">
        <f t="shared" ref="CU122:CW122" si="219">CT122</f>
        <v>947570.34219552646</v>
      </c>
      <c r="CV122" s="126">
        <f t="shared" si="219"/>
        <v>947570.34219552646</v>
      </c>
      <c r="CW122" s="126">
        <f t="shared" si="219"/>
        <v>947570.34219552646</v>
      </c>
      <c r="CX122" s="126">
        <f>CW122*(1+取费表!$H$7)</f>
        <v>966521.74903943704</v>
      </c>
      <c r="CY122" s="126">
        <f t="shared" ref="CY122:DA122" si="220">CX122</f>
        <v>966521.74903943704</v>
      </c>
      <c r="CZ122" s="126">
        <f t="shared" si="220"/>
        <v>966521.74903943704</v>
      </c>
      <c r="DA122" s="126">
        <f t="shared" si="220"/>
        <v>966521.74903943704</v>
      </c>
      <c r="DB122" s="126">
        <f>DA122*(1+取费表!$H$7)</f>
        <v>985852.18402022577</v>
      </c>
      <c r="DC122" s="126">
        <f t="shared" ref="DC122:DE122" si="221">DB122</f>
        <v>985852.18402022577</v>
      </c>
      <c r="DD122" s="126">
        <f t="shared" si="221"/>
        <v>985852.18402022577</v>
      </c>
      <c r="DE122" s="126">
        <f t="shared" si="221"/>
        <v>985852.18402022577</v>
      </c>
      <c r="DF122" s="126">
        <f>DE122*(1+取费表!$H$7)</f>
        <v>1005569.2277006303</v>
      </c>
      <c r="DG122" s="126">
        <f t="shared" ref="DG122:DI122" si="222">DF122</f>
        <v>1005569.2277006303</v>
      </c>
      <c r="DH122" s="126">
        <f t="shared" si="222"/>
        <v>1005569.2277006303</v>
      </c>
      <c r="DI122" s="126">
        <f t="shared" si="222"/>
        <v>1005569.2277006303</v>
      </c>
      <c r="DJ122" s="126">
        <f>DI122*(1+取费表!$H$7)</f>
        <v>1025680.612254643</v>
      </c>
      <c r="DK122" s="126">
        <f t="shared" ref="DK122:DM122" si="223">DJ122</f>
        <v>1025680.612254643</v>
      </c>
      <c r="DL122" s="126">
        <f t="shared" si="223"/>
        <v>1025680.612254643</v>
      </c>
      <c r="DM122" s="126">
        <f t="shared" si="223"/>
        <v>1025680.612254643</v>
      </c>
      <c r="DN122" s="126">
        <f>DM122*(1+取费表!$H$7)</f>
        <v>1046194.2244997359</v>
      </c>
      <c r="DO122" s="126">
        <f t="shared" ref="DO122:DQ122" si="224">DN122</f>
        <v>1046194.2244997359</v>
      </c>
      <c r="DP122" s="126">
        <f t="shared" si="224"/>
        <v>1046194.2244997359</v>
      </c>
      <c r="DQ122" s="126">
        <f t="shared" si="224"/>
        <v>1046194.2244997359</v>
      </c>
      <c r="DR122" s="126">
        <f>DQ122*(1+取费表!$H$7)</f>
        <v>1067118.1089897307</v>
      </c>
      <c r="DS122" s="126">
        <f t="shared" ref="DS122:DU122" si="225">DR122</f>
        <v>1067118.1089897307</v>
      </c>
      <c r="DT122" s="126">
        <f t="shared" si="225"/>
        <v>1067118.1089897307</v>
      </c>
      <c r="DU122" s="126">
        <f t="shared" si="225"/>
        <v>1067118.1089897307</v>
      </c>
      <c r="DV122" s="126">
        <f>DU122*(1+取费表!$H$7)</f>
        <v>1088460.4711695253</v>
      </c>
      <c r="DW122" s="126">
        <f t="shared" ref="DW122:DY122" si="226">DV122</f>
        <v>1088460.4711695253</v>
      </c>
      <c r="DX122" s="126">
        <f t="shared" si="226"/>
        <v>1088460.4711695253</v>
      </c>
      <c r="DY122" s="126">
        <f t="shared" si="226"/>
        <v>1088460.4711695253</v>
      </c>
      <c r="DZ122" s="126">
        <f>DY122*(1+取费表!$H$7)</f>
        <v>1110229.6805929157</v>
      </c>
      <c r="EA122" s="126">
        <f t="shared" ref="EA122:EC122" si="227">DZ122</f>
        <v>1110229.6805929157</v>
      </c>
      <c r="EB122" s="126">
        <f t="shared" si="227"/>
        <v>1110229.6805929157</v>
      </c>
      <c r="EC122" s="126">
        <f t="shared" si="227"/>
        <v>1110229.6805929157</v>
      </c>
      <c r="ED122" s="126">
        <f>EC122*(1+取费表!$H$7)</f>
        <v>1132434.2742047741</v>
      </c>
      <c r="EE122" s="124">
        <f t="shared" si="122"/>
        <v>104745420.94696972</v>
      </c>
    </row>
    <row r="123" spans="1:135" ht="12.75">
      <c r="A123" s="144">
        <v>7</v>
      </c>
      <c r="B123" s="146"/>
      <c r="C123" s="146" t="s">
        <v>593</v>
      </c>
      <c r="D123" s="126">
        <v>8</v>
      </c>
      <c r="E123" s="129">
        <f>E3</f>
        <v>205.49199999999999</v>
      </c>
      <c r="F123" s="126"/>
      <c r="G123" s="126"/>
      <c r="H123" s="127"/>
      <c r="I123" s="126">
        <f t="shared" si="94"/>
        <v>4.49998594159924</v>
      </c>
      <c r="J123" s="126"/>
      <c r="K123" s="126"/>
      <c r="L123" s="126">
        <f>L3</f>
        <v>59921</v>
      </c>
      <c r="M123" s="126">
        <f t="shared" ref="M123:AN123" si="228">M3</f>
        <v>83224</v>
      </c>
      <c r="N123" s="126">
        <f t="shared" si="228"/>
        <v>83224</v>
      </c>
      <c r="O123" s="126">
        <f t="shared" si="228"/>
        <v>87385</v>
      </c>
      <c r="P123" s="126">
        <f t="shared" si="228"/>
        <v>87385</v>
      </c>
      <c r="Q123" s="126">
        <f t="shared" si="228"/>
        <v>87385</v>
      </c>
      <c r="R123" s="126">
        <f t="shared" si="228"/>
        <v>87385</v>
      </c>
      <c r="S123" s="126">
        <f t="shared" si="228"/>
        <v>87385</v>
      </c>
      <c r="T123" s="126">
        <f t="shared" si="228"/>
        <v>87385</v>
      </c>
      <c r="U123" s="126">
        <f t="shared" si="228"/>
        <v>87385</v>
      </c>
      <c r="V123" s="126">
        <f t="shared" si="228"/>
        <v>87385</v>
      </c>
      <c r="W123" s="126">
        <f t="shared" si="228"/>
        <v>91756</v>
      </c>
      <c r="X123" s="126">
        <f t="shared" si="228"/>
        <v>91756</v>
      </c>
      <c r="Y123" s="126">
        <f t="shared" si="228"/>
        <v>91756</v>
      </c>
      <c r="Z123" s="126">
        <f t="shared" si="228"/>
        <v>91756</v>
      </c>
      <c r="AA123" s="126">
        <f t="shared" si="228"/>
        <v>91756</v>
      </c>
      <c r="AB123" s="126">
        <f t="shared" si="228"/>
        <v>91756</v>
      </c>
      <c r="AC123" s="126">
        <f t="shared" si="228"/>
        <v>91756</v>
      </c>
      <c r="AD123" s="126">
        <f t="shared" si="228"/>
        <v>91756</v>
      </c>
      <c r="AE123" s="126">
        <f t="shared" si="228"/>
        <v>96343</v>
      </c>
      <c r="AF123" s="126">
        <f t="shared" si="228"/>
        <v>96343</v>
      </c>
      <c r="AG123" s="126">
        <f t="shared" si="228"/>
        <v>96343</v>
      </c>
      <c r="AH123" s="126">
        <f t="shared" si="228"/>
        <v>96343</v>
      </c>
      <c r="AI123" s="126">
        <f t="shared" si="228"/>
        <v>96343</v>
      </c>
      <c r="AJ123" s="126">
        <f t="shared" si="228"/>
        <v>96343</v>
      </c>
      <c r="AK123" s="126">
        <f t="shared" si="228"/>
        <v>96343</v>
      </c>
      <c r="AL123" s="126">
        <f>AL3</f>
        <v>96343</v>
      </c>
      <c r="AM123" s="126">
        <f t="shared" si="228"/>
        <v>96343</v>
      </c>
      <c r="AN123" s="126">
        <f t="shared" si="228"/>
        <v>96343</v>
      </c>
      <c r="AO123" s="147">
        <f>AO3</f>
        <v>96343</v>
      </c>
      <c r="AP123" s="126">
        <f>AO123*(1+取费表!G7)*取费表!G19</f>
        <v>90851.449000000008</v>
      </c>
      <c r="AQ123" s="126">
        <f t="shared" si="205"/>
        <v>90851.449000000008</v>
      </c>
      <c r="AR123" s="126">
        <f t="shared" si="205"/>
        <v>90851.449000000008</v>
      </c>
      <c r="AS123" s="126">
        <f t="shared" si="205"/>
        <v>90851.449000000008</v>
      </c>
      <c r="AT123" s="126">
        <f>AS123*(1+取费表!G7)</f>
        <v>93122.735224999997</v>
      </c>
      <c r="AU123" s="126">
        <f t="shared" si="205"/>
        <v>93122.735224999997</v>
      </c>
      <c r="AV123" s="126">
        <f t="shared" si="205"/>
        <v>93122.735224999997</v>
      </c>
      <c r="AW123" s="126">
        <f t="shared" si="205"/>
        <v>93122.735224999997</v>
      </c>
      <c r="AX123" s="126">
        <f>AW123*(1+取费表!K7)</f>
        <v>93122.735224999997</v>
      </c>
      <c r="AY123" s="126">
        <f t="shared" si="205"/>
        <v>93122.735224999997</v>
      </c>
      <c r="AZ123" s="126">
        <f t="shared" si="205"/>
        <v>93122.735224999997</v>
      </c>
      <c r="BA123" s="126">
        <f t="shared" si="205"/>
        <v>93122.735224999997</v>
      </c>
      <c r="BB123" s="126">
        <f>BA123*(1+取费表!$H$7)</f>
        <v>94985.189929500004</v>
      </c>
      <c r="BC123" s="126">
        <f t="shared" ref="BC123:BE124" si="229">BB123</f>
        <v>94985.189929500004</v>
      </c>
      <c r="BD123" s="126">
        <f t="shared" si="229"/>
        <v>94985.189929500004</v>
      </c>
      <c r="BE123" s="126">
        <f t="shared" si="229"/>
        <v>94985.189929500004</v>
      </c>
      <c r="BF123" s="126">
        <f>BE123*(1+取费表!$H$7)</f>
        <v>96884.893728089999</v>
      </c>
      <c r="BG123" s="126">
        <f t="shared" ref="BG123:CO124" si="230">BF123</f>
        <v>96884.893728089999</v>
      </c>
      <c r="BH123" s="126">
        <f t="shared" si="230"/>
        <v>96884.893728089999</v>
      </c>
      <c r="BI123" s="126">
        <f t="shared" si="230"/>
        <v>96884.893728089999</v>
      </c>
      <c r="BJ123" s="126">
        <f>BI123*(1+取费表!$H$7)</f>
        <v>98822.591602651795</v>
      </c>
      <c r="BK123" s="126">
        <f t="shared" ref="BK123:BM123" si="231">BJ123</f>
        <v>98822.591602651795</v>
      </c>
      <c r="BL123" s="126">
        <f t="shared" si="231"/>
        <v>98822.591602651795</v>
      </c>
      <c r="BM123" s="126">
        <f t="shared" si="231"/>
        <v>98822.591602651795</v>
      </c>
      <c r="BN123" s="126">
        <f>BM123*(1+取费表!$H$7)</f>
        <v>100799.04343470483</v>
      </c>
      <c r="BO123" s="126">
        <f t="shared" ref="BO123:BQ123" si="232">BN123</f>
        <v>100799.04343470483</v>
      </c>
      <c r="BP123" s="126">
        <f t="shared" si="232"/>
        <v>100799.04343470483</v>
      </c>
      <c r="BQ123" s="126">
        <f t="shared" si="232"/>
        <v>100799.04343470483</v>
      </c>
      <c r="BR123" s="126">
        <f>BQ123*(1+取费表!$H$7)</f>
        <v>102815.02430339892</v>
      </c>
      <c r="BS123" s="126">
        <f t="shared" ref="BS123:BU123" si="233">BR123</f>
        <v>102815.02430339892</v>
      </c>
      <c r="BT123" s="126">
        <f t="shared" si="233"/>
        <v>102815.02430339892</v>
      </c>
      <c r="BU123" s="126">
        <f t="shared" si="233"/>
        <v>102815.02430339892</v>
      </c>
      <c r="BV123" s="126">
        <f>BU123*(1+取费表!$H$7)</f>
        <v>104871.3247894669</v>
      </c>
      <c r="BW123" s="126">
        <f t="shared" ref="BW123:BY123" si="234">BV123</f>
        <v>104871.3247894669</v>
      </c>
      <c r="BX123" s="126">
        <f t="shared" si="234"/>
        <v>104871.3247894669</v>
      </c>
      <c r="BY123" s="126">
        <f t="shared" si="234"/>
        <v>104871.3247894669</v>
      </c>
      <c r="BZ123" s="126">
        <f>BY123*(1+取费表!$H$7)</f>
        <v>106968.75128525625</v>
      </c>
      <c r="CA123" s="126">
        <f t="shared" ref="CA123:CC123" si="235">BZ123</f>
        <v>106968.75128525625</v>
      </c>
      <c r="CB123" s="126">
        <f t="shared" si="235"/>
        <v>106968.75128525625</v>
      </c>
      <c r="CC123" s="126">
        <f t="shared" si="235"/>
        <v>106968.75128525625</v>
      </c>
      <c r="CD123" s="126">
        <f>CC123*(1+取费表!$H$7)</f>
        <v>109108.12631096138</v>
      </c>
      <c r="CE123" s="126">
        <f t="shared" ref="CE123:CG123" si="236">CD123</f>
        <v>109108.12631096138</v>
      </c>
      <c r="CF123" s="126">
        <f t="shared" si="236"/>
        <v>109108.12631096138</v>
      </c>
      <c r="CG123" s="126">
        <f t="shared" si="236"/>
        <v>109108.12631096138</v>
      </c>
      <c r="CH123" s="126">
        <f>CG123*(1+取费表!$H$7)</f>
        <v>111290.2888371806</v>
      </c>
      <c r="CI123" s="126">
        <f t="shared" ref="CI123:CK123" si="237">CH123</f>
        <v>111290.2888371806</v>
      </c>
      <c r="CJ123" s="126">
        <f t="shared" si="237"/>
        <v>111290.2888371806</v>
      </c>
      <c r="CK123" s="126">
        <f t="shared" si="237"/>
        <v>111290.2888371806</v>
      </c>
      <c r="CL123" s="126">
        <f>CK123*(1+取费表!$H$7)</f>
        <v>113516.09461392422</v>
      </c>
      <c r="CM123" s="126">
        <f t="shared" ref="CM123:CO123" si="238">CL123</f>
        <v>113516.09461392422</v>
      </c>
      <c r="CN123" s="126">
        <f t="shared" si="238"/>
        <v>113516.09461392422</v>
      </c>
      <c r="CO123" s="126">
        <f t="shared" si="238"/>
        <v>113516.09461392422</v>
      </c>
      <c r="CP123" s="126">
        <f>CO123*(1+取费表!$H$7)</f>
        <v>115786.4165062027</v>
      </c>
      <c r="CQ123" s="126">
        <f t="shared" ref="CQ123:CS123" si="239">CP123</f>
        <v>115786.4165062027</v>
      </c>
      <c r="CR123" s="126">
        <f t="shared" si="239"/>
        <v>115786.4165062027</v>
      </c>
      <c r="CS123" s="126">
        <f t="shared" si="239"/>
        <v>115786.4165062027</v>
      </c>
      <c r="CT123" s="126">
        <f>CS123*(1+取费表!$H$7)</f>
        <v>118102.14483632676</v>
      </c>
      <c r="CU123" s="126">
        <f t="shared" ref="CU123:CW123" si="240">CT123</f>
        <v>118102.14483632676</v>
      </c>
      <c r="CV123" s="126">
        <f t="shared" si="240"/>
        <v>118102.14483632676</v>
      </c>
      <c r="CW123" s="126">
        <f t="shared" si="240"/>
        <v>118102.14483632676</v>
      </c>
      <c r="CX123" s="126">
        <f>CW123*(1+取费表!$H$7)</f>
        <v>120464.18773305329</v>
      </c>
      <c r="CY123" s="126">
        <f t="shared" ref="CY123:DA123" si="241">CX123</f>
        <v>120464.18773305329</v>
      </c>
      <c r="CZ123" s="126">
        <f t="shared" si="241"/>
        <v>120464.18773305329</v>
      </c>
      <c r="DA123" s="126">
        <f t="shared" si="241"/>
        <v>120464.18773305329</v>
      </c>
      <c r="DB123" s="126">
        <f>DA123*(1+取费表!$H$7)</f>
        <v>122873.47148771436</v>
      </c>
      <c r="DC123" s="126">
        <f t="shared" ref="DC123:DE123" si="242">DB123</f>
        <v>122873.47148771436</v>
      </c>
      <c r="DD123" s="126">
        <f t="shared" si="242"/>
        <v>122873.47148771436</v>
      </c>
      <c r="DE123" s="126">
        <f t="shared" si="242"/>
        <v>122873.47148771436</v>
      </c>
      <c r="DF123" s="126">
        <f>DE123*(1+取费表!$H$7)</f>
        <v>125330.94091746864</v>
      </c>
      <c r="DG123" s="126">
        <f t="shared" ref="DG123:DI123" si="243">DF123</f>
        <v>125330.94091746864</v>
      </c>
      <c r="DH123" s="126">
        <f t="shared" si="243"/>
        <v>125330.94091746864</v>
      </c>
      <c r="DI123" s="126">
        <f t="shared" si="243"/>
        <v>125330.94091746864</v>
      </c>
      <c r="DJ123" s="126">
        <f>DI123*(1+取费表!$H$7)</f>
        <v>127837.55973581802</v>
      </c>
      <c r="DK123" s="126">
        <f t="shared" ref="DK123:DM123" si="244">DJ123</f>
        <v>127837.55973581802</v>
      </c>
      <c r="DL123" s="126">
        <f t="shared" si="244"/>
        <v>127837.55973581802</v>
      </c>
      <c r="DM123" s="126">
        <f t="shared" si="244"/>
        <v>127837.55973581802</v>
      </c>
      <c r="DN123" s="126">
        <f>DM123*(1+取费表!$H$7)</f>
        <v>130394.31093053438</v>
      </c>
      <c r="DO123" s="126">
        <f t="shared" ref="DO123:DQ123" si="245">DN123</f>
        <v>130394.31093053438</v>
      </c>
      <c r="DP123" s="126">
        <f t="shared" si="245"/>
        <v>130394.31093053438</v>
      </c>
      <c r="DQ123" s="126">
        <f t="shared" si="245"/>
        <v>130394.31093053438</v>
      </c>
      <c r="DR123" s="126">
        <f>DQ123*(1+取费表!$H$7)</f>
        <v>133002.19714914507</v>
      </c>
      <c r="DS123" s="126">
        <f t="shared" ref="DS123:DU123" si="246">DR123</f>
        <v>133002.19714914507</v>
      </c>
      <c r="DT123" s="126">
        <f t="shared" si="246"/>
        <v>133002.19714914507</v>
      </c>
      <c r="DU123" s="126">
        <f t="shared" si="246"/>
        <v>133002.19714914507</v>
      </c>
      <c r="DV123" s="126">
        <f>DU123*(1+取费表!$H$7)</f>
        <v>135662.24109212798</v>
      </c>
      <c r="DW123" s="126">
        <f t="shared" ref="DW123:DY123" si="247">DV123</f>
        <v>135662.24109212798</v>
      </c>
      <c r="DX123" s="126">
        <f t="shared" si="247"/>
        <v>135662.24109212798</v>
      </c>
      <c r="DY123" s="126">
        <f t="shared" si="247"/>
        <v>135662.24109212798</v>
      </c>
      <c r="DZ123" s="126">
        <f>DY123*(1+取费表!$H$7)</f>
        <v>138375.48591397054</v>
      </c>
      <c r="EA123" s="126">
        <f t="shared" ref="EA123:EC123" si="248">DZ123</f>
        <v>138375.48591397054</v>
      </c>
      <c r="EB123" s="126">
        <f t="shared" si="248"/>
        <v>138375.48591397054</v>
      </c>
      <c r="EC123" s="126">
        <f t="shared" si="248"/>
        <v>138375.48591397054</v>
      </c>
      <c r="ED123" s="126">
        <f>EC123*(1+取费表!$H$7)</f>
        <v>141142.99563224995</v>
      </c>
      <c r="EE123" s="124">
        <f t="shared" si="122"/>
        <v>13200361.813982252</v>
      </c>
    </row>
    <row r="124" spans="1:135" ht="12.75">
      <c r="A124" s="151"/>
      <c r="B124" s="152"/>
      <c r="C124" s="153" t="s">
        <v>287</v>
      </c>
      <c r="D124" s="126"/>
      <c r="E124" s="129">
        <f>E112</f>
        <v>3834.3899999999994</v>
      </c>
      <c r="F124" s="126"/>
      <c r="G124" s="126"/>
      <c r="H124" s="127"/>
      <c r="I124" s="126"/>
      <c r="J124" s="126"/>
      <c r="K124" s="126"/>
      <c r="L124" s="126">
        <f>L112</f>
        <v>1042946</v>
      </c>
      <c r="M124" s="147">
        <f>M112</f>
        <v>1448537</v>
      </c>
      <c r="N124" s="126">
        <f>M124*(1+取费表!$B$7)</f>
        <v>1506478.48</v>
      </c>
      <c r="O124" s="126">
        <f>N124</f>
        <v>1506478.48</v>
      </c>
      <c r="P124" s="126">
        <f>O124</f>
        <v>1506478.48</v>
      </c>
      <c r="Q124" s="126">
        <f>P124</f>
        <v>1506478.48</v>
      </c>
      <c r="R124" s="126">
        <f>Q124*(1+取费表!$C$7)</f>
        <v>1566737.6192000001</v>
      </c>
      <c r="S124" s="126">
        <f>R124</f>
        <v>1566737.6192000001</v>
      </c>
      <c r="T124" s="126">
        <f>S124</f>
        <v>1566737.6192000001</v>
      </c>
      <c r="U124" s="126">
        <f>T124</f>
        <v>1566737.6192000001</v>
      </c>
      <c r="V124" s="126">
        <f>U124*(1+取费表!$D$7)</f>
        <v>1629407.1239680001</v>
      </c>
      <c r="W124" s="126">
        <f>V124</f>
        <v>1629407.1239680001</v>
      </c>
      <c r="X124" s="126">
        <f>W124</f>
        <v>1629407.1239680001</v>
      </c>
      <c r="Y124" s="126">
        <f>X124</f>
        <v>1629407.1239680001</v>
      </c>
      <c r="Z124" s="126">
        <f>Y124*(1+取费表!$E$7)</f>
        <v>1686436.37330688</v>
      </c>
      <c r="AA124" s="126">
        <f>Z124</f>
        <v>1686436.37330688</v>
      </c>
      <c r="AB124" s="126">
        <f>AA124</f>
        <v>1686436.37330688</v>
      </c>
      <c r="AC124" s="126">
        <f>AB124</f>
        <v>1686436.37330688</v>
      </c>
      <c r="AD124" s="126">
        <f>AC124*(1+取费表!$F$7)</f>
        <v>1745461.6463726207</v>
      </c>
      <c r="AE124" s="126">
        <f>AD124</f>
        <v>1745461.6463726207</v>
      </c>
      <c r="AF124" s="126">
        <f>AE124</f>
        <v>1745461.6463726207</v>
      </c>
      <c r="AG124" s="126">
        <f>AF124</f>
        <v>1745461.6463726207</v>
      </c>
      <c r="AH124" s="126">
        <f>AG124*(1+取费表!$G$7)</f>
        <v>1789098.187531936</v>
      </c>
      <c r="AI124" s="126">
        <f>AH124</f>
        <v>1789098.187531936</v>
      </c>
      <c r="AJ124" s="126">
        <f>AI124</f>
        <v>1789098.187531936</v>
      </c>
      <c r="AK124" s="126">
        <f>AJ124</f>
        <v>1789098.187531936</v>
      </c>
      <c r="AL124" s="126">
        <f>AK124*(1+取费表!$G$7)</f>
        <v>1833825.6422202343</v>
      </c>
      <c r="AM124" s="126">
        <f>AL124</f>
        <v>1833825.6422202343</v>
      </c>
      <c r="AN124" s="126">
        <f>AM124</f>
        <v>1833825.6422202343</v>
      </c>
      <c r="AO124" s="126">
        <f>AN124</f>
        <v>1833825.6422202343</v>
      </c>
      <c r="AP124" s="126">
        <f>AO124*(1+取费表!$G$7)</f>
        <v>1879671.28327574</v>
      </c>
      <c r="AQ124" s="126">
        <f>AP124</f>
        <v>1879671.28327574</v>
      </c>
      <c r="AR124" s="126">
        <f t="shared" si="205"/>
        <v>1879671.28327574</v>
      </c>
      <c r="AS124" s="126">
        <f t="shared" si="205"/>
        <v>1879671.28327574</v>
      </c>
      <c r="AT124" s="126">
        <f>AS124*(1+取费表!$G$7)</f>
        <v>1926663.0653576334</v>
      </c>
      <c r="AU124" s="126">
        <f t="shared" ref="AU124" si="249">AT124</f>
        <v>1926663.0653576334</v>
      </c>
      <c r="AV124" s="126">
        <f t="shared" si="205"/>
        <v>1926663.0653576334</v>
      </c>
      <c r="AW124" s="126">
        <f t="shared" si="205"/>
        <v>1926663.0653576334</v>
      </c>
      <c r="AX124" s="126">
        <f>AW124*(1+取费表!$G$7)</f>
        <v>1974829.6419915741</v>
      </c>
      <c r="AY124" s="126">
        <f t="shared" ref="AY124" si="250">AX124</f>
        <v>1974829.6419915741</v>
      </c>
      <c r="AZ124" s="126">
        <f t="shared" si="205"/>
        <v>1974829.6419915741</v>
      </c>
      <c r="BA124" s="126">
        <f t="shared" si="205"/>
        <v>1974829.6419915741</v>
      </c>
      <c r="BB124" s="126">
        <f>BA124*(1+取费表!$H$7)</f>
        <v>2014326.2348314056</v>
      </c>
      <c r="BC124" s="126">
        <f>BB124</f>
        <v>2014326.2348314056</v>
      </c>
      <c r="BD124" s="126">
        <f t="shared" si="229"/>
        <v>2014326.2348314056</v>
      </c>
      <c r="BE124" s="126">
        <f t="shared" si="229"/>
        <v>2014326.2348314056</v>
      </c>
      <c r="BF124" s="126">
        <f>BE124*(1+取费表!$H$7)</f>
        <v>2054612.7595280337</v>
      </c>
      <c r="BG124" s="126">
        <f t="shared" ref="BG124" si="251">BF124</f>
        <v>2054612.7595280337</v>
      </c>
      <c r="BH124" s="126">
        <f t="shared" si="230"/>
        <v>2054612.7595280337</v>
      </c>
      <c r="BI124" s="126">
        <f t="shared" si="230"/>
        <v>2054612.7595280337</v>
      </c>
      <c r="BJ124" s="126">
        <f>BI124*(1+取费表!$H$7)</f>
        <v>2095705.0147185943</v>
      </c>
      <c r="BK124" s="126">
        <f t="shared" ref="BK124" si="252">BJ124</f>
        <v>2095705.0147185943</v>
      </c>
      <c r="BL124" s="126">
        <f t="shared" si="230"/>
        <v>2095705.0147185943</v>
      </c>
      <c r="BM124" s="126">
        <f t="shared" si="230"/>
        <v>2095705.0147185943</v>
      </c>
      <c r="BN124" s="126">
        <f>BM124*(1+取费表!$H$7)</f>
        <v>2137619.1150129661</v>
      </c>
      <c r="BO124" s="126">
        <f t="shared" ref="BO124" si="253">BN124</f>
        <v>2137619.1150129661</v>
      </c>
      <c r="BP124" s="126">
        <f t="shared" si="230"/>
        <v>2137619.1150129661</v>
      </c>
      <c r="BQ124" s="126">
        <f t="shared" si="230"/>
        <v>2137619.1150129661</v>
      </c>
      <c r="BR124" s="126">
        <f>BQ124*(1+取费表!$H$7)</f>
        <v>2180371.4973132256</v>
      </c>
      <c r="BS124" s="126">
        <f t="shared" ref="BS124" si="254">BR124</f>
        <v>2180371.4973132256</v>
      </c>
      <c r="BT124" s="126">
        <f t="shared" si="230"/>
        <v>2180371.4973132256</v>
      </c>
      <c r="BU124" s="126">
        <f t="shared" si="230"/>
        <v>2180371.4973132256</v>
      </c>
      <c r="BV124" s="126">
        <f>BU124*(1+取费表!$H$7)</f>
        <v>2223978.9272594904</v>
      </c>
      <c r="BW124" s="126">
        <f t="shared" ref="BW124" si="255">BV124</f>
        <v>2223978.9272594904</v>
      </c>
      <c r="BX124" s="126">
        <f t="shared" si="230"/>
        <v>2223978.9272594904</v>
      </c>
      <c r="BY124" s="126">
        <f t="shared" si="230"/>
        <v>2223978.9272594904</v>
      </c>
      <c r="BZ124" s="126">
        <f>BY124*(1+取费表!$H$7)</f>
        <v>2268458.5058046803</v>
      </c>
      <c r="CA124" s="126">
        <f t="shared" ref="CA124" si="256">BZ124</f>
        <v>2268458.5058046803</v>
      </c>
      <c r="CB124" s="126">
        <f t="shared" si="230"/>
        <v>2268458.5058046803</v>
      </c>
      <c r="CC124" s="126">
        <f t="shared" si="230"/>
        <v>2268458.5058046803</v>
      </c>
      <c r="CD124" s="126">
        <f>CC124*(1+取费表!$H$7)</f>
        <v>2313827.6759207738</v>
      </c>
      <c r="CE124" s="126">
        <f t="shared" ref="CE124" si="257">CD124</f>
        <v>2313827.6759207738</v>
      </c>
      <c r="CF124" s="126">
        <f t="shared" si="230"/>
        <v>2313827.6759207738</v>
      </c>
      <c r="CG124" s="126">
        <f t="shared" si="230"/>
        <v>2313827.6759207738</v>
      </c>
      <c r="CH124" s="126">
        <f>CG124*(1+取费表!$H$7)</f>
        <v>2360104.2294391892</v>
      </c>
      <c r="CI124" s="126">
        <f t="shared" ref="CI124" si="258">CH124</f>
        <v>2360104.2294391892</v>
      </c>
      <c r="CJ124" s="126">
        <f t="shared" si="230"/>
        <v>2360104.2294391892</v>
      </c>
      <c r="CK124" s="126">
        <f t="shared" si="230"/>
        <v>2360104.2294391892</v>
      </c>
      <c r="CL124" s="126">
        <f>CK124*(1+取费表!$H$7)</f>
        <v>2407306.314027973</v>
      </c>
      <c r="CM124" s="126">
        <f t="shared" ref="CM124" si="259">CL124</f>
        <v>2407306.314027973</v>
      </c>
      <c r="CN124" s="126">
        <f t="shared" si="230"/>
        <v>2407306.314027973</v>
      </c>
      <c r="CO124" s="126">
        <f t="shared" si="230"/>
        <v>2407306.314027973</v>
      </c>
      <c r="CP124" s="126">
        <f>CO124*(1+取费表!$H$7)</f>
        <v>2455452.4403085327</v>
      </c>
      <c r="CQ124" s="126">
        <f t="shared" ref="CQ124:CS124" si="260">CP124</f>
        <v>2455452.4403085327</v>
      </c>
      <c r="CR124" s="126">
        <f t="shared" si="260"/>
        <v>2455452.4403085327</v>
      </c>
      <c r="CS124" s="126">
        <f t="shared" si="260"/>
        <v>2455452.4403085327</v>
      </c>
      <c r="CT124" s="126">
        <f>CS124*(1+取费表!$H$7)</f>
        <v>2504561.4891147031</v>
      </c>
      <c r="CU124" s="126">
        <f t="shared" ref="CU124:CW124" si="261">CT124</f>
        <v>2504561.4891147031</v>
      </c>
      <c r="CV124" s="126">
        <f t="shared" si="261"/>
        <v>2504561.4891147031</v>
      </c>
      <c r="CW124" s="126">
        <f t="shared" si="261"/>
        <v>2504561.4891147031</v>
      </c>
      <c r="CX124" s="126">
        <f>CW124*(1+取费表!$H$7)</f>
        <v>2554652.7188969972</v>
      </c>
      <c r="CY124" s="126">
        <f t="shared" ref="CY124:DA124" si="262">CX124</f>
        <v>2554652.7188969972</v>
      </c>
      <c r="CZ124" s="126">
        <f t="shared" si="262"/>
        <v>2554652.7188969972</v>
      </c>
      <c r="DA124" s="126">
        <f t="shared" si="262"/>
        <v>2554652.7188969972</v>
      </c>
      <c r="DB124" s="126">
        <f>DA124*(1+取费表!$H$7)</f>
        <v>2605745.7732749372</v>
      </c>
      <c r="DC124" s="126">
        <f t="shared" ref="DC124:DE124" si="263">DB124</f>
        <v>2605745.7732749372</v>
      </c>
      <c r="DD124" s="126">
        <f t="shared" si="263"/>
        <v>2605745.7732749372</v>
      </c>
      <c r="DE124" s="126">
        <f t="shared" si="263"/>
        <v>2605745.7732749372</v>
      </c>
      <c r="DF124" s="126">
        <f>DE124*(1+取费表!$H$7)</f>
        <v>2657860.688740436</v>
      </c>
      <c r="DG124" s="126">
        <f t="shared" ref="DG124:DI124" si="264">DF124</f>
        <v>2657860.688740436</v>
      </c>
      <c r="DH124" s="126">
        <f t="shared" si="264"/>
        <v>2657860.688740436</v>
      </c>
      <c r="DI124" s="126">
        <f t="shared" si="264"/>
        <v>2657860.688740436</v>
      </c>
      <c r="DJ124" s="126">
        <f>DI124*(1+取费表!$H$7)</f>
        <v>2711017.9025152447</v>
      </c>
      <c r="DK124" s="126">
        <f t="shared" ref="DK124:DM124" si="265">DJ124</f>
        <v>2711017.9025152447</v>
      </c>
      <c r="DL124" s="126">
        <f t="shared" si="265"/>
        <v>2711017.9025152447</v>
      </c>
      <c r="DM124" s="126">
        <f t="shared" si="265"/>
        <v>2711017.9025152447</v>
      </c>
      <c r="DN124" s="126">
        <f>DM124*(1+取费表!$H$7)</f>
        <v>2765238.2605655496</v>
      </c>
      <c r="DO124" s="126">
        <f t="shared" ref="DO124:DQ124" si="266">DN124</f>
        <v>2765238.2605655496</v>
      </c>
      <c r="DP124" s="126">
        <f t="shared" si="266"/>
        <v>2765238.2605655496</v>
      </c>
      <c r="DQ124" s="126">
        <f t="shared" si="266"/>
        <v>2765238.2605655496</v>
      </c>
      <c r="DR124" s="126">
        <f>DQ124*(1+取费表!$H$7)</f>
        <v>2820543.0257768608</v>
      </c>
      <c r="DS124" s="126">
        <f t="shared" ref="DS124:DU124" si="267">DR124</f>
        <v>2820543.0257768608</v>
      </c>
      <c r="DT124" s="126">
        <f t="shared" si="267"/>
        <v>2820543.0257768608</v>
      </c>
      <c r="DU124" s="126">
        <f t="shared" si="267"/>
        <v>2820543.0257768608</v>
      </c>
      <c r="DV124" s="126">
        <f>DU124*(1+取费表!$H$7)</f>
        <v>2876953.886292398</v>
      </c>
      <c r="DW124" s="126">
        <f t="shared" ref="DW124:DY124" si="268">DV124</f>
        <v>2876953.886292398</v>
      </c>
      <c r="DX124" s="126">
        <f t="shared" si="268"/>
        <v>2876953.886292398</v>
      </c>
      <c r="DY124" s="126">
        <f t="shared" si="268"/>
        <v>2876953.886292398</v>
      </c>
      <c r="DZ124" s="126">
        <f>DY124*(1+取费表!$H$7)</f>
        <v>2934492.9640182462</v>
      </c>
      <c r="EA124" s="126">
        <f t="shared" ref="EA124:EC124" si="269">DZ124</f>
        <v>2934492.9640182462</v>
      </c>
      <c r="EB124" s="126">
        <f t="shared" si="269"/>
        <v>2934492.9640182462</v>
      </c>
      <c r="EC124" s="126">
        <f t="shared" si="269"/>
        <v>2934492.9640182462</v>
      </c>
      <c r="ED124" s="126">
        <f>EC124*(1+取费表!$H$7)</f>
        <v>2993182.8232986112</v>
      </c>
      <c r="EE124" s="124">
        <f t="shared" si="122"/>
        <v>271410419.76963812</v>
      </c>
    </row>
    <row r="125" spans="1:135">
      <c r="A125" s="240" t="s">
        <v>12</v>
      </c>
      <c r="B125" s="240"/>
      <c r="C125" s="240"/>
      <c r="D125" s="240"/>
      <c r="E125" s="129">
        <f>SUM(E117:E124)</f>
        <v>43941.792400000006</v>
      </c>
      <c r="F125" s="126"/>
      <c r="G125" s="126"/>
      <c r="H125" s="127"/>
      <c r="I125" s="126"/>
      <c r="J125" s="126"/>
      <c r="K125" s="126"/>
      <c r="L125" s="126">
        <f>SUM(L117:L124)</f>
        <v>13447064</v>
      </c>
      <c r="M125" s="126">
        <f>SUM(M117:M124)</f>
        <v>18688482</v>
      </c>
      <c r="N125" s="126">
        <f t="shared" ref="N125:BX125" si="270">SUM(N117:N124)</f>
        <v>18645337.2368</v>
      </c>
      <c r="O125" s="126">
        <f t="shared" si="270"/>
        <v>18667242.2368</v>
      </c>
      <c r="P125" s="126">
        <f t="shared" si="270"/>
        <v>18667242.2368</v>
      </c>
      <c r="Q125" s="126">
        <f t="shared" si="270"/>
        <v>18667242.2368</v>
      </c>
      <c r="R125" s="126">
        <f t="shared" si="270"/>
        <v>18340098.950272001</v>
      </c>
      <c r="S125" s="126">
        <f t="shared" si="270"/>
        <v>18393931.950272001</v>
      </c>
      <c r="T125" s="126">
        <f t="shared" si="270"/>
        <v>18397689.950272001</v>
      </c>
      <c r="U125" s="126">
        <f t="shared" si="270"/>
        <v>18397689.950272001</v>
      </c>
      <c r="V125" s="126">
        <f t="shared" si="270"/>
        <v>18651875.628282882</v>
      </c>
      <c r="W125" s="126">
        <f t="shared" si="270"/>
        <v>18673945.628282882</v>
      </c>
      <c r="X125" s="126">
        <f t="shared" si="270"/>
        <v>18673945.628282882</v>
      </c>
      <c r="Y125" s="126">
        <f t="shared" si="270"/>
        <v>18673945.628282882</v>
      </c>
      <c r="Z125" s="126">
        <f t="shared" si="270"/>
        <v>18980281.36007278</v>
      </c>
      <c r="AA125" s="126">
        <f t="shared" si="270"/>
        <v>18980281.36007278</v>
      </c>
      <c r="AB125" s="126">
        <f t="shared" si="270"/>
        <v>18980281.36007278</v>
      </c>
      <c r="AC125" s="126">
        <f t="shared" si="270"/>
        <v>18980281.36007278</v>
      </c>
      <c r="AD125" s="126">
        <f t="shared" si="270"/>
        <v>19520665.376875326</v>
      </c>
      <c r="AE125" s="126">
        <f t="shared" si="270"/>
        <v>19525252.376875326</v>
      </c>
      <c r="AF125" s="126">
        <f t="shared" si="270"/>
        <v>19525252.376875326</v>
      </c>
      <c r="AG125" s="126">
        <f t="shared" si="270"/>
        <v>19525252.376875326</v>
      </c>
      <c r="AH125" s="126">
        <f t="shared" si="270"/>
        <v>19952115.675297212</v>
      </c>
      <c r="AI125" s="126">
        <f t="shared" si="270"/>
        <v>19952115.675297212</v>
      </c>
      <c r="AJ125" s="126">
        <f t="shared" si="270"/>
        <v>19952115.675297212</v>
      </c>
      <c r="AK125" s="126">
        <f t="shared" si="270"/>
        <v>19952115.675297212</v>
      </c>
      <c r="AL125" s="126">
        <f t="shared" si="270"/>
        <v>20448509.992179632</v>
      </c>
      <c r="AM125" s="126">
        <f t="shared" si="270"/>
        <v>20448509.992179632</v>
      </c>
      <c r="AN125" s="126">
        <f t="shared" si="270"/>
        <v>20448509.992179632</v>
      </c>
      <c r="AO125" s="126">
        <f t="shared" si="270"/>
        <v>20448509.992179632</v>
      </c>
      <c r="AP125" s="126">
        <f t="shared" si="270"/>
        <v>20951822.615984123</v>
      </c>
      <c r="AQ125" s="126">
        <f t="shared" si="270"/>
        <v>20951822.615984123</v>
      </c>
      <c r="AR125" s="126">
        <f t="shared" si="270"/>
        <v>20951822.615984123</v>
      </c>
      <c r="AS125" s="126">
        <f t="shared" si="270"/>
        <v>20951822.615984123</v>
      </c>
      <c r="AT125" s="126">
        <f t="shared" si="270"/>
        <v>21475618.181383729</v>
      </c>
      <c r="AU125" s="126">
        <f t="shared" si="270"/>
        <v>21475618.181383729</v>
      </c>
      <c r="AV125" s="126">
        <f t="shared" si="270"/>
        <v>21475618.181383729</v>
      </c>
      <c r="AW125" s="126">
        <f t="shared" si="270"/>
        <v>21475618.181383729</v>
      </c>
      <c r="AX125" s="126">
        <f t="shared" si="270"/>
        <v>22010180.567537699</v>
      </c>
      <c r="AY125" s="126">
        <f t="shared" si="270"/>
        <v>22010180.567537699</v>
      </c>
      <c r="AZ125" s="126">
        <f t="shared" si="270"/>
        <v>22010180.567537699</v>
      </c>
      <c r="BA125" s="126">
        <f t="shared" si="270"/>
        <v>22010180.567537699</v>
      </c>
      <c r="BB125" s="126">
        <f t="shared" si="270"/>
        <v>22450384.178888444</v>
      </c>
      <c r="BC125" s="126">
        <f t="shared" si="270"/>
        <v>22450384.178888444</v>
      </c>
      <c r="BD125" s="126">
        <f t="shared" si="270"/>
        <v>22450384.178888444</v>
      </c>
      <c r="BE125" s="126">
        <f t="shared" si="270"/>
        <v>22450384.178888444</v>
      </c>
      <c r="BF125" s="126">
        <f t="shared" si="270"/>
        <v>22899391.86246622</v>
      </c>
      <c r="BG125" s="126">
        <f t="shared" si="270"/>
        <v>22899391.86246622</v>
      </c>
      <c r="BH125" s="126">
        <f t="shared" si="270"/>
        <v>22899391.86246622</v>
      </c>
      <c r="BI125" s="126">
        <f t="shared" si="270"/>
        <v>22899391.86246622</v>
      </c>
      <c r="BJ125" s="126">
        <f t="shared" si="270"/>
        <v>23357379.699715544</v>
      </c>
      <c r="BK125" s="126">
        <f t="shared" si="270"/>
        <v>23357379.699715544</v>
      </c>
      <c r="BL125" s="126">
        <f t="shared" si="270"/>
        <v>23357379.699715544</v>
      </c>
      <c r="BM125" s="126">
        <f t="shared" si="270"/>
        <v>23357379.699715544</v>
      </c>
      <c r="BN125" s="126">
        <f t="shared" si="270"/>
        <v>23824527.293709856</v>
      </c>
      <c r="BO125" s="126">
        <f t="shared" si="270"/>
        <v>23824527.293709856</v>
      </c>
      <c r="BP125" s="126">
        <f t="shared" si="270"/>
        <v>23824527.293709856</v>
      </c>
      <c r="BQ125" s="126">
        <f t="shared" si="270"/>
        <v>23824527.293709856</v>
      </c>
      <c r="BR125" s="126">
        <f t="shared" si="270"/>
        <v>24301017.83958406</v>
      </c>
      <c r="BS125" s="126">
        <f t="shared" si="270"/>
        <v>24301017.83958406</v>
      </c>
      <c r="BT125" s="126">
        <f t="shared" si="270"/>
        <v>24301017.83958406</v>
      </c>
      <c r="BU125" s="126">
        <f t="shared" si="270"/>
        <v>24301017.83958406</v>
      </c>
      <c r="BV125" s="126">
        <f t="shared" si="270"/>
        <v>24787038.196375735</v>
      </c>
      <c r="BW125" s="126">
        <f t="shared" si="270"/>
        <v>24787038.196375735</v>
      </c>
      <c r="BX125" s="126">
        <f t="shared" si="270"/>
        <v>24787038.196375735</v>
      </c>
      <c r="BY125" s="126">
        <f t="shared" ref="BY125:CP125" si="271">SUM(BY117:BY124)</f>
        <v>24787038.196375735</v>
      </c>
      <c r="BZ125" s="126">
        <f t="shared" si="271"/>
        <v>25282778.960303251</v>
      </c>
      <c r="CA125" s="126">
        <f t="shared" si="271"/>
        <v>25282778.960303251</v>
      </c>
      <c r="CB125" s="126">
        <f t="shared" si="271"/>
        <v>25282778.960303251</v>
      </c>
      <c r="CC125" s="126">
        <f t="shared" si="271"/>
        <v>25282778.960303251</v>
      </c>
      <c r="CD125" s="126">
        <f t="shared" si="271"/>
        <v>25788434.539509319</v>
      </c>
      <c r="CE125" s="126">
        <f t="shared" si="271"/>
        <v>25788434.539509319</v>
      </c>
      <c r="CF125" s="126">
        <f t="shared" si="271"/>
        <v>25788434.539509319</v>
      </c>
      <c r="CG125" s="126">
        <f t="shared" si="271"/>
        <v>25788434.539509319</v>
      </c>
      <c r="CH125" s="126">
        <f t="shared" si="271"/>
        <v>26304203.230299499</v>
      </c>
      <c r="CI125" s="126">
        <f t="shared" si="271"/>
        <v>26304203.230299499</v>
      </c>
      <c r="CJ125" s="126">
        <f t="shared" si="271"/>
        <v>26304203.230299499</v>
      </c>
      <c r="CK125" s="126">
        <f t="shared" si="271"/>
        <v>26304203.230299499</v>
      </c>
      <c r="CL125" s="126">
        <f t="shared" si="271"/>
        <v>26830287.294905491</v>
      </c>
      <c r="CM125" s="126">
        <f t="shared" si="271"/>
        <v>26830287.294905491</v>
      </c>
      <c r="CN125" s="126">
        <f t="shared" si="271"/>
        <v>26830287.294905491</v>
      </c>
      <c r="CO125" s="126">
        <f t="shared" si="271"/>
        <v>26830287.294905491</v>
      </c>
      <c r="CP125" s="126">
        <f t="shared" si="271"/>
        <v>27366893.040803604</v>
      </c>
      <c r="CQ125" s="126">
        <f t="shared" ref="CQ125" si="272">SUM(CQ117:CQ124)</f>
        <v>27366893.040803604</v>
      </c>
      <c r="CR125" s="126">
        <f t="shared" ref="CR125" si="273">SUM(CR117:CR124)</f>
        <v>27366893.040803604</v>
      </c>
      <c r="CS125" s="126">
        <f t="shared" ref="CS125" si="274">SUM(CS117:CS124)</f>
        <v>27366893.040803604</v>
      </c>
      <c r="CT125" s="126">
        <f t="shared" ref="CT125" si="275">SUM(CT117:CT124)</f>
        <v>27914230.901619673</v>
      </c>
      <c r="CU125" s="126">
        <f t="shared" ref="CU125" si="276">SUM(CU117:CU124)</f>
        <v>27914230.901619673</v>
      </c>
      <c r="CV125" s="126">
        <f t="shared" ref="CV125" si="277">SUM(CV117:CV124)</f>
        <v>27914230.901619673</v>
      </c>
      <c r="CW125" s="126">
        <f t="shared" ref="CW125" si="278">SUM(CW117:CW124)</f>
        <v>27914230.901619673</v>
      </c>
      <c r="CX125" s="126">
        <f t="shared" ref="CX125" si="279">SUM(CX117:CX124)</f>
        <v>28472515.519652069</v>
      </c>
      <c r="CY125" s="126">
        <f t="shared" ref="CY125" si="280">SUM(CY117:CY124)</f>
        <v>28472515.519652069</v>
      </c>
      <c r="CZ125" s="126">
        <f t="shared" ref="CZ125" si="281">SUM(CZ117:CZ124)</f>
        <v>28472515.519652069</v>
      </c>
      <c r="DA125" s="126">
        <f t="shared" ref="DA125" si="282">SUM(DA117:DA124)</f>
        <v>28472515.519652069</v>
      </c>
      <c r="DB125" s="126">
        <f t="shared" ref="DB125" si="283">SUM(DB117:DB124)</f>
        <v>29041965.830045111</v>
      </c>
      <c r="DC125" s="126">
        <f t="shared" ref="DC125" si="284">SUM(DC117:DC124)</f>
        <v>29041965.830045111</v>
      </c>
      <c r="DD125" s="126">
        <f t="shared" ref="DD125" si="285">SUM(DD117:DD124)</f>
        <v>29041965.830045111</v>
      </c>
      <c r="DE125" s="126">
        <f t="shared" ref="DE125" si="286">SUM(DE117:DE124)</f>
        <v>29041965.830045111</v>
      </c>
      <c r="DF125" s="126">
        <f t="shared" ref="DF125" si="287">SUM(DF117:DF124)</f>
        <v>29622805.146646015</v>
      </c>
      <c r="DG125" s="126">
        <f t="shared" ref="DG125" si="288">SUM(DG117:DG124)</f>
        <v>29622805.146646015</v>
      </c>
      <c r="DH125" s="126">
        <f t="shared" ref="DH125" si="289">SUM(DH117:DH124)</f>
        <v>29622805.146646015</v>
      </c>
      <c r="DI125" s="126">
        <f t="shared" ref="DI125" si="290">SUM(DI117:DI124)</f>
        <v>29622805.146646015</v>
      </c>
      <c r="DJ125" s="126">
        <f t="shared" ref="DJ125" si="291">SUM(DJ117:DJ124)</f>
        <v>30215261.249578934</v>
      </c>
      <c r="DK125" s="126">
        <f t="shared" ref="DK125" si="292">SUM(DK117:DK124)</f>
        <v>30215261.249578934</v>
      </c>
      <c r="DL125" s="126">
        <f t="shared" ref="DL125" si="293">SUM(DL117:DL124)</f>
        <v>30215261.249578934</v>
      </c>
      <c r="DM125" s="126">
        <f t="shared" ref="DM125" si="294">SUM(DM117:DM124)</f>
        <v>30215261.249578934</v>
      </c>
      <c r="DN125" s="126">
        <f t="shared" ref="DN125" si="295">SUM(DN117:DN124)</f>
        <v>30819566.474570513</v>
      </c>
      <c r="DO125" s="126">
        <f t="shared" ref="DO125" si="296">SUM(DO117:DO124)</f>
        <v>30819566.474570513</v>
      </c>
      <c r="DP125" s="126">
        <f t="shared" ref="DP125" si="297">SUM(DP117:DP124)</f>
        <v>30819566.474570513</v>
      </c>
      <c r="DQ125" s="126">
        <f t="shared" ref="DQ125" si="298">SUM(DQ117:DQ124)</f>
        <v>30819566.474570513</v>
      </c>
      <c r="DR125" s="126">
        <f t="shared" ref="DR125" si="299">SUM(DR117:DR124)</f>
        <v>31435957.804061927</v>
      </c>
      <c r="DS125" s="126">
        <f t="shared" ref="DS125" si="300">SUM(DS117:DS124)</f>
        <v>31435957.804061927</v>
      </c>
      <c r="DT125" s="126">
        <f t="shared" ref="DT125" si="301">SUM(DT117:DT124)</f>
        <v>31435957.804061927</v>
      </c>
      <c r="DU125" s="126">
        <f t="shared" ref="DU125" si="302">SUM(DU117:DU124)</f>
        <v>31435957.804061927</v>
      </c>
      <c r="DV125" s="126">
        <f t="shared" ref="DV125" si="303">SUM(DV117:DV124)</f>
        <v>32064676.960143156</v>
      </c>
      <c r="DW125" s="126">
        <f t="shared" ref="DW125" si="304">SUM(DW117:DW124)</f>
        <v>32064676.960143156</v>
      </c>
      <c r="DX125" s="126">
        <f t="shared" ref="DX125" si="305">SUM(DX117:DX124)</f>
        <v>32064676.960143156</v>
      </c>
      <c r="DY125" s="126">
        <f t="shared" ref="DY125" si="306">SUM(DY117:DY124)</f>
        <v>32064676.960143156</v>
      </c>
      <c r="DZ125" s="126">
        <f t="shared" ref="DZ125" si="307">SUM(DZ117:DZ124)</f>
        <v>32705970.499346025</v>
      </c>
      <c r="EA125" s="126">
        <f t="shared" ref="EA125" si="308">SUM(EA117:EA124)</f>
        <v>32705970.499346025</v>
      </c>
      <c r="EB125" s="126">
        <f t="shared" ref="EB125" si="309">SUM(EB117:EB124)</f>
        <v>32705970.499346025</v>
      </c>
      <c r="EC125" s="126">
        <f t="shared" ref="EC125" si="310">SUM(EC117:EC124)</f>
        <v>32705970.499346025</v>
      </c>
      <c r="ED125" s="126">
        <f t="shared" ref="ED125" si="311">SUM(ED117:ED124)</f>
        <v>33360089.909332953</v>
      </c>
      <c r="EE125" s="124">
        <f t="shared" si="122"/>
        <v>3043657505.3369727</v>
      </c>
    </row>
    <row r="126" spans="1:135">
      <c r="A126" s="126"/>
      <c r="B126" s="127"/>
      <c r="C126" s="128"/>
      <c r="D126" s="126"/>
      <c r="E126" s="126"/>
      <c r="F126" s="126"/>
      <c r="G126" s="126"/>
      <c r="H126" s="127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6"/>
      <c r="BF126" s="126"/>
      <c r="BG126" s="126"/>
      <c r="BH126" s="126"/>
      <c r="BI126" s="126"/>
      <c r="BJ126" s="126"/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26"/>
      <c r="BV126" s="126"/>
      <c r="BW126" s="126"/>
      <c r="BX126" s="126"/>
      <c r="BY126" s="126"/>
      <c r="BZ126" s="126"/>
      <c r="CA126" s="126"/>
      <c r="CB126" s="126"/>
      <c r="CC126" s="126"/>
      <c r="CD126" s="126"/>
      <c r="CE126" s="126"/>
      <c r="CF126" s="126"/>
      <c r="CG126" s="126"/>
      <c r="CH126" s="126"/>
      <c r="CI126" s="126"/>
      <c r="CJ126" s="126"/>
      <c r="CK126" s="126"/>
      <c r="CL126" s="126"/>
      <c r="CM126" s="126"/>
      <c r="CN126" s="126"/>
      <c r="CO126" s="126"/>
      <c r="CP126" s="126"/>
    </row>
    <row r="127" spans="1:135">
      <c r="A127" s="155"/>
      <c r="B127" s="156"/>
      <c r="C127" s="157"/>
      <c r="D127" s="155"/>
      <c r="E127" s="155"/>
      <c r="F127" s="155"/>
      <c r="G127" s="155"/>
      <c r="H127" s="156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5"/>
      <c r="AZ127" s="155"/>
      <c r="BA127" s="155"/>
      <c r="BB127" s="155"/>
      <c r="BC127" s="155"/>
      <c r="BD127" s="155"/>
      <c r="BE127" s="155"/>
      <c r="BF127" s="155"/>
      <c r="BG127" s="155"/>
      <c r="BH127" s="155"/>
      <c r="BI127" s="155"/>
      <c r="BJ127" s="155"/>
      <c r="BK127" s="155"/>
      <c r="BL127" s="155"/>
      <c r="BM127" s="155"/>
      <c r="BN127" s="155"/>
      <c r="BO127" s="155"/>
      <c r="BP127" s="155"/>
      <c r="BQ127" s="155"/>
      <c r="BR127" s="155"/>
      <c r="BS127" s="155"/>
      <c r="BT127" s="155"/>
      <c r="BU127" s="155"/>
      <c r="BV127" s="155"/>
      <c r="BW127" s="155"/>
      <c r="BX127" s="155"/>
      <c r="BY127" s="155"/>
      <c r="BZ127" s="155"/>
      <c r="CA127" s="155"/>
      <c r="CB127" s="155"/>
      <c r="CC127" s="155"/>
      <c r="CD127" s="155"/>
      <c r="CE127" s="155"/>
      <c r="CF127" s="155"/>
      <c r="CG127" s="155"/>
      <c r="CH127" s="155"/>
      <c r="CI127" s="155"/>
      <c r="CJ127" s="155"/>
      <c r="CK127" s="155"/>
      <c r="CL127" s="155"/>
      <c r="CM127" s="155"/>
      <c r="CN127" s="155"/>
      <c r="CO127" s="155"/>
      <c r="CP127" s="155"/>
    </row>
    <row r="128" spans="1:135">
      <c r="L128" s="124">
        <v>0.18</v>
      </c>
      <c r="M128" s="124">
        <v>1</v>
      </c>
      <c r="Q128" s="124">
        <v>2</v>
      </c>
      <c r="U128" s="124">
        <v>3</v>
      </c>
      <c r="Y128" s="124">
        <v>4</v>
      </c>
      <c r="AC128" s="124">
        <v>5</v>
      </c>
      <c r="AG128" s="124">
        <v>6</v>
      </c>
      <c r="AK128" s="124">
        <v>7</v>
      </c>
      <c r="AO128" s="124">
        <v>8</v>
      </c>
      <c r="AS128" s="124">
        <v>9</v>
      </c>
      <c r="AW128" s="124">
        <v>10</v>
      </c>
      <c r="BA128" s="124">
        <v>11</v>
      </c>
      <c r="BE128" s="124">
        <v>12</v>
      </c>
      <c r="BI128" s="124">
        <v>13</v>
      </c>
      <c r="BM128" s="124">
        <v>14</v>
      </c>
      <c r="BQ128" s="124">
        <v>15</v>
      </c>
      <c r="BU128" s="124">
        <v>16</v>
      </c>
      <c r="BY128" s="124">
        <v>17</v>
      </c>
      <c r="CC128" s="124">
        <v>18</v>
      </c>
      <c r="CG128" s="124">
        <v>19</v>
      </c>
      <c r="CK128" s="124">
        <v>20</v>
      </c>
      <c r="CO128" s="124">
        <v>21</v>
      </c>
      <c r="CS128" s="124">
        <v>22</v>
      </c>
      <c r="CW128" s="124">
        <v>23</v>
      </c>
      <c r="DA128" s="124">
        <v>24</v>
      </c>
      <c r="DE128" s="124">
        <v>25</v>
      </c>
      <c r="DI128" s="124">
        <v>26</v>
      </c>
      <c r="DM128" s="124">
        <v>27</v>
      </c>
      <c r="DQ128" s="124">
        <v>28</v>
      </c>
      <c r="DU128" s="124">
        <v>29</v>
      </c>
      <c r="DY128" s="124">
        <v>30</v>
      </c>
      <c r="EC128" s="124">
        <v>30.5</v>
      </c>
    </row>
    <row r="129" spans="1:135" s="28" customFormat="1" ht="12.75">
      <c r="C129" s="49"/>
      <c r="D129" s="49" t="s">
        <v>318</v>
      </c>
      <c r="E129" s="49"/>
      <c r="F129" s="49"/>
      <c r="G129" s="49"/>
      <c r="H129" s="79"/>
      <c r="I129" s="49"/>
      <c r="J129" s="49"/>
      <c r="K129" s="49"/>
      <c r="L129" s="224" t="s">
        <v>145</v>
      </c>
      <c r="M129" s="224"/>
      <c r="N129" s="224"/>
      <c r="O129" s="224" t="s">
        <v>221</v>
      </c>
      <c r="P129" s="224"/>
      <c r="Q129" s="224"/>
      <c r="R129" s="224"/>
      <c r="S129" s="224" t="s">
        <v>146</v>
      </c>
      <c r="T129" s="224"/>
      <c r="U129" s="224"/>
      <c r="V129" s="224"/>
      <c r="W129" s="224" t="s">
        <v>147</v>
      </c>
      <c r="X129" s="224"/>
      <c r="Y129" s="224"/>
      <c r="Z129" s="224"/>
      <c r="AA129" s="224" t="s">
        <v>148</v>
      </c>
      <c r="AB129" s="224"/>
      <c r="AC129" s="224"/>
      <c r="AD129" s="224"/>
      <c r="AE129" s="224" t="s">
        <v>149</v>
      </c>
      <c r="AF129" s="224"/>
      <c r="AG129" s="224"/>
      <c r="AH129" s="224"/>
      <c r="AI129" s="224" t="s">
        <v>150</v>
      </c>
      <c r="AJ129" s="224"/>
      <c r="AK129" s="224"/>
      <c r="AL129" s="224"/>
      <c r="AM129" s="224" t="s">
        <v>151</v>
      </c>
      <c r="AN129" s="224"/>
      <c r="AO129" s="224"/>
      <c r="AP129" s="224"/>
      <c r="AQ129" s="224" t="s">
        <v>152</v>
      </c>
      <c r="AR129" s="224"/>
      <c r="AS129" s="224"/>
      <c r="AT129" s="224"/>
      <c r="AU129" s="224" t="s">
        <v>153</v>
      </c>
      <c r="AV129" s="224"/>
      <c r="AW129" s="224"/>
      <c r="AX129" s="224"/>
      <c r="AY129" s="231" t="s">
        <v>154</v>
      </c>
      <c r="AZ129" s="231"/>
      <c r="BA129" s="231"/>
      <c r="BB129" s="231"/>
      <c r="BC129" s="224" t="s">
        <v>155</v>
      </c>
      <c r="BD129" s="224"/>
      <c r="BE129" s="224"/>
      <c r="BF129" s="224"/>
      <c r="BG129" s="224" t="s">
        <v>156</v>
      </c>
      <c r="BH129" s="224"/>
      <c r="BI129" s="224"/>
      <c r="BJ129" s="224"/>
      <c r="BK129" s="224" t="s">
        <v>157</v>
      </c>
      <c r="BL129" s="224"/>
      <c r="BM129" s="224"/>
      <c r="BN129" s="224"/>
      <c r="BO129" s="224" t="s">
        <v>158</v>
      </c>
      <c r="BP129" s="224"/>
      <c r="BQ129" s="224"/>
      <c r="BR129" s="224"/>
      <c r="BS129" s="224" t="s">
        <v>159</v>
      </c>
      <c r="BT129" s="224"/>
      <c r="BU129" s="224"/>
      <c r="BV129" s="224"/>
      <c r="BW129" s="224" t="s">
        <v>222</v>
      </c>
      <c r="BX129" s="224"/>
      <c r="BY129" s="224"/>
      <c r="BZ129" s="224"/>
      <c r="CA129" s="224" t="s">
        <v>223</v>
      </c>
      <c r="CB129" s="224"/>
      <c r="CC129" s="224"/>
      <c r="CD129" s="224"/>
      <c r="CE129" s="224" t="s">
        <v>160</v>
      </c>
      <c r="CF129" s="224"/>
      <c r="CG129" s="224"/>
      <c r="CH129" s="224"/>
      <c r="CI129" s="224" t="s">
        <v>161</v>
      </c>
      <c r="CJ129" s="224"/>
      <c r="CK129" s="224"/>
      <c r="CL129" s="224"/>
      <c r="CM129" s="224" t="s">
        <v>162</v>
      </c>
      <c r="CN129" s="224"/>
      <c r="CO129" s="224"/>
      <c r="CP129" s="224"/>
      <c r="CQ129" s="224" t="s">
        <v>594</v>
      </c>
      <c r="CR129" s="224"/>
      <c r="CS129" s="224"/>
      <c r="CT129" s="224"/>
      <c r="CU129" s="224" t="s">
        <v>595</v>
      </c>
      <c r="CV129" s="224"/>
      <c r="CW129" s="224"/>
      <c r="CX129" s="224"/>
      <c r="CY129" s="224" t="s">
        <v>596</v>
      </c>
      <c r="CZ129" s="224"/>
      <c r="DA129" s="224"/>
      <c r="DB129" s="224"/>
      <c r="DC129" s="224" t="s">
        <v>597</v>
      </c>
      <c r="DD129" s="224"/>
      <c r="DE129" s="224"/>
      <c r="DF129" s="224"/>
      <c r="DG129" s="224" t="s">
        <v>598</v>
      </c>
      <c r="DH129" s="224"/>
      <c r="DI129" s="224"/>
      <c r="DJ129" s="224"/>
      <c r="DK129" s="224" t="s">
        <v>599</v>
      </c>
      <c r="DL129" s="224"/>
      <c r="DM129" s="224"/>
      <c r="DN129" s="224"/>
      <c r="DO129" s="224" t="s">
        <v>600</v>
      </c>
      <c r="DP129" s="224"/>
      <c r="DQ129" s="224"/>
      <c r="DR129" s="224"/>
      <c r="DS129" s="224" t="s">
        <v>601</v>
      </c>
      <c r="DT129" s="224"/>
      <c r="DU129" s="224"/>
      <c r="DV129" s="224"/>
      <c r="DW129" s="224" t="s">
        <v>602</v>
      </c>
      <c r="DX129" s="224"/>
      <c r="DY129" s="224"/>
      <c r="DZ129" s="224"/>
      <c r="EA129" s="224" t="s">
        <v>603</v>
      </c>
      <c r="EB129" s="224"/>
      <c r="EC129" s="224"/>
      <c r="ED129" s="224"/>
    </row>
    <row r="130" spans="1:135" s="28" customFormat="1" ht="25.5">
      <c r="C130" s="87" t="s">
        <v>291</v>
      </c>
      <c r="D130" s="49"/>
      <c r="E130" s="49"/>
      <c r="F130" s="49"/>
      <c r="G130" s="49"/>
      <c r="H130" s="79"/>
      <c r="I130" s="49"/>
      <c r="J130" s="49"/>
      <c r="K130" s="49"/>
      <c r="L130" s="39" t="s">
        <v>224</v>
      </c>
      <c r="M130" s="68" t="s">
        <v>163</v>
      </c>
      <c r="N130" s="39" t="s">
        <v>225</v>
      </c>
      <c r="O130" s="39" t="s">
        <v>164</v>
      </c>
      <c r="P130" s="39" t="s">
        <v>226</v>
      </c>
      <c r="Q130" s="68" t="s">
        <v>227</v>
      </c>
      <c r="R130" s="39" t="s">
        <v>165</v>
      </c>
      <c r="S130" s="39" t="s">
        <v>228</v>
      </c>
      <c r="T130" s="39" t="s">
        <v>166</v>
      </c>
      <c r="U130" s="68" t="s">
        <v>167</v>
      </c>
      <c r="V130" s="39" t="s">
        <v>229</v>
      </c>
      <c r="W130" s="39" t="s">
        <v>230</v>
      </c>
      <c r="X130" s="39" t="s">
        <v>231</v>
      </c>
      <c r="Y130" s="68" t="s">
        <v>168</v>
      </c>
      <c r="Z130" s="39" t="s">
        <v>169</v>
      </c>
      <c r="AA130" s="39" t="s">
        <v>232</v>
      </c>
      <c r="AB130" s="39" t="s">
        <v>170</v>
      </c>
      <c r="AC130" s="68" t="s">
        <v>233</v>
      </c>
      <c r="AD130" s="39" t="s">
        <v>234</v>
      </c>
      <c r="AE130" s="39" t="s">
        <v>171</v>
      </c>
      <c r="AF130" s="39" t="s">
        <v>172</v>
      </c>
      <c r="AG130" s="68" t="s">
        <v>173</v>
      </c>
      <c r="AH130" s="39" t="s">
        <v>174</v>
      </c>
      <c r="AI130" s="39" t="s">
        <v>175</v>
      </c>
      <c r="AJ130" s="39" t="s">
        <v>235</v>
      </c>
      <c r="AK130" s="68" t="s">
        <v>176</v>
      </c>
      <c r="AL130" s="39" t="s">
        <v>177</v>
      </c>
      <c r="AM130" s="39" t="s">
        <v>178</v>
      </c>
      <c r="AN130" s="39" t="s">
        <v>179</v>
      </c>
      <c r="AO130" s="68" t="s">
        <v>180</v>
      </c>
      <c r="AP130" s="39" t="s">
        <v>181</v>
      </c>
      <c r="AQ130" s="39" t="s">
        <v>182</v>
      </c>
      <c r="AR130" s="39" t="s">
        <v>236</v>
      </c>
      <c r="AS130" s="68" t="s">
        <v>183</v>
      </c>
      <c r="AT130" s="39" t="s">
        <v>237</v>
      </c>
      <c r="AU130" s="39" t="s">
        <v>184</v>
      </c>
      <c r="AV130" s="39" t="s">
        <v>238</v>
      </c>
      <c r="AW130" s="68" t="s">
        <v>239</v>
      </c>
      <c r="AX130" s="39" t="s">
        <v>185</v>
      </c>
      <c r="AY130" s="39" t="s">
        <v>186</v>
      </c>
      <c r="AZ130" s="39" t="s">
        <v>240</v>
      </c>
      <c r="BA130" s="68" t="s">
        <v>187</v>
      </c>
      <c r="BB130" s="78" t="s">
        <v>188</v>
      </c>
      <c r="BC130" s="39" t="s">
        <v>241</v>
      </c>
      <c r="BD130" s="39" t="s">
        <v>189</v>
      </c>
      <c r="BE130" s="39" t="s">
        <v>190</v>
      </c>
      <c r="BF130" s="39" t="s">
        <v>242</v>
      </c>
      <c r="BG130" s="39" t="s">
        <v>243</v>
      </c>
      <c r="BH130" s="39" t="s">
        <v>191</v>
      </c>
      <c r="BI130" s="39" t="s">
        <v>192</v>
      </c>
      <c r="BJ130" s="39" t="s">
        <v>193</v>
      </c>
      <c r="BK130" s="39" t="s">
        <v>244</v>
      </c>
      <c r="BL130" s="39" t="s">
        <v>194</v>
      </c>
      <c r="BM130" s="39" t="s">
        <v>195</v>
      </c>
      <c r="BN130" s="39" t="s">
        <v>196</v>
      </c>
      <c r="BO130" s="39" t="s">
        <v>245</v>
      </c>
      <c r="BP130" s="39" t="s">
        <v>197</v>
      </c>
      <c r="BQ130" s="39" t="s">
        <v>198</v>
      </c>
      <c r="BR130" s="39" t="s">
        <v>199</v>
      </c>
      <c r="BS130" s="39" t="s">
        <v>200</v>
      </c>
      <c r="BT130" s="39" t="s">
        <v>201</v>
      </c>
      <c r="BU130" s="39" t="s">
        <v>202</v>
      </c>
      <c r="BV130" s="39" t="s">
        <v>246</v>
      </c>
      <c r="BW130" s="39" t="s">
        <v>203</v>
      </c>
      <c r="BX130" s="39" t="s">
        <v>204</v>
      </c>
      <c r="BY130" s="39" t="s">
        <v>247</v>
      </c>
      <c r="BZ130" s="39" t="s">
        <v>205</v>
      </c>
      <c r="CA130" s="39" t="s">
        <v>206</v>
      </c>
      <c r="CB130" s="39" t="s">
        <v>207</v>
      </c>
      <c r="CC130" s="39" t="s">
        <v>208</v>
      </c>
      <c r="CD130" s="39" t="s">
        <v>209</v>
      </c>
      <c r="CE130" s="39" t="s">
        <v>210</v>
      </c>
      <c r="CF130" s="39" t="s">
        <v>211</v>
      </c>
      <c r="CG130" s="39" t="s">
        <v>212</v>
      </c>
      <c r="CH130" s="39" t="s">
        <v>213</v>
      </c>
      <c r="CI130" s="39" t="s">
        <v>214</v>
      </c>
      <c r="CJ130" s="39" t="s">
        <v>215</v>
      </c>
      <c r="CK130" s="39" t="s">
        <v>216</v>
      </c>
      <c r="CL130" s="39" t="s">
        <v>217</v>
      </c>
      <c r="CM130" s="39" t="s">
        <v>248</v>
      </c>
      <c r="CN130" s="39" t="s">
        <v>218</v>
      </c>
      <c r="CO130" s="39" t="s">
        <v>219</v>
      </c>
      <c r="CP130" s="39" t="s">
        <v>220</v>
      </c>
      <c r="CQ130" s="154" t="str">
        <f>CQ116</f>
        <v>2039年1季度</v>
      </c>
      <c r="CR130" s="154" t="str">
        <f t="shared" ref="CR130:ED130" si="312">CR116</f>
        <v>2039年2季度</v>
      </c>
      <c r="CS130" s="154" t="str">
        <f t="shared" si="312"/>
        <v>2039年3季度</v>
      </c>
      <c r="CT130" s="154" t="str">
        <f t="shared" si="312"/>
        <v>2039年4季度</v>
      </c>
      <c r="CU130" s="154" t="str">
        <f t="shared" si="312"/>
        <v>2040年1季度</v>
      </c>
      <c r="CV130" s="154" t="str">
        <f t="shared" si="312"/>
        <v>2040年2季度</v>
      </c>
      <c r="CW130" s="154" t="str">
        <f t="shared" si="312"/>
        <v>2040年3季度</v>
      </c>
      <c r="CX130" s="154" t="str">
        <f t="shared" si="312"/>
        <v>2040年4季度</v>
      </c>
      <c r="CY130" s="154" t="str">
        <f t="shared" si="312"/>
        <v>2041年1季度</v>
      </c>
      <c r="CZ130" s="154" t="str">
        <f t="shared" si="312"/>
        <v>2041年2季度</v>
      </c>
      <c r="DA130" s="154" t="str">
        <f t="shared" si="312"/>
        <v>2041年3季度</v>
      </c>
      <c r="DB130" s="154" t="str">
        <f t="shared" si="312"/>
        <v>2041年4季度</v>
      </c>
      <c r="DC130" s="154" t="str">
        <f t="shared" si="312"/>
        <v>2042年1季度</v>
      </c>
      <c r="DD130" s="154" t="str">
        <f t="shared" si="312"/>
        <v>2042年2季度</v>
      </c>
      <c r="DE130" s="154" t="str">
        <f t="shared" si="312"/>
        <v>2042年3季度</v>
      </c>
      <c r="DF130" s="154" t="str">
        <f t="shared" si="312"/>
        <v>2042年4季度</v>
      </c>
      <c r="DG130" s="154" t="str">
        <f t="shared" si="312"/>
        <v>2043年1季度</v>
      </c>
      <c r="DH130" s="154" t="str">
        <f t="shared" si="312"/>
        <v>2043年2季度</v>
      </c>
      <c r="DI130" s="154" t="str">
        <f t="shared" si="312"/>
        <v>2043年3季度</v>
      </c>
      <c r="DJ130" s="154" t="str">
        <f t="shared" si="312"/>
        <v>2043年4季度</v>
      </c>
      <c r="DK130" s="154" t="str">
        <f t="shared" si="312"/>
        <v>2044年1季度</v>
      </c>
      <c r="DL130" s="154" t="str">
        <f t="shared" si="312"/>
        <v>2044年2季度</v>
      </c>
      <c r="DM130" s="154" t="str">
        <f t="shared" si="312"/>
        <v>2044年3季度</v>
      </c>
      <c r="DN130" s="154" t="str">
        <f t="shared" si="312"/>
        <v>2044年4季度</v>
      </c>
      <c r="DO130" s="154" t="str">
        <f t="shared" si="312"/>
        <v>2045年1季度</v>
      </c>
      <c r="DP130" s="154" t="str">
        <f t="shared" si="312"/>
        <v>2045年2季度</v>
      </c>
      <c r="DQ130" s="154" t="str">
        <f t="shared" si="312"/>
        <v>2045年3季度</v>
      </c>
      <c r="DR130" s="154" t="str">
        <f t="shared" si="312"/>
        <v>2045年4季度</v>
      </c>
      <c r="DS130" s="154" t="str">
        <f t="shared" si="312"/>
        <v>2046年1季度</v>
      </c>
      <c r="DT130" s="154" t="str">
        <f t="shared" si="312"/>
        <v>2046年2季度</v>
      </c>
      <c r="DU130" s="154" t="str">
        <f t="shared" si="312"/>
        <v>2046年3季度</v>
      </c>
      <c r="DV130" s="154" t="str">
        <f t="shared" si="312"/>
        <v>2046年4季度</v>
      </c>
      <c r="DW130" s="154" t="str">
        <f t="shared" si="312"/>
        <v>2047年1季度</v>
      </c>
      <c r="DX130" s="154" t="str">
        <f t="shared" si="312"/>
        <v>2047年2季度</v>
      </c>
      <c r="DY130" s="154" t="str">
        <f t="shared" si="312"/>
        <v>2047年3季度</v>
      </c>
      <c r="DZ130" s="154" t="str">
        <f t="shared" si="312"/>
        <v>2047年4季度</v>
      </c>
      <c r="EA130" s="154" t="str">
        <f t="shared" si="312"/>
        <v>2048年1季度</v>
      </c>
      <c r="EB130" s="154" t="str">
        <f t="shared" si="312"/>
        <v>2048年2季度</v>
      </c>
      <c r="EC130" s="154" t="str">
        <f t="shared" si="312"/>
        <v>2048年3季度</v>
      </c>
      <c r="ED130" s="154" t="str">
        <f t="shared" si="312"/>
        <v>2048年4季度</v>
      </c>
    </row>
    <row r="131" spans="1:135" s="108" customFormat="1" ht="22.5">
      <c r="C131" s="88" t="s">
        <v>292</v>
      </c>
      <c r="D131" s="106"/>
      <c r="E131" s="106"/>
      <c r="F131" s="106"/>
      <c r="G131" s="106"/>
      <c r="H131" s="107"/>
      <c r="I131" s="106"/>
      <c r="J131" s="106"/>
      <c r="K131" s="106"/>
      <c r="L131" s="106">
        <f>L132+L133+L134</f>
        <v>13447064</v>
      </c>
      <c r="M131" s="106">
        <f>M132+M133+M134</f>
        <v>18688482</v>
      </c>
      <c r="N131" s="106">
        <f t="shared" ref="N131:BX131" si="313">N132+N133+N134</f>
        <v>18645337.2368</v>
      </c>
      <c r="O131" s="106">
        <f t="shared" si="313"/>
        <v>18667242.2368</v>
      </c>
      <c r="P131" s="106">
        <f t="shared" si="313"/>
        <v>18667242.2368</v>
      </c>
      <c r="Q131" s="106">
        <f t="shared" si="313"/>
        <v>18667242.2368</v>
      </c>
      <c r="R131" s="106">
        <f t="shared" si="313"/>
        <v>18340098.950272001</v>
      </c>
      <c r="S131" s="106">
        <f t="shared" si="313"/>
        <v>18393931.950272001</v>
      </c>
      <c r="T131" s="106">
        <f t="shared" si="313"/>
        <v>18397689.950272001</v>
      </c>
      <c r="U131" s="106">
        <f t="shared" si="313"/>
        <v>18397689.950272001</v>
      </c>
      <c r="V131" s="106">
        <f>V132+V133+V134</f>
        <v>18651875.628282882</v>
      </c>
      <c r="W131" s="106">
        <f>W132+W133+W134</f>
        <v>18673945.628282882</v>
      </c>
      <c r="X131" s="106">
        <f>X132+X133+X134</f>
        <v>18673945.628282882</v>
      </c>
      <c r="Y131" s="106">
        <f t="shared" si="313"/>
        <v>18673945.628282882</v>
      </c>
      <c r="Z131" s="106">
        <f t="shared" si="313"/>
        <v>18980281.36007278</v>
      </c>
      <c r="AA131" s="106">
        <f t="shared" si="313"/>
        <v>18980281.36007278</v>
      </c>
      <c r="AB131" s="106">
        <f t="shared" si="313"/>
        <v>18980281.36007278</v>
      </c>
      <c r="AC131" s="106">
        <f t="shared" si="313"/>
        <v>18980281.36007278</v>
      </c>
      <c r="AD131" s="106">
        <f t="shared" si="313"/>
        <v>19520665.376875326</v>
      </c>
      <c r="AE131" s="106">
        <f t="shared" si="313"/>
        <v>19525252.376875326</v>
      </c>
      <c r="AF131" s="106">
        <f t="shared" si="313"/>
        <v>19525252.376875326</v>
      </c>
      <c r="AG131" s="106">
        <f t="shared" si="313"/>
        <v>19525252.376875326</v>
      </c>
      <c r="AH131" s="106">
        <f t="shared" si="313"/>
        <v>19952115.675297212</v>
      </c>
      <c r="AI131" s="106">
        <f t="shared" si="313"/>
        <v>19952115.675297212</v>
      </c>
      <c r="AJ131" s="106">
        <f t="shared" si="313"/>
        <v>19952115.675297212</v>
      </c>
      <c r="AK131" s="106">
        <f t="shared" si="313"/>
        <v>19952115.675297212</v>
      </c>
      <c r="AL131" s="106">
        <f t="shared" si="313"/>
        <v>20448509.992179632</v>
      </c>
      <c r="AM131" s="106">
        <f t="shared" si="313"/>
        <v>20448509.992179632</v>
      </c>
      <c r="AN131" s="106">
        <f t="shared" si="313"/>
        <v>20448509.992179632</v>
      </c>
      <c r="AO131" s="106">
        <f t="shared" si="313"/>
        <v>20448509.992179632</v>
      </c>
      <c r="AP131" s="106">
        <f t="shared" si="313"/>
        <v>20951822.615984123</v>
      </c>
      <c r="AQ131" s="106">
        <f t="shared" si="313"/>
        <v>20951822.615984123</v>
      </c>
      <c r="AR131" s="106">
        <f t="shared" si="313"/>
        <v>20951822.615984123</v>
      </c>
      <c r="AS131" s="106">
        <f t="shared" si="313"/>
        <v>20951822.615984123</v>
      </c>
      <c r="AT131" s="106">
        <f t="shared" si="313"/>
        <v>21475618.181383729</v>
      </c>
      <c r="AU131" s="106">
        <f t="shared" si="313"/>
        <v>21475618.181383729</v>
      </c>
      <c r="AV131" s="106">
        <f t="shared" si="313"/>
        <v>21475618.181383729</v>
      </c>
      <c r="AW131" s="106">
        <f t="shared" si="313"/>
        <v>21475618.181383729</v>
      </c>
      <c r="AX131" s="106">
        <f t="shared" si="313"/>
        <v>22010180.567537699</v>
      </c>
      <c r="AY131" s="106">
        <f t="shared" si="313"/>
        <v>22010180.567537699</v>
      </c>
      <c r="AZ131" s="106">
        <f t="shared" si="313"/>
        <v>22010180.567537699</v>
      </c>
      <c r="BA131" s="106">
        <f t="shared" si="313"/>
        <v>22010180.567537699</v>
      </c>
      <c r="BB131" s="106">
        <f t="shared" si="313"/>
        <v>22450384.178888444</v>
      </c>
      <c r="BC131" s="106">
        <f t="shared" si="313"/>
        <v>22450384.178888444</v>
      </c>
      <c r="BD131" s="106">
        <f t="shared" si="313"/>
        <v>22450384.178888444</v>
      </c>
      <c r="BE131" s="106">
        <f t="shared" si="313"/>
        <v>22450384.178888444</v>
      </c>
      <c r="BF131" s="106">
        <f t="shared" si="313"/>
        <v>22899391.86246622</v>
      </c>
      <c r="BG131" s="106">
        <f t="shared" si="313"/>
        <v>22899391.86246622</v>
      </c>
      <c r="BH131" s="106">
        <f t="shared" si="313"/>
        <v>22899391.86246622</v>
      </c>
      <c r="BI131" s="106">
        <f t="shared" si="313"/>
        <v>22899391.86246622</v>
      </c>
      <c r="BJ131" s="106">
        <f t="shared" si="313"/>
        <v>23357379.699715544</v>
      </c>
      <c r="BK131" s="106">
        <f t="shared" si="313"/>
        <v>23357379.699715544</v>
      </c>
      <c r="BL131" s="106">
        <f t="shared" si="313"/>
        <v>23357379.699715544</v>
      </c>
      <c r="BM131" s="106">
        <f t="shared" si="313"/>
        <v>23357379.699715544</v>
      </c>
      <c r="BN131" s="106">
        <f t="shared" si="313"/>
        <v>23824527.293709856</v>
      </c>
      <c r="BO131" s="106">
        <f t="shared" si="313"/>
        <v>23824527.293709856</v>
      </c>
      <c r="BP131" s="106">
        <f t="shared" si="313"/>
        <v>23824527.293709856</v>
      </c>
      <c r="BQ131" s="106">
        <f t="shared" si="313"/>
        <v>23824527.293709856</v>
      </c>
      <c r="BR131" s="106">
        <f t="shared" si="313"/>
        <v>24301017.83958406</v>
      </c>
      <c r="BS131" s="106">
        <f t="shared" si="313"/>
        <v>24301017.83958406</v>
      </c>
      <c r="BT131" s="106">
        <f t="shared" si="313"/>
        <v>24301017.83958406</v>
      </c>
      <c r="BU131" s="106">
        <f t="shared" si="313"/>
        <v>24301017.83958406</v>
      </c>
      <c r="BV131" s="106">
        <f t="shared" si="313"/>
        <v>24787038.196375735</v>
      </c>
      <c r="BW131" s="106">
        <f t="shared" si="313"/>
        <v>24787038.196375735</v>
      </c>
      <c r="BX131" s="106">
        <f t="shared" si="313"/>
        <v>24787038.196375735</v>
      </c>
      <c r="BY131" s="106">
        <f t="shared" ref="BY131:CO131" si="314">BY132+BY133+BY134</f>
        <v>24787038.196375735</v>
      </c>
      <c r="BZ131" s="106">
        <f t="shared" si="314"/>
        <v>25282778.960303251</v>
      </c>
      <c r="CA131" s="106">
        <f t="shared" si="314"/>
        <v>25282778.960303251</v>
      </c>
      <c r="CB131" s="106">
        <f t="shared" si="314"/>
        <v>25282778.960303251</v>
      </c>
      <c r="CC131" s="106">
        <f t="shared" si="314"/>
        <v>25282778.960303251</v>
      </c>
      <c r="CD131" s="106">
        <f t="shared" si="314"/>
        <v>25788434.539509319</v>
      </c>
      <c r="CE131" s="106">
        <f t="shared" si="314"/>
        <v>25788434.539509319</v>
      </c>
      <c r="CF131" s="106">
        <f t="shared" si="314"/>
        <v>25788434.539509319</v>
      </c>
      <c r="CG131" s="106">
        <f t="shared" si="314"/>
        <v>25788434.539509319</v>
      </c>
      <c r="CH131" s="106">
        <f t="shared" si="314"/>
        <v>26304203.230299499</v>
      </c>
      <c r="CI131" s="106">
        <f t="shared" si="314"/>
        <v>26304203.230299499</v>
      </c>
      <c r="CJ131" s="106">
        <f t="shared" si="314"/>
        <v>26304203.230299499</v>
      </c>
      <c r="CK131" s="106">
        <f t="shared" si="314"/>
        <v>26304203.230299499</v>
      </c>
      <c r="CL131" s="106">
        <f t="shared" si="314"/>
        <v>26830287.294905491</v>
      </c>
      <c r="CM131" s="106">
        <f t="shared" si="314"/>
        <v>26830287.294905491</v>
      </c>
      <c r="CN131" s="106">
        <f t="shared" si="314"/>
        <v>26830287.294905491</v>
      </c>
      <c r="CO131" s="106">
        <f t="shared" si="314"/>
        <v>26830287.294905491</v>
      </c>
      <c r="CP131" s="106">
        <f>CP132+CP133+CP134</f>
        <v>27366893.040803604</v>
      </c>
      <c r="CQ131" s="106">
        <f t="shared" ref="CQ131:ED131" si="315">CQ132+CQ133+CQ134</f>
        <v>27366893.040803604</v>
      </c>
      <c r="CR131" s="106">
        <f t="shared" si="315"/>
        <v>27366893.040803604</v>
      </c>
      <c r="CS131" s="106">
        <f t="shared" si="315"/>
        <v>27366893.040803604</v>
      </c>
      <c r="CT131" s="106">
        <f t="shared" si="315"/>
        <v>27914230.901619673</v>
      </c>
      <c r="CU131" s="106">
        <f t="shared" si="315"/>
        <v>27914230.901619673</v>
      </c>
      <c r="CV131" s="106">
        <f t="shared" si="315"/>
        <v>27914230.901619673</v>
      </c>
      <c r="CW131" s="106">
        <f t="shared" si="315"/>
        <v>27914230.901619673</v>
      </c>
      <c r="CX131" s="106">
        <f t="shared" si="315"/>
        <v>28472515.519652069</v>
      </c>
      <c r="CY131" s="106">
        <f t="shared" si="315"/>
        <v>28472515.519652069</v>
      </c>
      <c r="CZ131" s="106">
        <f t="shared" si="315"/>
        <v>28472515.519652069</v>
      </c>
      <c r="DA131" s="106">
        <f t="shared" si="315"/>
        <v>28472515.519652069</v>
      </c>
      <c r="DB131" s="106">
        <f t="shared" si="315"/>
        <v>29041965.830045111</v>
      </c>
      <c r="DC131" s="106">
        <f t="shared" si="315"/>
        <v>29041965.830045111</v>
      </c>
      <c r="DD131" s="106">
        <f t="shared" si="315"/>
        <v>29041965.830045111</v>
      </c>
      <c r="DE131" s="106">
        <f t="shared" si="315"/>
        <v>29041965.830045111</v>
      </c>
      <c r="DF131" s="106">
        <f t="shared" si="315"/>
        <v>29622805.146646015</v>
      </c>
      <c r="DG131" s="106">
        <f t="shared" si="315"/>
        <v>29622805.146646015</v>
      </c>
      <c r="DH131" s="106">
        <f t="shared" si="315"/>
        <v>29622805.146646015</v>
      </c>
      <c r="DI131" s="106">
        <f t="shared" si="315"/>
        <v>29622805.146646015</v>
      </c>
      <c r="DJ131" s="106">
        <f t="shared" si="315"/>
        <v>30215261.249578934</v>
      </c>
      <c r="DK131" s="106">
        <f t="shared" si="315"/>
        <v>30215261.249578934</v>
      </c>
      <c r="DL131" s="106">
        <f t="shared" si="315"/>
        <v>30215261.249578934</v>
      </c>
      <c r="DM131" s="106">
        <f t="shared" si="315"/>
        <v>30215261.249578934</v>
      </c>
      <c r="DN131" s="106">
        <f t="shared" si="315"/>
        <v>30819566.474570513</v>
      </c>
      <c r="DO131" s="106">
        <f t="shared" si="315"/>
        <v>30819566.474570513</v>
      </c>
      <c r="DP131" s="106">
        <f t="shared" si="315"/>
        <v>30819566.474570513</v>
      </c>
      <c r="DQ131" s="106">
        <f t="shared" si="315"/>
        <v>30819566.474570513</v>
      </c>
      <c r="DR131" s="106">
        <f t="shared" si="315"/>
        <v>31435957.804061927</v>
      </c>
      <c r="DS131" s="106">
        <f t="shared" si="315"/>
        <v>31435957.804061927</v>
      </c>
      <c r="DT131" s="106">
        <f t="shared" si="315"/>
        <v>31435957.804061927</v>
      </c>
      <c r="DU131" s="106">
        <f t="shared" si="315"/>
        <v>31435957.804061927</v>
      </c>
      <c r="DV131" s="106">
        <f t="shared" si="315"/>
        <v>32064676.960143156</v>
      </c>
      <c r="DW131" s="106">
        <f t="shared" si="315"/>
        <v>32064676.960143156</v>
      </c>
      <c r="DX131" s="106">
        <f t="shared" si="315"/>
        <v>32064676.960143156</v>
      </c>
      <c r="DY131" s="106">
        <f t="shared" si="315"/>
        <v>32064676.960143156</v>
      </c>
      <c r="DZ131" s="106">
        <f t="shared" si="315"/>
        <v>32705970.499346025</v>
      </c>
      <c r="EA131" s="106">
        <f t="shared" si="315"/>
        <v>32705970.499346025</v>
      </c>
      <c r="EB131" s="106">
        <f t="shared" si="315"/>
        <v>32705970.499346025</v>
      </c>
      <c r="EC131" s="106">
        <f t="shared" si="315"/>
        <v>32705970.499346025</v>
      </c>
      <c r="ED131" s="106">
        <f t="shared" si="315"/>
        <v>33360089.909332953</v>
      </c>
      <c r="EE131" s="124">
        <f>SUM(L131:ED131)</f>
        <v>3043657505.3369727</v>
      </c>
    </row>
    <row r="132" spans="1:135" s="28" customFormat="1" ht="12.75">
      <c r="C132" s="88" t="s">
        <v>293</v>
      </c>
      <c r="D132" s="49"/>
      <c r="E132" s="49"/>
      <c r="F132" s="49"/>
      <c r="G132" s="49"/>
      <c r="H132" s="79"/>
      <c r="I132" s="49"/>
      <c r="J132" s="49"/>
      <c r="K132" s="49"/>
      <c r="L132" s="49">
        <f>L125</f>
        <v>13447064</v>
      </c>
      <c r="M132" s="49">
        <f>M125</f>
        <v>18688482</v>
      </c>
      <c r="N132" s="49">
        <f t="shared" ref="N132:BX132" si="316">N125</f>
        <v>18645337.2368</v>
      </c>
      <c r="O132" s="49">
        <f t="shared" si="316"/>
        <v>18667242.2368</v>
      </c>
      <c r="P132" s="49">
        <f t="shared" si="316"/>
        <v>18667242.2368</v>
      </c>
      <c r="Q132" s="49">
        <f t="shared" si="316"/>
        <v>18667242.2368</v>
      </c>
      <c r="R132" s="49">
        <f t="shared" si="316"/>
        <v>18340098.950272001</v>
      </c>
      <c r="S132" s="49">
        <f t="shared" si="316"/>
        <v>18393931.950272001</v>
      </c>
      <c r="T132" s="49">
        <f t="shared" si="316"/>
        <v>18397689.950272001</v>
      </c>
      <c r="U132" s="49">
        <f t="shared" si="316"/>
        <v>18397689.950272001</v>
      </c>
      <c r="V132" s="49">
        <f>V125</f>
        <v>18651875.628282882</v>
      </c>
      <c r="W132" s="49">
        <f>W125</f>
        <v>18673945.628282882</v>
      </c>
      <c r="X132" s="49">
        <f>X125</f>
        <v>18673945.628282882</v>
      </c>
      <c r="Y132" s="49">
        <f t="shared" si="316"/>
        <v>18673945.628282882</v>
      </c>
      <c r="Z132" s="49">
        <f t="shared" si="316"/>
        <v>18980281.36007278</v>
      </c>
      <c r="AA132" s="49">
        <f t="shared" si="316"/>
        <v>18980281.36007278</v>
      </c>
      <c r="AB132" s="49">
        <f t="shared" si="316"/>
        <v>18980281.36007278</v>
      </c>
      <c r="AC132" s="49">
        <f t="shared" si="316"/>
        <v>18980281.36007278</v>
      </c>
      <c r="AD132" s="49">
        <f t="shared" si="316"/>
        <v>19520665.376875326</v>
      </c>
      <c r="AE132" s="49">
        <f t="shared" si="316"/>
        <v>19525252.376875326</v>
      </c>
      <c r="AF132" s="49">
        <f t="shared" si="316"/>
        <v>19525252.376875326</v>
      </c>
      <c r="AG132" s="49">
        <f t="shared" si="316"/>
        <v>19525252.376875326</v>
      </c>
      <c r="AH132" s="49">
        <f t="shared" si="316"/>
        <v>19952115.675297212</v>
      </c>
      <c r="AI132" s="49">
        <f t="shared" si="316"/>
        <v>19952115.675297212</v>
      </c>
      <c r="AJ132" s="49">
        <f t="shared" si="316"/>
        <v>19952115.675297212</v>
      </c>
      <c r="AK132" s="49">
        <f t="shared" si="316"/>
        <v>19952115.675297212</v>
      </c>
      <c r="AL132" s="49">
        <f t="shared" si="316"/>
        <v>20448509.992179632</v>
      </c>
      <c r="AM132" s="49">
        <f t="shared" si="316"/>
        <v>20448509.992179632</v>
      </c>
      <c r="AN132" s="49">
        <f t="shared" si="316"/>
        <v>20448509.992179632</v>
      </c>
      <c r="AO132" s="49">
        <f t="shared" si="316"/>
        <v>20448509.992179632</v>
      </c>
      <c r="AP132" s="49">
        <f t="shared" si="316"/>
        <v>20951822.615984123</v>
      </c>
      <c r="AQ132" s="49">
        <f t="shared" si="316"/>
        <v>20951822.615984123</v>
      </c>
      <c r="AR132" s="49">
        <f t="shared" si="316"/>
        <v>20951822.615984123</v>
      </c>
      <c r="AS132" s="49">
        <f t="shared" si="316"/>
        <v>20951822.615984123</v>
      </c>
      <c r="AT132" s="49">
        <f t="shared" si="316"/>
        <v>21475618.181383729</v>
      </c>
      <c r="AU132" s="49">
        <f t="shared" si="316"/>
        <v>21475618.181383729</v>
      </c>
      <c r="AV132" s="49">
        <f t="shared" si="316"/>
        <v>21475618.181383729</v>
      </c>
      <c r="AW132" s="49">
        <f t="shared" si="316"/>
        <v>21475618.181383729</v>
      </c>
      <c r="AX132" s="49">
        <f t="shared" si="316"/>
        <v>22010180.567537699</v>
      </c>
      <c r="AY132" s="49">
        <f t="shared" si="316"/>
        <v>22010180.567537699</v>
      </c>
      <c r="AZ132" s="49">
        <f t="shared" si="316"/>
        <v>22010180.567537699</v>
      </c>
      <c r="BA132" s="49">
        <f t="shared" si="316"/>
        <v>22010180.567537699</v>
      </c>
      <c r="BB132" s="49">
        <f t="shared" si="316"/>
        <v>22450384.178888444</v>
      </c>
      <c r="BC132" s="49">
        <f t="shared" si="316"/>
        <v>22450384.178888444</v>
      </c>
      <c r="BD132" s="49">
        <f t="shared" si="316"/>
        <v>22450384.178888444</v>
      </c>
      <c r="BE132" s="49">
        <f t="shared" si="316"/>
        <v>22450384.178888444</v>
      </c>
      <c r="BF132" s="49">
        <f t="shared" si="316"/>
        <v>22899391.86246622</v>
      </c>
      <c r="BG132" s="49">
        <f t="shared" si="316"/>
        <v>22899391.86246622</v>
      </c>
      <c r="BH132" s="49">
        <f t="shared" si="316"/>
        <v>22899391.86246622</v>
      </c>
      <c r="BI132" s="49">
        <f t="shared" si="316"/>
        <v>22899391.86246622</v>
      </c>
      <c r="BJ132" s="49">
        <f t="shared" si="316"/>
        <v>23357379.699715544</v>
      </c>
      <c r="BK132" s="49">
        <f t="shared" si="316"/>
        <v>23357379.699715544</v>
      </c>
      <c r="BL132" s="49">
        <f t="shared" si="316"/>
        <v>23357379.699715544</v>
      </c>
      <c r="BM132" s="49">
        <f t="shared" si="316"/>
        <v>23357379.699715544</v>
      </c>
      <c r="BN132" s="49">
        <f t="shared" si="316"/>
        <v>23824527.293709856</v>
      </c>
      <c r="BO132" s="49">
        <f t="shared" si="316"/>
        <v>23824527.293709856</v>
      </c>
      <c r="BP132" s="49">
        <f t="shared" si="316"/>
        <v>23824527.293709856</v>
      </c>
      <c r="BQ132" s="49">
        <f t="shared" si="316"/>
        <v>23824527.293709856</v>
      </c>
      <c r="BR132" s="49">
        <f t="shared" si="316"/>
        <v>24301017.83958406</v>
      </c>
      <c r="BS132" s="49">
        <f t="shared" si="316"/>
        <v>24301017.83958406</v>
      </c>
      <c r="BT132" s="49">
        <f t="shared" si="316"/>
        <v>24301017.83958406</v>
      </c>
      <c r="BU132" s="49">
        <f t="shared" si="316"/>
        <v>24301017.83958406</v>
      </c>
      <c r="BV132" s="49">
        <f t="shared" si="316"/>
        <v>24787038.196375735</v>
      </c>
      <c r="BW132" s="49">
        <f t="shared" si="316"/>
        <v>24787038.196375735</v>
      </c>
      <c r="BX132" s="49">
        <f t="shared" si="316"/>
        <v>24787038.196375735</v>
      </c>
      <c r="BY132" s="49">
        <f t="shared" ref="BY132:CP132" si="317">BY125</f>
        <v>24787038.196375735</v>
      </c>
      <c r="BZ132" s="49">
        <f t="shared" si="317"/>
        <v>25282778.960303251</v>
      </c>
      <c r="CA132" s="49">
        <f t="shared" si="317"/>
        <v>25282778.960303251</v>
      </c>
      <c r="CB132" s="49">
        <f t="shared" si="317"/>
        <v>25282778.960303251</v>
      </c>
      <c r="CC132" s="49">
        <f t="shared" si="317"/>
        <v>25282778.960303251</v>
      </c>
      <c r="CD132" s="49">
        <f t="shared" si="317"/>
        <v>25788434.539509319</v>
      </c>
      <c r="CE132" s="49">
        <f t="shared" si="317"/>
        <v>25788434.539509319</v>
      </c>
      <c r="CF132" s="49">
        <f t="shared" si="317"/>
        <v>25788434.539509319</v>
      </c>
      <c r="CG132" s="49">
        <f t="shared" si="317"/>
        <v>25788434.539509319</v>
      </c>
      <c r="CH132" s="49">
        <f t="shared" si="317"/>
        <v>26304203.230299499</v>
      </c>
      <c r="CI132" s="49">
        <f t="shared" si="317"/>
        <v>26304203.230299499</v>
      </c>
      <c r="CJ132" s="49">
        <f t="shared" si="317"/>
        <v>26304203.230299499</v>
      </c>
      <c r="CK132" s="49">
        <f t="shared" si="317"/>
        <v>26304203.230299499</v>
      </c>
      <c r="CL132" s="49">
        <f t="shared" si="317"/>
        <v>26830287.294905491</v>
      </c>
      <c r="CM132" s="49">
        <f t="shared" si="317"/>
        <v>26830287.294905491</v>
      </c>
      <c r="CN132" s="49">
        <f t="shared" si="317"/>
        <v>26830287.294905491</v>
      </c>
      <c r="CO132" s="49">
        <f t="shared" si="317"/>
        <v>26830287.294905491</v>
      </c>
      <c r="CP132" s="49">
        <f t="shared" si="317"/>
        <v>27366893.040803604</v>
      </c>
      <c r="CQ132" s="49">
        <f t="shared" ref="CQ132:ED132" si="318">CQ125</f>
        <v>27366893.040803604</v>
      </c>
      <c r="CR132" s="49">
        <f t="shared" si="318"/>
        <v>27366893.040803604</v>
      </c>
      <c r="CS132" s="49">
        <f t="shared" si="318"/>
        <v>27366893.040803604</v>
      </c>
      <c r="CT132" s="49">
        <f t="shared" si="318"/>
        <v>27914230.901619673</v>
      </c>
      <c r="CU132" s="49">
        <f t="shared" si="318"/>
        <v>27914230.901619673</v>
      </c>
      <c r="CV132" s="49">
        <f t="shared" si="318"/>
        <v>27914230.901619673</v>
      </c>
      <c r="CW132" s="49">
        <f t="shared" si="318"/>
        <v>27914230.901619673</v>
      </c>
      <c r="CX132" s="49">
        <f t="shared" si="318"/>
        <v>28472515.519652069</v>
      </c>
      <c r="CY132" s="49">
        <f t="shared" si="318"/>
        <v>28472515.519652069</v>
      </c>
      <c r="CZ132" s="49">
        <f t="shared" si="318"/>
        <v>28472515.519652069</v>
      </c>
      <c r="DA132" s="49">
        <f t="shared" si="318"/>
        <v>28472515.519652069</v>
      </c>
      <c r="DB132" s="49">
        <f t="shared" si="318"/>
        <v>29041965.830045111</v>
      </c>
      <c r="DC132" s="49">
        <f t="shared" si="318"/>
        <v>29041965.830045111</v>
      </c>
      <c r="DD132" s="49">
        <f t="shared" si="318"/>
        <v>29041965.830045111</v>
      </c>
      <c r="DE132" s="49">
        <f t="shared" si="318"/>
        <v>29041965.830045111</v>
      </c>
      <c r="DF132" s="49">
        <f t="shared" si="318"/>
        <v>29622805.146646015</v>
      </c>
      <c r="DG132" s="49">
        <f t="shared" si="318"/>
        <v>29622805.146646015</v>
      </c>
      <c r="DH132" s="49">
        <f t="shared" si="318"/>
        <v>29622805.146646015</v>
      </c>
      <c r="DI132" s="49">
        <f t="shared" si="318"/>
        <v>29622805.146646015</v>
      </c>
      <c r="DJ132" s="49">
        <f t="shared" si="318"/>
        <v>30215261.249578934</v>
      </c>
      <c r="DK132" s="49">
        <f t="shared" si="318"/>
        <v>30215261.249578934</v>
      </c>
      <c r="DL132" s="49">
        <f t="shared" si="318"/>
        <v>30215261.249578934</v>
      </c>
      <c r="DM132" s="49">
        <f t="shared" si="318"/>
        <v>30215261.249578934</v>
      </c>
      <c r="DN132" s="49">
        <f t="shared" si="318"/>
        <v>30819566.474570513</v>
      </c>
      <c r="DO132" s="49">
        <f t="shared" si="318"/>
        <v>30819566.474570513</v>
      </c>
      <c r="DP132" s="49">
        <f t="shared" si="318"/>
        <v>30819566.474570513</v>
      </c>
      <c r="DQ132" s="49">
        <f t="shared" si="318"/>
        <v>30819566.474570513</v>
      </c>
      <c r="DR132" s="49">
        <f t="shared" si="318"/>
        <v>31435957.804061927</v>
      </c>
      <c r="DS132" s="49">
        <f t="shared" si="318"/>
        <v>31435957.804061927</v>
      </c>
      <c r="DT132" s="49">
        <f t="shared" si="318"/>
        <v>31435957.804061927</v>
      </c>
      <c r="DU132" s="49">
        <f t="shared" si="318"/>
        <v>31435957.804061927</v>
      </c>
      <c r="DV132" s="49">
        <f t="shared" si="318"/>
        <v>32064676.960143156</v>
      </c>
      <c r="DW132" s="49">
        <f t="shared" si="318"/>
        <v>32064676.960143156</v>
      </c>
      <c r="DX132" s="49">
        <f t="shared" si="318"/>
        <v>32064676.960143156</v>
      </c>
      <c r="DY132" s="49">
        <f t="shared" si="318"/>
        <v>32064676.960143156</v>
      </c>
      <c r="DZ132" s="49">
        <f t="shared" si="318"/>
        <v>32705970.499346025</v>
      </c>
      <c r="EA132" s="49">
        <f t="shared" si="318"/>
        <v>32705970.499346025</v>
      </c>
      <c r="EB132" s="49">
        <f t="shared" si="318"/>
        <v>32705970.499346025</v>
      </c>
      <c r="EC132" s="49">
        <f t="shared" si="318"/>
        <v>32705970.499346025</v>
      </c>
      <c r="ED132" s="49">
        <f t="shared" si="318"/>
        <v>33360089.909332953</v>
      </c>
      <c r="EE132" s="124">
        <f t="shared" ref="EE132:EE147" si="319">SUM(L132:ED132)</f>
        <v>3043657505.3369727</v>
      </c>
    </row>
    <row r="133" spans="1:135" s="28" customFormat="1" ht="12.75">
      <c r="C133" s="88" t="s">
        <v>316</v>
      </c>
      <c r="D133" s="49"/>
      <c r="E133" s="49"/>
      <c r="F133" s="49"/>
      <c r="G133" s="49"/>
      <c r="H133" s="79"/>
      <c r="I133" s="49"/>
      <c r="J133" s="49"/>
      <c r="K133" s="49"/>
      <c r="L133" s="49"/>
      <c r="M133" s="52"/>
      <c r="N133" s="52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49"/>
      <c r="CZ133" s="49"/>
      <c r="DA133" s="49"/>
      <c r="DB133" s="49"/>
      <c r="DC133" s="49"/>
      <c r="DD133" s="49"/>
      <c r="DE133" s="49"/>
      <c r="DF133" s="49"/>
      <c r="DG133" s="49"/>
      <c r="DH133" s="49"/>
      <c r="DI133" s="49"/>
      <c r="DJ133" s="49"/>
      <c r="DK133" s="49"/>
      <c r="DL133" s="49"/>
      <c r="DM133" s="49"/>
      <c r="DN133" s="49"/>
      <c r="DO133" s="49"/>
      <c r="DP133" s="49"/>
      <c r="DQ133" s="49"/>
      <c r="DR133" s="49"/>
      <c r="DS133" s="49"/>
      <c r="DT133" s="49"/>
      <c r="DU133" s="49"/>
      <c r="DV133" s="49"/>
      <c r="DW133" s="49"/>
      <c r="DX133" s="49"/>
      <c r="DY133" s="49"/>
      <c r="DZ133" s="49"/>
      <c r="EA133" s="49"/>
      <c r="EB133" s="49"/>
      <c r="EC133" s="49"/>
      <c r="ED133" s="49"/>
      <c r="EE133" s="124">
        <f t="shared" si="319"/>
        <v>0</v>
      </c>
    </row>
    <row r="134" spans="1:135" s="28" customFormat="1" ht="12.75">
      <c r="C134" s="88" t="s">
        <v>297</v>
      </c>
      <c r="D134" s="49"/>
      <c r="E134" s="49"/>
      <c r="F134" s="49"/>
      <c r="G134" s="49"/>
      <c r="H134" s="79"/>
      <c r="I134" s="49"/>
      <c r="J134" s="49"/>
      <c r="K134" s="49"/>
      <c r="L134" s="49"/>
      <c r="M134" s="52"/>
      <c r="N134" s="52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  <c r="CA134" s="49"/>
      <c r="CB134" s="49"/>
      <c r="CC134" s="49"/>
      <c r="CD134" s="49"/>
      <c r="CE134" s="49"/>
      <c r="CF134" s="49"/>
      <c r="CG134" s="49"/>
      <c r="CH134" s="49"/>
      <c r="CI134" s="49"/>
      <c r="CJ134" s="49"/>
      <c r="CK134" s="49"/>
      <c r="CL134" s="49"/>
      <c r="CM134" s="49"/>
      <c r="CN134" s="49"/>
      <c r="CO134" s="49"/>
      <c r="CP134" s="49"/>
      <c r="CQ134" s="49"/>
      <c r="CR134" s="49"/>
      <c r="CS134" s="49"/>
      <c r="CT134" s="49"/>
      <c r="CU134" s="49"/>
      <c r="CV134" s="49"/>
      <c r="CW134" s="49"/>
      <c r="CX134" s="49"/>
      <c r="CY134" s="49"/>
      <c r="CZ134" s="49"/>
      <c r="DA134" s="49"/>
      <c r="DB134" s="49"/>
      <c r="DC134" s="49"/>
      <c r="DD134" s="49"/>
      <c r="DE134" s="49"/>
      <c r="DF134" s="49"/>
      <c r="DG134" s="49"/>
      <c r="DH134" s="49"/>
      <c r="DI134" s="49"/>
      <c r="DJ134" s="49"/>
      <c r="DK134" s="49"/>
      <c r="DL134" s="49"/>
      <c r="DM134" s="49"/>
      <c r="DN134" s="49"/>
      <c r="DO134" s="49"/>
      <c r="DP134" s="49"/>
      <c r="DQ134" s="49"/>
      <c r="DR134" s="49"/>
      <c r="DS134" s="49"/>
      <c r="DT134" s="49"/>
      <c r="DU134" s="49"/>
      <c r="DV134" s="49"/>
      <c r="DW134" s="49"/>
      <c r="DX134" s="49"/>
      <c r="DY134" s="49"/>
      <c r="DZ134" s="49"/>
      <c r="EA134" s="49"/>
      <c r="EB134" s="49"/>
      <c r="EC134" s="49"/>
      <c r="ED134" s="49"/>
      <c r="EE134" s="124">
        <f t="shared" si="319"/>
        <v>0</v>
      </c>
    </row>
    <row r="135" spans="1:135" s="108" customFormat="1" ht="14.25" customHeight="1">
      <c r="A135" s="233">
        <f>D136+D137</f>
        <v>0.11000000000000001</v>
      </c>
      <c r="B135" s="234"/>
      <c r="C135" s="89" t="s">
        <v>310</v>
      </c>
      <c r="D135" s="106"/>
      <c r="E135" s="106"/>
      <c r="F135" s="106"/>
      <c r="G135" s="106"/>
      <c r="H135" s="107"/>
      <c r="I135" s="106"/>
      <c r="J135" s="106"/>
      <c r="K135" s="106"/>
      <c r="L135" s="106">
        <f>L136+L137</f>
        <v>1479177.04</v>
      </c>
      <c r="M135" s="106">
        <f>M136+M137</f>
        <v>2055733.0200000003</v>
      </c>
      <c r="N135" s="106">
        <f>N136+N137</f>
        <v>2050987.0960480003</v>
      </c>
      <c r="O135" s="106">
        <f t="shared" ref="O135:BX135" si="320">O136+O137</f>
        <v>2053396.6460480001</v>
      </c>
      <c r="P135" s="106">
        <f t="shared" si="320"/>
        <v>2053396.6460480001</v>
      </c>
      <c r="Q135" s="106">
        <f t="shared" si="320"/>
        <v>2053396.6460480001</v>
      </c>
      <c r="R135" s="106">
        <f t="shared" si="320"/>
        <v>2017410.8845299203</v>
      </c>
      <c r="S135" s="106">
        <f t="shared" si="320"/>
        <v>2023332.5145299204</v>
      </c>
      <c r="T135" s="106">
        <f t="shared" si="320"/>
        <v>2023745.8945299201</v>
      </c>
      <c r="U135" s="106">
        <f t="shared" si="320"/>
        <v>2023745.8945299201</v>
      </c>
      <c r="V135" s="106">
        <f t="shared" si="320"/>
        <v>2051706.3191111172</v>
      </c>
      <c r="W135" s="106">
        <f t="shared" si="320"/>
        <v>2054134.0191111171</v>
      </c>
      <c r="X135" s="106">
        <f t="shared" si="320"/>
        <v>2054134.0191111171</v>
      </c>
      <c r="Y135" s="106">
        <f t="shared" si="320"/>
        <v>2054134.0191111171</v>
      </c>
      <c r="Z135" s="106">
        <f t="shared" si="320"/>
        <v>2087830.949608006</v>
      </c>
      <c r="AA135" s="106">
        <f t="shared" si="320"/>
        <v>2087830.949608006</v>
      </c>
      <c r="AB135" s="106">
        <f t="shared" si="320"/>
        <v>2087830.949608006</v>
      </c>
      <c r="AC135" s="106">
        <f t="shared" si="320"/>
        <v>2087830.949608006</v>
      </c>
      <c r="AD135" s="106">
        <f t="shared" si="320"/>
        <v>2147273.1914562858</v>
      </c>
      <c r="AE135" s="106">
        <f t="shared" si="320"/>
        <v>2147777.7614562861</v>
      </c>
      <c r="AF135" s="106">
        <f t="shared" si="320"/>
        <v>2147777.7614562861</v>
      </c>
      <c r="AG135" s="106">
        <f t="shared" si="320"/>
        <v>2147777.7614562861</v>
      </c>
      <c r="AH135" s="106">
        <f t="shared" si="320"/>
        <v>2194732.7242826936</v>
      </c>
      <c r="AI135" s="106">
        <f t="shared" si="320"/>
        <v>2194732.7242826936</v>
      </c>
      <c r="AJ135" s="106">
        <f t="shared" si="320"/>
        <v>2194732.7242826936</v>
      </c>
      <c r="AK135" s="106">
        <f t="shared" si="320"/>
        <v>2194732.7242826936</v>
      </c>
      <c r="AL135" s="106">
        <f t="shared" si="320"/>
        <v>2249336.0991397598</v>
      </c>
      <c r="AM135" s="106">
        <f t="shared" si="320"/>
        <v>2249336.0991397598</v>
      </c>
      <c r="AN135" s="106">
        <f t="shared" si="320"/>
        <v>2249336.0991397598</v>
      </c>
      <c r="AO135" s="106">
        <f t="shared" si="320"/>
        <v>2249336.0991397598</v>
      </c>
      <c r="AP135" s="106">
        <f t="shared" si="320"/>
        <v>2304700.4877582537</v>
      </c>
      <c r="AQ135" s="106">
        <f t="shared" si="320"/>
        <v>2304700.4877582537</v>
      </c>
      <c r="AR135" s="106">
        <f t="shared" si="320"/>
        <v>2304700.4877582537</v>
      </c>
      <c r="AS135" s="106">
        <f t="shared" si="320"/>
        <v>2304700.4877582537</v>
      </c>
      <c r="AT135" s="106">
        <f t="shared" si="320"/>
        <v>2362317.9999522101</v>
      </c>
      <c r="AU135" s="106">
        <f t="shared" si="320"/>
        <v>2362317.9999522101</v>
      </c>
      <c r="AV135" s="106">
        <f t="shared" si="320"/>
        <v>2362317.9999522101</v>
      </c>
      <c r="AW135" s="106">
        <f t="shared" si="320"/>
        <v>2362317.9999522101</v>
      </c>
      <c r="AX135" s="106">
        <f t="shared" si="320"/>
        <v>2421119.8624291471</v>
      </c>
      <c r="AY135" s="106">
        <f t="shared" si="320"/>
        <v>2421119.8624291471</v>
      </c>
      <c r="AZ135" s="106">
        <f t="shared" si="320"/>
        <v>2421119.8624291471</v>
      </c>
      <c r="BA135" s="106">
        <f t="shared" si="320"/>
        <v>2421119.8624291471</v>
      </c>
      <c r="BB135" s="106">
        <f t="shared" si="320"/>
        <v>2469542.2596777291</v>
      </c>
      <c r="BC135" s="106">
        <f t="shared" si="320"/>
        <v>2469542.2596777291</v>
      </c>
      <c r="BD135" s="106">
        <f t="shared" si="320"/>
        <v>2469542.2596777291</v>
      </c>
      <c r="BE135" s="106">
        <f t="shared" si="320"/>
        <v>2469542.2596777291</v>
      </c>
      <c r="BF135" s="106">
        <f t="shared" si="320"/>
        <v>2518933.1048712842</v>
      </c>
      <c r="BG135" s="106">
        <f t="shared" si="320"/>
        <v>2518933.1048712842</v>
      </c>
      <c r="BH135" s="106">
        <f t="shared" si="320"/>
        <v>2518933.1048712842</v>
      </c>
      <c r="BI135" s="106">
        <f t="shared" si="320"/>
        <v>2518933.1048712842</v>
      </c>
      <c r="BJ135" s="106">
        <f t="shared" si="320"/>
        <v>2569311.7669687099</v>
      </c>
      <c r="BK135" s="106">
        <f t="shared" si="320"/>
        <v>2569311.7669687099</v>
      </c>
      <c r="BL135" s="106">
        <f t="shared" si="320"/>
        <v>2569311.7669687099</v>
      </c>
      <c r="BM135" s="106">
        <f t="shared" si="320"/>
        <v>2569311.7669687099</v>
      </c>
      <c r="BN135" s="106">
        <f t="shared" si="320"/>
        <v>2620698.0023080842</v>
      </c>
      <c r="BO135" s="106">
        <f t="shared" si="320"/>
        <v>2620698.0023080842</v>
      </c>
      <c r="BP135" s="106">
        <f t="shared" si="320"/>
        <v>2620698.0023080842</v>
      </c>
      <c r="BQ135" s="106">
        <f t="shared" si="320"/>
        <v>2620698.0023080842</v>
      </c>
      <c r="BR135" s="106">
        <f t="shared" si="320"/>
        <v>2673111.962354247</v>
      </c>
      <c r="BS135" s="106">
        <f t="shared" si="320"/>
        <v>2673111.962354247</v>
      </c>
      <c r="BT135" s="106">
        <f t="shared" si="320"/>
        <v>2673111.962354247</v>
      </c>
      <c r="BU135" s="106">
        <f t="shared" si="320"/>
        <v>2673111.962354247</v>
      </c>
      <c r="BV135" s="106">
        <f t="shared" si="320"/>
        <v>2726574.2016013311</v>
      </c>
      <c r="BW135" s="106">
        <f t="shared" si="320"/>
        <v>2726574.2016013311</v>
      </c>
      <c r="BX135" s="106">
        <f t="shared" si="320"/>
        <v>2726574.2016013311</v>
      </c>
      <c r="BY135" s="106">
        <f t="shared" ref="BY135:CP135" si="321">BY136+BY137</f>
        <v>2726574.2016013311</v>
      </c>
      <c r="BZ135" s="106">
        <f t="shared" si="321"/>
        <v>2781105.6856333576</v>
      </c>
      <c r="CA135" s="106">
        <f t="shared" si="321"/>
        <v>2781105.6856333576</v>
      </c>
      <c r="CB135" s="106">
        <f t="shared" si="321"/>
        <v>2781105.6856333576</v>
      </c>
      <c r="CC135" s="106">
        <f t="shared" si="321"/>
        <v>2781105.6856333576</v>
      </c>
      <c r="CD135" s="106">
        <f t="shared" si="321"/>
        <v>2836727.7993460251</v>
      </c>
      <c r="CE135" s="106">
        <f t="shared" si="321"/>
        <v>2836727.7993460251</v>
      </c>
      <c r="CF135" s="106">
        <f t="shared" si="321"/>
        <v>2836727.7993460251</v>
      </c>
      <c r="CG135" s="106">
        <f t="shared" si="321"/>
        <v>2836727.7993460251</v>
      </c>
      <c r="CH135" s="106">
        <f t="shared" si="321"/>
        <v>2893462.355332945</v>
      </c>
      <c r="CI135" s="106">
        <f t="shared" si="321"/>
        <v>2893462.355332945</v>
      </c>
      <c r="CJ135" s="106">
        <f t="shared" si="321"/>
        <v>2893462.355332945</v>
      </c>
      <c r="CK135" s="106">
        <f t="shared" si="321"/>
        <v>2893462.355332945</v>
      </c>
      <c r="CL135" s="106">
        <f t="shared" si="321"/>
        <v>2951331.6024396042</v>
      </c>
      <c r="CM135" s="106">
        <f t="shared" si="321"/>
        <v>2951331.6024396042</v>
      </c>
      <c r="CN135" s="106">
        <f t="shared" si="321"/>
        <v>2951331.6024396042</v>
      </c>
      <c r="CO135" s="106">
        <f t="shared" si="321"/>
        <v>2951331.6024396042</v>
      </c>
      <c r="CP135" s="106">
        <f t="shared" si="321"/>
        <v>3010358.2344883969</v>
      </c>
      <c r="CQ135" s="106">
        <f t="shared" ref="CQ135" si="322">CQ136+CQ137</f>
        <v>3010358.2344883969</v>
      </c>
      <c r="CR135" s="106">
        <f t="shared" ref="CR135" si="323">CR136+CR137</f>
        <v>3010358.2344883969</v>
      </c>
      <c r="CS135" s="106">
        <f t="shared" ref="CS135" si="324">CS136+CS137</f>
        <v>3010358.2344883969</v>
      </c>
      <c r="CT135" s="106">
        <f t="shared" ref="CT135" si="325">CT136+CT137</f>
        <v>3070565.3991781641</v>
      </c>
      <c r="CU135" s="106">
        <f t="shared" ref="CU135" si="326">CU136+CU137</f>
        <v>3070565.3991781641</v>
      </c>
      <c r="CV135" s="106">
        <f t="shared" ref="CV135" si="327">CV136+CV137</f>
        <v>3070565.3991781641</v>
      </c>
      <c r="CW135" s="106">
        <f t="shared" ref="CW135" si="328">CW136+CW137</f>
        <v>3070565.3991781641</v>
      </c>
      <c r="CX135" s="106">
        <f t="shared" ref="CX135" si="329">CX136+CX137</f>
        <v>3131976.7071617274</v>
      </c>
      <c r="CY135" s="106">
        <f t="shared" ref="CY135" si="330">CY136+CY137</f>
        <v>3131976.7071617274</v>
      </c>
      <c r="CZ135" s="106">
        <f t="shared" ref="CZ135" si="331">CZ136+CZ137</f>
        <v>3131976.7071617274</v>
      </c>
      <c r="DA135" s="106">
        <f t="shared" ref="DA135" si="332">DA136+DA137</f>
        <v>3131976.7071617274</v>
      </c>
      <c r="DB135" s="106">
        <f t="shared" ref="DB135" si="333">DB136+DB137</f>
        <v>3194616.2413049624</v>
      </c>
      <c r="DC135" s="106">
        <f t="shared" ref="DC135" si="334">DC136+DC137</f>
        <v>3194616.2413049624</v>
      </c>
      <c r="DD135" s="106">
        <f t="shared" ref="DD135" si="335">DD136+DD137</f>
        <v>3194616.2413049624</v>
      </c>
      <c r="DE135" s="106">
        <f t="shared" ref="DE135" si="336">DE136+DE137</f>
        <v>3194616.2413049624</v>
      </c>
      <c r="DF135" s="106">
        <f t="shared" ref="DF135" si="337">DF136+DF137</f>
        <v>3258508.5661310619</v>
      </c>
      <c r="DG135" s="106">
        <f t="shared" ref="DG135" si="338">DG136+DG137</f>
        <v>3258508.5661310619</v>
      </c>
      <c r="DH135" s="106">
        <f t="shared" ref="DH135" si="339">DH136+DH137</f>
        <v>3258508.5661310619</v>
      </c>
      <c r="DI135" s="106">
        <f t="shared" ref="DI135" si="340">DI136+DI137</f>
        <v>3258508.5661310619</v>
      </c>
      <c r="DJ135" s="106">
        <f t="shared" ref="DJ135" si="341">DJ136+DJ137</f>
        <v>3323678.7374536833</v>
      </c>
      <c r="DK135" s="106">
        <f t="shared" ref="DK135" si="342">DK136+DK137</f>
        <v>3323678.7374536833</v>
      </c>
      <c r="DL135" s="106">
        <f t="shared" ref="DL135" si="343">DL136+DL137</f>
        <v>3323678.7374536833</v>
      </c>
      <c r="DM135" s="106">
        <f t="shared" ref="DM135" si="344">DM136+DM137</f>
        <v>3323678.7374536833</v>
      </c>
      <c r="DN135" s="106">
        <f t="shared" ref="DN135" si="345">DN136+DN137</f>
        <v>3390152.3122027563</v>
      </c>
      <c r="DO135" s="106">
        <f t="shared" ref="DO135" si="346">DO136+DO137</f>
        <v>3390152.3122027563</v>
      </c>
      <c r="DP135" s="106">
        <f t="shared" ref="DP135" si="347">DP136+DP137</f>
        <v>3390152.3122027563</v>
      </c>
      <c r="DQ135" s="106">
        <f t="shared" ref="DQ135" si="348">DQ136+DQ137</f>
        <v>3390152.3122027563</v>
      </c>
      <c r="DR135" s="106">
        <f t="shared" ref="DR135" si="349">DR136+DR137</f>
        <v>3457955.3584468123</v>
      </c>
      <c r="DS135" s="106">
        <f t="shared" ref="DS135" si="350">DS136+DS137</f>
        <v>3457955.3584468123</v>
      </c>
      <c r="DT135" s="106">
        <f t="shared" ref="DT135" si="351">DT136+DT137</f>
        <v>3457955.3584468123</v>
      </c>
      <c r="DU135" s="106">
        <f t="shared" ref="DU135" si="352">DU136+DU137</f>
        <v>3457955.3584468123</v>
      </c>
      <c r="DV135" s="106">
        <f t="shared" ref="DV135" si="353">DV136+DV137</f>
        <v>3527114.4656157475</v>
      </c>
      <c r="DW135" s="106">
        <f t="shared" ref="DW135" si="354">DW136+DW137</f>
        <v>3527114.4656157475</v>
      </c>
      <c r="DX135" s="106">
        <f t="shared" ref="DX135" si="355">DX136+DX137</f>
        <v>3527114.4656157475</v>
      </c>
      <c r="DY135" s="106">
        <f t="shared" ref="DY135" si="356">DY136+DY137</f>
        <v>3527114.4656157475</v>
      </c>
      <c r="DZ135" s="106">
        <f t="shared" ref="DZ135" si="357">DZ136+DZ137</f>
        <v>3597656.7549280627</v>
      </c>
      <c r="EA135" s="106">
        <f t="shared" ref="EA135" si="358">EA136+EA137</f>
        <v>3597656.7549280627</v>
      </c>
      <c r="EB135" s="106">
        <f t="shared" ref="EB135" si="359">EB136+EB137</f>
        <v>3597656.7549280627</v>
      </c>
      <c r="EC135" s="106">
        <f t="shared" ref="EC135" si="360">EC136+EC137</f>
        <v>3597656.7549280627</v>
      </c>
      <c r="ED135" s="106">
        <f t="shared" ref="ED135" si="361">ED136+ED137</f>
        <v>3669609.8900266252</v>
      </c>
      <c r="EE135" s="124">
        <f t="shared" si="319"/>
        <v>334802325.58706707</v>
      </c>
    </row>
    <row r="136" spans="1:135" s="28" customFormat="1" ht="12.75">
      <c r="C136" s="89" t="s">
        <v>311</v>
      </c>
      <c r="D136" s="105">
        <f>商业现金流!D56</f>
        <v>0.04</v>
      </c>
      <c r="E136" s="49"/>
      <c r="F136" s="49"/>
      <c r="G136" s="49"/>
      <c r="H136" s="79"/>
      <c r="I136" s="49"/>
      <c r="J136" s="49"/>
      <c r="K136" s="49"/>
      <c r="L136" s="49">
        <f>D136*L131</f>
        <v>537882.56000000006</v>
      </c>
      <c r="M136" s="49">
        <f>$D$136*M131</f>
        <v>747539.28</v>
      </c>
      <c r="N136" s="49">
        <f t="shared" ref="N136:BY136" si="362">$D$136*N131</f>
        <v>745813.48947200004</v>
      </c>
      <c r="O136" s="49">
        <f t="shared" si="362"/>
        <v>746689.689472</v>
      </c>
      <c r="P136" s="49">
        <f t="shared" si="362"/>
        <v>746689.689472</v>
      </c>
      <c r="Q136" s="49">
        <f t="shared" si="362"/>
        <v>746689.689472</v>
      </c>
      <c r="R136" s="49">
        <f t="shared" si="362"/>
        <v>733603.95801088004</v>
      </c>
      <c r="S136" s="49">
        <f t="shared" si="362"/>
        <v>735757.27801088011</v>
      </c>
      <c r="T136" s="49">
        <f t="shared" si="362"/>
        <v>735907.59801088006</v>
      </c>
      <c r="U136" s="49">
        <f t="shared" si="362"/>
        <v>735907.59801088006</v>
      </c>
      <c r="V136" s="49">
        <f t="shared" si="362"/>
        <v>746075.02513131534</v>
      </c>
      <c r="W136" s="49">
        <f t="shared" si="362"/>
        <v>746957.82513131527</v>
      </c>
      <c r="X136" s="49">
        <f t="shared" si="362"/>
        <v>746957.82513131527</v>
      </c>
      <c r="Y136" s="49">
        <f t="shared" si="362"/>
        <v>746957.82513131527</v>
      </c>
      <c r="Z136" s="49">
        <f t="shared" si="362"/>
        <v>759211.25440291117</v>
      </c>
      <c r="AA136" s="49">
        <f t="shared" si="362"/>
        <v>759211.25440291117</v>
      </c>
      <c r="AB136" s="49">
        <f t="shared" si="362"/>
        <v>759211.25440291117</v>
      </c>
      <c r="AC136" s="49">
        <f t="shared" si="362"/>
        <v>759211.25440291117</v>
      </c>
      <c r="AD136" s="49">
        <f t="shared" si="362"/>
        <v>780826.61507501302</v>
      </c>
      <c r="AE136" s="49">
        <f t="shared" si="362"/>
        <v>781010.095075013</v>
      </c>
      <c r="AF136" s="49">
        <f t="shared" si="362"/>
        <v>781010.095075013</v>
      </c>
      <c r="AG136" s="49">
        <f t="shared" si="362"/>
        <v>781010.095075013</v>
      </c>
      <c r="AH136" s="49">
        <f t="shared" si="362"/>
        <v>798084.62701188854</v>
      </c>
      <c r="AI136" s="49">
        <f t="shared" si="362"/>
        <v>798084.62701188854</v>
      </c>
      <c r="AJ136" s="49">
        <f t="shared" si="362"/>
        <v>798084.62701188854</v>
      </c>
      <c r="AK136" s="49">
        <f t="shared" si="362"/>
        <v>798084.62701188854</v>
      </c>
      <c r="AL136" s="49">
        <f t="shared" si="362"/>
        <v>817940.3996871853</v>
      </c>
      <c r="AM136" s="49">
        <f t="shared" si="362"/>
        <v>817940.3996871853</v>
      </c>
      <c r="AN136" s="49">
        <f t="shared" si="362"/>
        <v>817940.3996871853</v>
      </c>
      <c r="AO136" s="49">
        <f t="shared" si="362"/>
        <v>817940.3996871853</v>
      </c>
      <c r="AP136" s="49">
        <f t="shared" si="362"/>
        <v>838072.90463936492</v>
      </c>
      <c r="AQ136" s="49">
        <f t="shared" si="362"/>
        <v>838072.90463936492</v>
      </c>
      <c r="AR136" s="49">
        <f t="shared" si="362"/>
        <v>838072.90463936492</v>
      </c>
      <c r="AS136" s="49">
        <f t="shared" si="362"/>
        <v>838072.90463936492</v>
      </c>
      <c r="AT136" s="49">
        <f t="shared" si="362"/>
        <v>859024.72725534916</v>
      </c>
      <c r="AU136" s="49">
        <f t="shared" si="362"/>
        <v>859024.72725534916</v>
      </c>
      <c r="AV136" s="49">
        <f t="shared" si="362"/>
        <v>859024.72725534916</v>
      </c>
      <c r="AW136" s="49">
        <f t="shared" si="362"/>
        <v>859024.72725534916</v>
      </c>
      <c r="AX136" s="49">
        <f t="shared" si="362"/>
        <v>880407.22270150797</v>
      </c>
      <c r="AY136" s="49">
        <f t="shared" si="362"/>
        <v>880407.22270150797</v>
      </c>
      <c r="AZ136" s="49">
        <f t="shared" si="362"/>
        <v>880407.22270150797</v>
      </c>
      <c r="BA136" s="49">
        <f t="shared" si="362"/>
        <v>880407.22270150797</v>
      </c>
      <c r="BB136" s="49">
        <f t="shared" si="362"/>
        <v>898015.36715553782</v>
      </c>
      <c r="BC136" s="49">
        <f t="shared" si="362"/>
        <v>898015.36715553782</v>
      </c>
      <c r="BD136" s="49">
        <f t="shared" si="362"/>
        <v>898015.36715553782</v>
      </c>
      <c r="BE136" s="49">
        <f t="shared" si="362"/>
        <v>898015.36715553782</v>
      </c>
      <c r="BF136" s="49">
        <f t="shared" si="362"/>
        <v>915975.67449864885</v>
      </c>
      <c r="BG136" s="49">
        <f t="shared" si="362"/>
        <v>915975.67449864885</v>
      </c>
      <c r="BH136" s="49">
        <f t="shared" si="362"/>
        <v>915975.67449864885</v>
      </c>
      <c r="BI136" s="49">
        <f t="shared" si="362"/>
        <v>915975.67449864885</v>
      </c>
      <c r="BJ136" s="49">
        <f t="shared" si="362"/>
        <v>934295.18798862176</v>
      </c>
      <c r="BK136" s="49">
        <f t="shared" si="362"/>
        <v>934295.18798862176</v>
      </c>
      <c r="BL136" s="49">
        <f t="shared" si="362"/>
        <v>934295.18798862176</v>
      </c>
      <c r="BM136" s="49">
        <f t="shared" si="362"/>
        <v>934295.18798862176</v>
      </c>
      <c r="BN136" s="49">
        <f t="shared" si="362"/>
        <v>952981.09174839419</v>
      </c>
      <c r="BO136" s="49">
        <f t="shared" si="362"/>
        <v>952981.09174839419</v>
      </c>
      <c r="BP136" s="49">
        <f t="shared" si="362"/>
        <v>952981.09174839419</v>
      </c>
      <c r="BQ136" s="49">
        <f t="shared" si="362"/>
        <v>952981.09174839419</v>
      </c>
      <c r="BR136" s="49">
        <f t="shared" si="362"/>
        <v>972040.71358336241</v>
      </c>
      <c r="BS136" s="49">
        <f t="shared" si="362"/>
        <v>972040.71358336241</v>
      </c>
      <c r="BT136" s="49">
        <f t="shared" si="362"/>
        <v>972040.71358336241</v>
      </c>
      <c r="BU136" s="49">
        <f t="shared" si="362"/>
        <v>972040.71358336241</v>
      </c>
      <c r="BV136" s="49">
        <f t="shared" si="362"/>
        <v>991481.52785502945</v>
      </c>
      <c r="BW136" s="49">
        <f t="shared" si="362"/>
        <v>991481.52785502945</v>
      </c>
      <c r="BX136" s="49">
        <f t="shared" si="362"/>
        <v>991481.52785502945</v>
      </c>
      <c r="BY136" s="49">
        <f t="shared" si="362"/>
        <v>991481.52785502945</v>
      </c>
      <c r="BZ136" s="49">
        <f t="shared" ref="BZ136:ED136" si="363">$D$136*BZ131</f>
        <v>1011311.1584121301</v>
      </c>
      <c r="CA136" s="49">
        <f t="shared" si="363"/>
        <v>1011311.1584121301</v>
      </c>
      <c r="CB136" s="49">
        <f t="shared" si="363"/>
        <v>1011311.1584121301</v>
      </c>
      <c r="CC136" s="49">
        <f t="shared" si="363"/>
        <v>1011311.1584121301</v>
      </c>
      <c r="CD136" s="49">
        <f t="shared" si="363"/>
        <v>1031537.3815803728</v>
      </c>
      <c r="CE136" s="49">
        <f t="shared" si="363"/>
        <v>1031537.3815803728</v>
      </c>
      <c r="CF136" s="49">
        <f t="shared" si="363"/>
        <v>1031537.3815803728</v>
      </c>
      <c r="CG136" s="49">
        <f t="shared" si="363"/>
        <v>1031537.3815803728</v>
      </c>
      <c r="CH136" s="49">
        <f t="shared" si="363"/>
        <v>1052168.1292119799</v>
      </c>
      <c r="CI136" s="49">
        <f t="shared" si="363"/>
        <v>1052168.1292119799</v>
      </c>
      <c r="CJ136" s="49">
        <f t="shared" si="363"/>
        <v>1052168.1292119799</v>
      </c>
      <c r="CK136" s="49">
        <f t="shared" si="363"/>
        <v>1052168.1292119799</v>
      </c>
      <c r="CL136" s="49">
        <f t="shared" si="363"/>
        <v>1073211.4917962197</v>
      </c>
      <c r="CM136" s="49">
        <f t="shared" si="363"/>
        <v>1073211.4917962197</v>
      </c>
      <c r="CN136" s="49">
        <f t="shared" si="363"/>
        <v>1073211.4917962197</v>
      </c>
      <c r="CO136" s="49">
        <f t="shared" si="363"/>
        <v>1073211.4917962197</v>
      </c>
      <c r="CP136" s="49">
        <f t="shared" si="363"/>
        <v>1094675.7216321442</v>
      </c>
      <c r="CQ136" s="49">
        <f t="shared" si="363"/>
        <v>1094675.7216321442</v>
      </c>
      <c r="CR136" s="49">
        <f t="shared" si="363"/>
        <v>1094675.7216321442</v>
      </c>
      <c r="CS136" s="49">
        <f t="shared" si="363"/>
        <v>1094675.7216321442</v>
      </c>
      <c r="CT136" s="49">
        <f t="shared" si="363"/>
        <v>1116569.236064787</v>
      </c>
      <c r="CU136" s="49">
        <f t="shared" si="363"/>
        <v>1116569.236064787</v>
      </c>
      <c r="CV136" s="49">
        <f t="shared" si="363"/>
        <v>1116569.236064787</v>
      </c>
      <c r="CW136" s="49">
        <f t="shared" si="363"/>
        <v>1116569.236064787</v>
      </c>
      <c r="CX136" s="49">
        <f t="shared" si="363"/>
        <v>1138900.6207860827</v>
      </c>
      <c r="CY136" s="49">
        <f t="shared" si="363"/>
        <v>1138900.6207860827</v>
      </c>
      <c r="CZ136" s="49">
        <f t="shared" si="363"/>
        <v>1138900.6207860827</v>
      </c>
      <c r="DA136" s="49">
        <f t="shared" si="363"/>
        <v>1138900.6207860827</v>
      </c>
      <c r="DB136" s="49">
        <f t="shared" si="363"/>
        <v>1161678.6332018045</v>
      </c>
      <c r="DC136" s="49">
        <f t="shared" si="363"/>
        <v>1161678.6332018045</v>
      </c>
      <c r="DD136" s="49">
        <f t="shared" si="363"/>
        <v>1161678.6332018045</v>
      </c>
      <c r="DE136" s="49">
        <f t="shared" si="363"/>
        <v>1161678.6332018045</v>
      </c>
      <c r="DF136" s="49">
        <f t="shared" si="363"/>
        <v>1184912.2058658407</v>
      </c>
      <c r="DG136" s="49">
        <f t="shared" si="363"/>
        <v>1184912.2058658407</v>
      </c>
      <c r="DH136" s="49">
        <f t="shared" si="363"/>
        <v>1184912.2058658407</v>
      </c>
      <c r="DI136" s="49">
        <f t="shared" si="363"/>
        <v>1184912.2058658407</v>
      </c>
      <c r="DJ136" s="49">
        <f t="shared" si="363"/>
        <v>1208610.4499831575</v>
      </c>
      <c r="DK136" s="49">
        <f t="shared" si="363"/>
        <v>1208610.4499831575</v>
      </c>
      <c r="DL136" s="49">
        <f t="shared" si="363"/>
        <v>1208610.4499831575</v>
      </c>
      <c r="DM136" s="49">
        <f t="shared" si="363"/>
        <v>1208610.4499831575</v>
      </c>
      <c r="DN136" s="49">
        <f t="shared" si="363"/>
        <v>1232782.6589828206</v>
      </c>
      <c r="DO136" s="49">
        <f t="shared" si="363"/>
        <v>1232782.6589828206</v>
      </c>
      <c r="DP136" s="49">
        <f t="shared" si="363"/>
        <v>1232782.6589828206</v>
      </c>
      <c r="DQ136" s="49">
        <f t="shared" si="363"/>
        <v>1232782.6589828206</v>
      </c>
      <c r="DR136" s="49">
        <f t="shared" si="363"/>
        <v>1257438.3121624771</v>
      </c>
      <c r="DS136" s="49">
        <f t="shared" si="363"/>
        <v>1257438.3121624771</v>
      </c>
      <c r="DT136" s="49">
        <f t="shared" si="363"/>
        <v>1257438.3121624771</v>
      </c>
      <c r="DU136" s="49">
        <f t="shared" si="363"/>
        <v>1257438.3121624771</v>
      </c>
      <c r="DV136" s="49">
        <f t="shared" si="363"/>
        <v>1282587.0784057262</v>
      </c>
      <c r="DW136" s="49">
        <f t="shared" si="363"/>
        <v>1282587.0784057262</v>
      </c>
      <c r="DX136" s="49">
        <f t="shared" si="363"/>
        <v>1282587.0784057262</v>
      </c>
      <c r="DY136" s="49">
        <f t="shared" si="363"/>
        <v>1282587.0784057262</v>
      </c>
      <c r="DZ136" s="49">
        <f t="shared" si="363"/>
        <v>1308238.8199738411</v>
      </c>
      <c r="EA136" s="49">
        <f t="shared" si="363"/>
        <v>1308238.8199738411</v>
      </c>
      <c r="EB136" s="49">
        <f t="shared" si="363"/>
        <v>1308238.8199738411</v>
      </c>
      <c r="EC136" s="49">
        <f t="shared" si="363"/>
        <v>1308238.8199738411</v>
      </c>
      <c r="ED136" s="49">
        <f t="shared" si="363"/>
        <v>1334403.5963733182</v>
      </c>
      <c r="EE136" s="124">
        <f t="shared" si="319"/>
        <v>121746300.21347894</v>
      </c>
    </row>
    <row r="137" spans="1:135" s="28" customFormat="1" ht="12.75">
      <c r="C137" s="89" t="s">
        <v>312</v>
      </c>
      <c r="D137" s="105">
        <f>商业现金流!D57</f>
        <v>7.0000000000000007E-2</v>
      </c>
      <c r="E137" s="49"/>
      <c r="F137" s="49"/>
      <c r="G137" s="49"/>
      <c r="H137" s="79"/>
      <c r="I137" s="49"/>
      <c r="J137" s="49"/>
      <c r="K137" s="49"/>
      <c r="L137" s="49">
        <f>D137*L131</f>
        <v>941294.4800000001</v>
      </c>
      <c r="M137" s="49">
        <f>$D$137*M131</f>
        <v>1308193.7400000002</v>
      </c>
      <c r="N137" s="49">
        <f t="shared" ref="N137:BY137" si="364">$D$137*N131</f>
        <v>1305173.6065760001</v>
      </c>
      <c r="O137" s="49">
        <f t="shared" si="364"/>
        <v>1306706.9565760002</v>
      </c>
      <c r="P137" s="49">
        <f t="shared" si="364"/>
        <v>1306706.9565760002</v>
      </c>
      <c r="Q137" s="49">
        <f t="shared" si="364"/>
        <v>1306706.9565760002</v>
      </c>
      <c r="R137" s="49">
        <f t="shared" si="364"/>
        <v>1283806.9265190403</v>
      </c>
      <c r="S137" s="49">
        <f t="shared" si="364"/>
        <v>1287575.2365190403</v>
      </c>
      <c r="T137" s="49">
        <f t="shared" si="364"/>
        <v>1287838.2965190401</v>
      </c>
      <c r="U137" s="49">
        <f t="shared" si="364"/>
        <v>1287838.2965190401</v>
      </c>
      <c r="V137" s="49">
        <f t="shared" si="364"/>
        <v>1305631.2939798019</v>
      </c>
      <c r="W137" s="49">
        <f t="shared" si="364"/>
        <v>1307176.1939798018</v>
      </c>
      <c r="X137" s="49">
        <f t="shared" si="364"/>
        <v>1307176.1939798018</v>
      </c>
      <c r="Y137" s="49">
        <f t="shared" si="364"/>
        <v>1307176.1939798018</v>
      </c>
      <c r="Z137" s="49">
        <f t="shared" si="364"/>
        <v>1328619.6952050948</v>
      </c>
      <c r="AA137" s="49">
        <f t="shared" si="364"/>
        <v>1328619.6952050948</v>
      </c>
      <c r="AB137" s="49">
        <f t="shared" si="364"/>
        <v>1328619.6952050948</v>
      </c>
      <c r="AC137" s="49">
        <f t="shared" si="364"/>
        <v>1328619.6952050948</v>
      </c>
      <c r="AD137" s="49">
        <f t="shared" si="364"/>
        <v>1366446.5763812729</v>
      </c>
      <c r="AE137" s="49">
        <f t="shared" si="364"/>
        <v>1366767.666381273</v>
      </c>
      <c r="AF137" s="49">
        <f t="shared" si="364"/>
        <v>1366767.666381273</v>
      </c>
      <c r="AG137" s="49">
        <f t="shared" si="364"/>
        <v>1366767.666381273</v>
      </c>
      <c r="AH137" s="49">
        <f t="shared" si="364"/>
        <v>1396648.0972708049</v>
      </c>
      <c r="AI137" s="49">
        <f t="shared" si="364"/>
        <v>1396648.0972708049</v>
      </c>
      <c r="AJ137" s="49">
        <f t="shared" si="364"/>
        <v>1396648.0972708049</v>
      </c>
      <c r="AK137" s="49">
        <f t="shared" si="364"/>
        <v>1396648.0972708049</v>
      </c>
      <c r="AL137" s="49">
        <f t="shared" si="364"/>
        <v>1431395.6994525744</v>
      </c>
      <c r="AM137" s="49">
        <f t="shared" si="364"/>
        <v>1431395.6994525744</v>
      </c>
      <c r="AN137" s="49">
        <f t="shared" si="364"/>
        <v>1431395.6994525744</v>
      </c>
      <c r="AO137" s="49">
        <f t="shared" si="364"/>
        <v>1431395.6994525744</v>
      </c>
      <c r="AP137" s="49">
        <f t="shared" si="364"/>
        <v>1466627.5831188888</v>
      </c>
      <c r="AQ137" s="49">
        <f t="shared" si="364"/>
        <v>1466627.5831188888</v>
      </c>
      <c r="AR137" s="49">
        <f t="shared" si="364"/>
        <v>1466627.5831188888</v>
      </c>
      <c r="AS137" s="49">
        <f t="shared" si="364"/>
        <v>1466627.5831188888</v>
      </c>
      <c r="AT137" s="49">
        <f t="shared" si="364"/>
        <v>1503293.2726968611</v>
      </c>
      <c r="AU137" s="49">
        <f t="shared" si="364"/>
        <v>1503293.2726968611</v>
      </c>
      <c r="AV137" s="49">
        <f t="shared" si="364"/>
        <v>1503293.2726968611</v>
      </c>
      <c r="AW137" s="49">
        <f t="shared" si="364"/>
        <v>1503293.2726968611</v>
      </c>
      <c r="AX137" s="49">
        <f t="shared" si="364"/>
        <v>1540712.639727639</v>
      </c>
      <c r="AY137" s="49">
        <f t="shared" si="364"/>
        <v>1540712.639727639</v>
      </c>
      <c r="AZ137" s="49">
        <f t="shared" si="364"/>
        <v>1540712.639727639</v>
      </c>
      <c r="BA137" s="49">
        <f t="shared" si="364"/>
        <v>1540712.639727639</v>
      </c>
      <c r="BB137" s="49">
        <f t="shared" si="364"/>
        <v>1571526.8925221912</v>
      </c>
      <c r="BC137" s="49">
        <f t="shared" si="364"/>
        <v>1571526.8925221912</v>
      </c>
      <c r="BD137" s="49">
        <f t="shared" si="364"/>
        <v>1571526.8925221912</v>
      </c>
      <c r="BE137" s="49">
        <f t="shared" si="364"/>
        <v>1571526.8925221912</v>
      </c>
      <c r="BF137" s="49">
        <f t="shared" si="364"/>
        <v>1602957.4303726356</v>
      </c>
      <c r="BG137" s="49">
        <f t="shared" si="364"/>
        <v>1602957.4303726356</v>
      </c>
      <c r="BH137" s="49">
        <f t="shared" si="364"/>
        <v>1602957.4303726356</v>
      </c>
      <c r="BI137" s="49">
        <f t="shared" si="364"/>
        <v>1602957.4303726356</v>
      </c>
      <c r="BJ137" s="49">
        <f t="shared" si="364"/>
        <v>1635016.5789800882</v>
      </c>
      <c r="BK137" s="49">
        <f t="shared" si="364"/>
        <v>1635016.5789800882</v>
      </c>
      <c r="BL137" s="49">
        <f t="shared" si="364"/>
        <v>1635016.5789800882</v>
      </c>
      <c r="BM137" s="49">
        <f t="shared" si="364"/>
        <v>1635016.5789800882</v>
      </c>
      <c r="BN137" s="49">
        <f t="shared" si="364"/>
        <v>1667716.9105596901</v>
      </c>
      <c r="BO137" s="49">
        <f t="shared" si="364"/>
        <v>1667716.9105596901</v>
      </c>
      <c r="BP137" s="49">
        <f t="shared" si="364"/>
        <v>1667716.9105596901</v>
      </c>
      <c r="BQ137" s="49">
        <f t="shared" si="364"/>
        <v>1667716.9105596901</v>
      </c>
      <c r="BR137" s="49">
        <f t="shared" si="364"/>
        <v>1701071.2487708845</v>
      </c>
      <c r="BS137" s="49">
        <f t="shared" si="364"/>
        <v>1701071.2487708845</v>
      </c>
      <c r="BT137" s="49">
        <f t="shared" si="364"/>
        <v>1701071.2487708845</v>
      </c>
      <c r="BU137" s="49">
        <f t="shared" si="364"/>
        <v>1701071.2487708845</v>
      </c>
      <c r="BV137" s="49">
        <f t="shared" si="364"/>
        <v>1735092.6737463016</v>
      </c>
      <c r="BW137" s="49">
        <f t="shared" si="364"/>
        <v>1735092.6737463016</v>
      </c>
      <c r="BX137" s="49">
        <f t="shared" si="364"/>
        <v>1735092.6737463016</v>
      </c>
      <c r="BY137" s="49">
        <f t="shared" si="364"/>
        <v>1735092.6737463016</v>
      </c>
      <c r="BZ137" s="49">
        <f t="shared" ref="BZ137:ED137" si="365">$D$137*BZ131</f>
        <v>1769794.5272212278</v>
      </c>
      <c r="CA137" s="49">
        <f t="shared" si="365"/>
        <v>1769794.5272212278</v>
      </c>
      <c r="CB137" s="49">
        <f t="shared" si="365"/>
        <v>1769794.5272212278</v>
      </c>
      <c r="CC137" s="49">
        <f t="shared" si="365"/>
        <v>1769794.5272212278</v>
      </c>
      <c r="CD137" s="49">
        <f t="shared" si="365"/>
        <v>1805190.4177656525</v>
      </c>
      <c r="CE137" s="49">
        <f t="shared" si="365"/>
        <v>1805190.4177656525</v>
      </c>
      <c r="CF137" s="49">
        <f t="shared" si="365"/>
        <v>1805190.4177656525</v>
      </c>
      <c r="CG137" s="49">
        <f t="shared" si="365"/>
        <v>1805190.4177656525</v>
      </c>
      <c r="CH137" s="49">
        <f t="shared" si="365"/>
        <v>1841294.2261209651</v>
      </c>
      <c r="CI137" s="49">
        <f t="shared" si="365"/>
        <v>1841294.2261209651</v>
      </c>
      <c r="CJ137" s="49">
        <f t="shared" si="365"/>
        <v>1841294.2261209651</v>
      </c>
      <c r="CK137" s="49">
        <f t="shared" si="365"/>
        <v>1841294.2261209651</v>
      </c>
      <c r="CL137" s="49">
        <f t="shared" si="365"/>
        <v>1878120.1106433845</v>
      </c>
      <c r="CM137" s="49">
        <f t="shared" si="365"/>
        <v>1878120.1106433845</v>
      </c>
      <c r="CN137" s="49">
        <f t="shared" si="365"/>
        <v>1878120.1106433845</v>
      </c>
      <c r="CO137" s="49">
        <f t="shared" si="365"/>
        <v>1878120.1106433845</v>
      </c>
      <c r="CP137" s="49">
        <f t="shared" si="365"/>
        <v>1915682.5128562525</v>
      </c>
      <c r="CQ137" s="49">
        <f t="shared" si="365"/>
        <v>1915682.5128562525</v>
      </c>
      <c r="CR137" s="49">
        <f t="shared" si="365"/>
        <v>1915682.5128562525</v>
      </c>
      <c r="CS137" s="49">
        <f t="shared" si="365"/>
        <v>1915682.5128562525</v>
      </c>
      <c r="CT137" s="49">
        <f t="shared" si="365"/>
        <v>1953996.1631133773</v>
      </c>
      <c r="CU137" s="49">
        <f t="shared" si="365"/>
        <v>1953996.1631133773</v>
      </c>
      <c r="CV137" s="49">
        <f t="shared" si="365"/>
        <v>1953996.1631133773</v>
      </c>
      <c r="CW137" s="49">
        <f t="shared" si="365"/>
        <v>1953996.1631133773</v>
      </c>
      <c r="CX137" s="49">
        <f t="shared" si="365"/>
        <v>1993076.0863756449</v>
      </c>
      <c r="CY137" s="49">
        <f t="shared" si="365"/>
        <v>1993076.0863756449</v>
      </c>
      <c r="CZ137" s="49">
        <f t="shared" si="365"/>
        <v>1993076.0863756449</v>
      </c>
      <c r="DA137" s="49">
        <f t="shared" si="365"/>
        <v>1993076.0863756449</v>
      </c>
      <c r="DB137" s="49">
        <f t="shared" si="365"/>
        <v>2032937.608103158</v>
      </c>
      <c r="DC137" s="49">
        <f t="shared" si="365"/>
        <v>2032937.608103158</v>
      </c>
      <c r="DD137" s="49">
        <f t="shared" si="365"/>
        <v>2032937.608103158</v>
      </c>
      <c r="DE137" s="49">
        <f t="shared" si="365"/>
        <v>2032937.608103158</v>
      </c>
      <c r="DF137" s="49">
        <f t="shared" si="365"/>
        <v>2073596.3602652212</v>
      </c>
      <c r="DG137" s="49">
        <f t="shared" si="365"/>
        <v>2073596.3602652212</v>
      </c>
      <c r="DH137" s="49">
        <f t="shared" si="365"/>
        <v>2073596.3602652212</v>
      </c>
      <c r="DI137" s="49">
        <f t="shared" si="365"/>
        <v>2073596.3602652212</v>
      </c>
      <c r="DJ137" s="49">
        <f t="shared" si="365"/>
        <v>2115068.2874705256</v>
      </c>
      <c r="DK137" s="49">
        <f t="shared" si="365"/>
        <v>2115068.2874705256</v>
      </c>
      <c r="DL137" s="49">
        <f t="shared" si="365"/>
        <v>2115068.2874705256</v>
      </c>
      <c r="DM137" s="49">
        <f t="shared" si="365"/>
        <v>2115068.2874705256</v>
      </c>
      <c r="DN137" s="49">
        <f t="shared" si="365"/>
        <v>2157369.6532199359</v>
      </c>
      <c r="DO137" s="49">
        <f t="shared" si="365"/>
        <v>2157369.6532199359</v>
      </c>
      <c r="DP137" s="49">
        <f t="shared" si="365"/>
        <v>2157369.6532199359</v>
      </c>
      <c r="DQ137" s="49">
        <f t="shared" si="365"/>
        <v>2157369.6532199359</v>
      </c>
      <c r="DR137" s="49">
        <f t="shared" si="365"/>
        <v>2200517.0462843352</v>
      </c>
      <c r="DS137" s="49">
        <f t="shared" si="365"/>
        <v>2200517.0462843352</v>
      </c>
      <c r="DT137" s="49">
        <f t="shared" si="365"/>
        <v>2200517.0462843352</v>
      </c>
      <c r="DU137" s="49">
        <f t="shared" si="365"/>
        <v>2200517.0462843352</v>
      </c>
      <c r="DV137" s="49">
        <f t="shared" si="365"/>
        <v>2244527.3872100213</v>
      </c>
      <c r="DW137" s="49">
        <f t="shared" si="365"/>
        <v>2244527.3872100213</v>
      </c>
      <c r="DX137" s="49">
        <f t="shared" si="365"/>
        <v>2244527.3872100213</v>
      </c>
      <c r="DY137" s="49">
        <f t="shared" si="365"/>
        <v>2244527.3872100213</v>
      </c>
      <c r="DZ137" s="49">
        <f t="shared" si="365"/>
        <v>2289417.9349542218</v>
      </c>
      <c r="EA137" s="49">
        <f t="shared" si="365"/>
        <v>2289417.9349542218</v>
      </c>
      <c r="EB137" s="49">
        <f t="shared" si="365"/>
        <v>2289417.9349542218</v>
      </c>
      <c r="EC137" s="49">
        <f t="shared" si="365"/>
        <v>2289417.9349542218</v>
      </c>
      <c r="ED137" s="49">
        <f t="shared" si="365"/>
        <v>2335206.293653307</v>
      </c>
      <c r="EE137" s="124">
        <f t="shared" si="319"/>
        <v>213056025.37358809</v>
      </c>
    </row>
    <row r="138" spans="1:135" s="28" customFormat="1" ht="12.75">
      <c r="C138" s="102" t="s">
        <v>34</v>
      </c>
      <c r="D138" s="105"/>
      <c r="E138" s="49"/>
      <c r="F138" s="49"/>
      <c r="G138" s="49"/>
      <c r="H138" s="7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  <c r="CD138" s="49"/>
      <c r="CE138" s="49"/>
      <c r="CF138" s="49"/>
      <c r="CG138" s="49"/>
      <c r="CH138" s="49"/>
      <c r="CI138" s="49"/>
      <c r="CJ138" s="49"/>
      <c r="CK138" s="49"/>
      <c r="CL138" s="49"/>
      <c r="CM138" s="49"/>
      <c r="CN138" s="49"/>
      <c r="CO138" s="49"/>
      <c r="CP138" s="49"/>
      <c r="CQ138" s="49"/>
      <c r="CR138" s="49"/>
      <c r="CS138" s="49"/>
      <c r="CT138" s="49"/>
      <c r="CU138" s="49"/>
      <c r="CV138" s="49"/>
      <c r="CW138" s="49"/>
      <c r="CX138" s="49"/>
      <c r="CY138" s="49"/>
      <c r="CZ138" s="49"/>
      <c r="DA138" s="49"/>
      <c r="DB138" s="49"/>
      <c r="DC138" s="49"/>
      <c r="DD138" s="49"/>
      <c r="DE138" s="49"/>
      <c r="DF138" s="49"/>
      <c r="DG138" s="49"/>
      <c r="DH138" s="49"/>
      <c r="DI138" s="49"/>
      <c r="DJ138" s="49"/>
      <c r="DK138" s="49"/>
      <c r="DL138" s="49"/>
      <c r="DM138" s="49"/>
      <c r="DN138" s="49"/>
      <c r="DO138" s="49"/>
      <c r="DP138" s="49"/>
      <c r="DQ138" s="49"/>
      <c r="DR138" s="49"/>
      <c r="DS138" s="49"/>
      <c r="DT138" s="49"/>
      <c r="DU138" s="49"/>
      <c r="DV138" s="49"/>
      <c r="DW138" s="49"/>
      <c r="DX138" s="49"/>
      <c r="DY138" s="49"/>
      <c r="DZ138" s="49"/>
      <c r="EA138" s="49"/>
      <c r="EB138" s="49"/>
      <c r="EC138" s="49"/>
      <c r="ED138" s="49"/>
      <c r="EE138" s="124">
        <f t="shared" si="319"/>
        <v>0</v>
      </c>
    </row>
    <row r="139" spans="1:135" s="28" customFormat="1" ht="12.75">
      <c r="C139" s="102" t="s">
        <v>35</v>
      </c>
      <c r="D139" s="105"/>
      <c r="E139" s="49"/>
      <c r="F139" s="49"/>
      <c r="G139" s="49"/>
      <c r="H139" s="7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  <c r="CN139" s="49"/>
      <c r="CO139" s="49"/>
      <c r="CP139" s="49"/>
      <c r="CQ139" s="49"/>
      <c r="CR139" s="49"/>
      <c r="CS139" s="49"/>
      <c r="CT139" s="49"/>
      <c r="CU139" s="49"/>
      <c r="CV139" s="49"/>
      <c r="CW139" s="49"/>
      <c r="CX139" s="49"/>
      <c r="CY139" s="49"/>
      <c r="CZ139" s="49"/>
      <c r="DA139" s="49"/>
      <c r="DB139" s="49"/>
      <c r="DC139" s="49"/>
      <c r="DD139" s="49"/>
      <c r="DE139" s="49"/>
      <c r="DF139" s="49"/>
      <c r="DG139" s="49"/>
      <c r="DH139" s="49"/>
      <c r="DI139" s="49"/>
      <c r="DJ139" s="49"/>
      <c r="DK139" s="49"/>
      <c r="DL139" s="49"/>
      <c r="DM139" s="49"/>
      <c r="DN139" s="49"/>
      <c r="DO139" s="49"/>
      <c r="DP139" s="49"/>
      <c r="DQ139" s="49"/>
      <c r="DR139" s="49"/>
      <c r="DS139" s="49"/>
      <c r="DT139" s="49"/>
      <c r="DU139" s="49"/>
      <c r="DV139" s="49"/>
      <c r="DW139" s="49"/>
      <c r="DX139" s="49"/>
      <c r="DY139" s="49"/>
      <c r="DZ139" s="49"/>
      <c r="EA139" s="49"/>
      <c r="EB139" s="49"/>
      <c r="EC139" s="49"/>
      <c r="ED139" s="49"/>
      <c r="EE139" s="124">
        <f t="shared" si="319"/>
        <v>0</v>
      </c>
    </row>
    <row r="140" spans="1:135" s="28" customFormat="1" ht="12.75">
      <c r="C140" s="102" t="s">
        <v>36</v>
      </c>
      <c r="D140" s="105"/>
      <c r="E140" s="49"/>
      <c r="F140" s="49"/>
      <c r="G140" s="49"/>
      <c r="H140" s="7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  <c r="CQ140" s="49"/>
      <c r="CR140" s="49"/>
      <c r="CS140" s="49"/>
      <c r="CT140" s="49"/>
      <c r="CU140" s="49"/>
      <c r="CV140" s="49"/>
      <c r="CW140" s="49"/>
      <c r="CX140" s="49"/>
      <c r="CY140" s="49"/>
      <c r="CZ140" s="49"/>
      <c r="DA140" s="49"/>
      <c r="DB140" s="49"/>
      <c r="DC140" s="49"/>
      <c r="DD140" s="49"/>
      <c r="DE140" s="49"/>
      <c r="DF140" s="49"/>
      <c r="DG140" s="49"/>
      <c r="DH140" s="49"/>
      <c r="DI140" s="49"/>
      <c r="DJ140" s="49"/>
      <c r="DK140" s="49"/>
      <c r="DL140" s="49"/>
      <c r="DM140" s="49"/>
      <c r="DN140" s="49"/>
      <c r="DO140" s="49"/>
      <c r="DP140" s="49"/>
      <c r="DQ140" s="49"/>
      <c r="DR140" s="49"/>
      <c r="DS140" s="49"/>
      <c r="DT140" s="49"/>
      <c r="DU140" s="49"/>
      <c r="DV140" s="49"/>
      <c r="DW140" s="49"/>
      <c r="DX140" s="49"/>
      <c r="DY140" s="49"/>
      <c r="DZ140" s="49"/>
      <c r="EA140" s="49"/>
      <c r="EB140" s="49"/>
      <c r="EC140" s="49"/>
      <c r="ED140" s="49"/>
      <c r="EE140" s="124">
        <f t="shared" si="319"/>
        <v>0</v>
      </c>
    </row>
    <row r="141" spans="1:135" s="28" customFormat="1" ht="12.75">
      <c r="C141" s="102" t="s">
        <v>37</v>
      </c>
      <c r="D141" s="105"/>
      <c r="E141" s="49"/>
      <c r="F141" s="49"/>
      <c r="G141" s="49"/>
      <c r="H141" s="7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  <c r="DA141" s="49"/>
      <c r="DB141" s="49"/>
      <c r="DC141" s="49"/>
      <c r="DD141" s="49"/>
      <c r="DE141" s="49"/>
      <c r="DF141" s="49"/>
      <c r="DG141" s="49"/>
      <c r="DH141" s="49"/>
      <c r="DI141" s="49"/>
      <c r="DJ141" s="49"/>
      <c r="DK141" s="49"/>
      <c r="DL141" s="49"/>
      <c r="DM141" s="49"/>
      <c r="DN141" s="49"/>
      <c r="DO141" s="49"/>
      <c r="DP141" s="49"/>
      <c r="DQ141" s="49"/>
      <c r="DR141" s="49"/>
      <c r="DS141" s="49"/>
      <c r="DT141" s="49"/>
      <c r="DU141" s="49"/>
      <c r="DV141" s="49"/>
      <c r="DW141" s="49"/>
      <c r="DX141" s="49"/>
      <c r="DY141" s="49"/>
      <c r="DZ141" s="49"/>
      <c r="EA141" s="49"/>
      <c r="EB141" s="49"/>
      <c r="EC141" s="49"/>
      <c r="ED141" s="49"/>
      <c r="EE141" s="124">
        <f t="shared" si="319"/>
        <v>0</v>
      </c>
    </row>
    <row r="142" spans="1:135" s="108" customFormat="1" ht="12.75">
      <c r="A142" s="235">
        <f>D143+D144</f>
        <v>0.17599999999999999</v>
      </c>
      <c r="B142" s="236"/>
      <c r="C142" s="89" t="s">
        <v>309</v>
      </c>
      <c r="D142" s="105"/>
      <c r="E142" s="106"/>
      <c r="F142" s="106"/>
      <c r="G142" s="106"/>
      <c r="H142" s="107"/>
      <c r="I142" s="106"/>
      <c r="J142" s="106"/>
      <c r="K142" s="106"/>
      <c r="L142" s="106">
        <f>L143+L144+L145</f>
        <v>2338014</v>
      </c>
      <c r="M142" s="106">
        <f t="shared" ref="M142:BX142" si="366">M143+M144+M145</f>
        <v>3249321</v>
      </c>
      <c r="N142" s="106">
        <f t="shared" si="366"/>
        <v>3241842</v>
      </c>
      <c r="O142" s="106">
        <f t="shared" si="366"/>
        <v>3245639</v>
      </c>
      <c r="P142" s="106">
        <f t="shared" si="366"/>
        <v>3245639</v>
      </c>
      <c r="Q142" s="106">
        <f t="shared" si="366"/>
        <v>3245639</v>
      </c>
      <c r="R142" s="106">
        <f t="shared" si="366"/>
        <v>3188935</v>
      </c>
      <c r="S142" s="106">
        <f t="shared" si="366"/>
        <v>3198266</v>
      </c>
      <c r="T142" s="106">
        <f t="shared" si="366"/>
        <v>3198917</v>
      </c>
      <c r="U142" s="106">
        <f t="shared" si="366"/>
        <v>3198917</v>
      </c>
      <c r="V142" s="106">
        <f t="shared" si="366"/>
        <v>3242976</v>
      </c>
      <c r="W142" s="106">
        <f t="shared" si="366"/>
        <v>3246801</v>
      </c>
      <c r="X142" s="106">
        <f t="shared" si="366"/>
        <v>3246801</v>
      </c>
      <c r="Y142" s="106">
        <f t="shared" si="366"/>
        <v>3246801</v>
      </c>
      <c r="Z142" s="106">
        <f t="shared" si="366"/>
        <v>3299900</v>
      </c>
      <c r="AA142" s="106">
        <f t="shared" si="366"/>
        <v>3299900</v>
      </c>
      <c r="AB142" s="106">
        <f t="shared" si="366"/>
        <v>3299900</v>
      </c>
      <c r="AC142" s="106">
        <f t="shared" si="366"/>
        <v>3299900</v>
      </c>
      <c r="AD142" s="106">
        <f t="shared" si="366"/>
        <v>3393566</v>
      </c>
      <c r="AE142" s="106">
        <f t="shared" si="366"/>
        <v>3394361</v>
      </c>
      <c r="AF142" s="106">
        <f t="shared" si="366"/>
        <v>3394361</v>
      </c>
      <c r="AG142" s="106">
        <f t="shared" si="366"/>
        <v>3394361</v>
      </c>
      <c r="AH142" s="106">
        <f t="shared" si="366"/>
        <v>3468351</v>
      </c>
      <c r="AI142" s="106">
        <f t="shared" si="366"/>
        <v>3468351</v>
      </c>
      <c r="AJ142" s="106">
        <f t="shared" si="366"/>
        <v>3468351</v>
      </c>
      <c r="AK142" s="106">
        <f t="shared" si="366"/>
        <v>3468351</v>
      </c>
      <c r="AL142" s="106">
        <f t="shared" si="366"/>
        <v>3554392</v>
      </c>
      <c r="AM142" s="106">
        <f t="shared" si="366"/>
        <v>3554392</v>
      </c>
      <c r="AN142" s="106">
        <f t="shared" si="366"/>
        <v>3554392</v>
      </c>
      <c r="AO142" s="106">
        <f t="shared" si="366"/>
        <v>3554392</v>
      </c>
      <c r="AP142" s="106">
        <f t="shared" si="366"/>
        <v>3641634</v>
      </c>
      <c r="AQ142" s="106">
        <f t="shared" si="366"/>
        <v>3641634</v>
      </c>
      <c r="AR142" s="106">
        <f t="shared" si="366"/>
        <v>3641634</v>
      </c>
      <c r="AS142" s="106">
        <f t="shared" si="366"/>
        <v>3641634</v>
      </c>
      <c r="AT142" s="106">
        <f t="shared" si="366"/>
        <v>3732424</v>
      </c>
      <c r="AU142" s="106">
        <f t="shared" si="366"/>
        <v>3732424</v>
      </c>
      <c r="AV142" s="106">
        <f t="shared" si="366"/>
        <v>3732424</v>
      </c>
      <c r="AW142" s="106">
        <f t="shared" si="366"/>
        <v>3732424</v>
      </c>
      <c r="AX142" s="106">
        <f t="shared" si="366"/>
        <v>3825082</v>
      </c>
      <c r="AY142" s="106">
        <f t="shared" si="366"/>
        <v>3825082</v>
      </c>
      <c r="AZ142" s="106">
        <f t="shared" si="366"/>
        <v>3825082</v>
      </c>
      <c r="BA142" s="106">
        <f t="shared" si="366"/>
        <v>3825082</v>
      </c>
      <c r="BB142" s="106">
        <f t="shared" si="366"/>
        <v>3901384</v>
      </c>
      <c r="BC142" s="106">
        <f t="shared" si="366"/>
        <v>3901384</v>
      </c>
      <c r="BD142" s="106">
        <f t="shared" si="366"/>
        <v>3901384</v>
      </c>
      <c r="BE142" s="106">
        <f t="shared" si="366"/>
        <v>3901384</v>
      </c>
      <c r="BF142" s="106">
        <f t="shared" si="366"/>
        <v>3979212</v>
      </c>
      <c r="BG142" s="106">
        <f t="shared" si="366"/>
        <v>3979212</v>
      </c>
      <c r="BH142" s="106">
        <f t="shared" si="366"/>
        <v>3979212</v>
      </c>
      <c r="BI142" s="106">
        <f t="shared" si="366"/>
        <v>3979212</v>
      </c>
      <c r="BJ142" s="106">
        <f t="shared" si="366"/>
        <v>4058597</v>
      </c>
      <c r="BK142" s="106">
        <f t="shared" si="366"/>
        <v>4058597</v>
      </c>
      <c r="BL142" s="106">
        <f t="shared" si="366"/>
        <v>4058597</v>
      </c>
      <c r="BM142" s="106">
        <f t="shared" si="366"/>
        <v>4058597</v>
      </c>
      <c r="BN142" s="106">
        <f t="shared" si="366"/>
        <v>4139568</v>
      </c>
      <c r="BO142" s="106">
        <f t="shared" si="366"/>
        <v>4139568</v>
      </c>
      <c r="BP142" s="106">
        <f t="shared" si="366"/>
        <v>4139568</v>
      </c>
      <c r="BQ142" s="106">
        <f t="shared" si="366"/>
        <v>4139568</v>
      </c>
      <c r="BR142" s="106">
        <f t="shared" si="366"/>
        <v>4222160</v>
      </c>
      <c r="BS142" s="106">
        <f t="shared" si="366"/>
        <v>4222160</v>
      </c>
      <c r="BT142" s="106">
        <f t="shared" si="366"/>
        <v>4222160</v>
      </c>
      <c r="BU142" s="106">
        <f t="shared" si="366"/>
        <v>4222160</v>
      </c>
      <c r="BV142" s="106">
        <f t="shared" si="366"/>
        <v>4306404</v>
      </c>
      <c r="BW142" s="106">
        <f t="shared" si="366"/>
        <v>4306404</v>
      </c>
      <c r="BX142" s="106">
        <f t="shared" si="366"/>
        <v>4306404</v>
      </c>
      <c r="BY142" s="106">
        <f t="shared" ref="BY142:CP142" si="367">BY143+BY144+BY145</f>
        <v>4306404</v>
      </c>
      <c r="BZ142" s="106">
        <f t="shared" si="367"/>
        <v>4392332</v>
      </c>
      <c r="CA142" s="106">
        <f t="shared" si="367"/>
        <v>4392332</v>
      </c>
      <c r="CB142" s="106">
        <f t="shared" si="367"/>
        <v>4392332</v>
      </c>
      <c r="CC142" s="106">
        <f t="shared" si="367"/>
        <v>4392332</v>
      </c>
      <c r="CD142" s="106">
        <f t="shared" si="367"/>
        <v>4479979</v>
      </c>
      <c r="CE142" s="106">
        <f t="shared" si="367"/>
        <v>4479979</v>
      </c>
      <c r="CF142" s="106">
        <f t="shared" si="367"/>
        <v>4479979</v>
      </c>
      <c r="CG142" s="106">
        <f t="shared" si="367"/>
        <v>4479979</v>
      </c>
      <c r="CH142" s="106">
        <f t="shared" si="367"/>
        <v>4569379</v>
      </c>
      <c r="CI142" s="106">
        <f t="shared" si="367"/>
        <v>4569379</v>
      </c>
      <c r="CJ142" s="106">
        <f t="shared" si="367"/>
        <v>4569379</v>
      </c>
      <c r="CK142" s="106">
        <f t="shared" si="367"/>
        <v>4569379</v>
      </c>
      <c r="CL142" s="106">
        <f t="shared" si="367"/>
        <v>4660567</v>
      </c>
      <c r="CM142" s="106">
        <f t="shared" si="367"/>
        <v>4660567</v>
      </c>
      <c r="CN142" s="106">
        <f t="shared" si="367"/>
        <v>4660567</v>
      </c>
      <c r="CO142" s="106">
        <f t="shared" si="367"/>
        <v>4660567</v>
      </c>
      <c r="CP142" s="106">
        <f t="shared" si="367"/>
        <v>4753579</v>
      </c>
      <c r="CQ142" s="106">
        <f t="shared" ref="CQ142" si="368">CQ143+CQ144+CQ145</f>
        <v>4753579</v>
      </c>
      <c r="CR142" s="106">
        <f t="shared" ref="CR142" si="369">CR143+CR144+CR145</f>
        <v>4753579</v>
      </c>
      <c r="CS142" s="106">
        <f t="shared" ref="CS142" si="370">CS143+CS144+CS145</f>
        <v>4753579</v>
      </c>
      <c r="CT142" s="106">
        <f t="shared" ref="CT142" si="371">CT143+CT144+CT145</f>
        <v>4848451</v>
      </c>
      <c r="CU142" s="106">
        <f t="shared" ref="CU142" si="372">CU143+CU144+CU145</f>
        <v>4848451</v>
      </c>
      <c r="CV142" s="106">
        <f t="shared" ref="CV142" si="373">CV143+CV144+CV145</f>
        <v>4848451</v>
      </c>
      <c r="CW142" s="106">
        <f t="shared" ref="CW142" si="374">CW143+CW144+CW145</f>
        <v>4848451</v>
      </c>
      <c r="CX142" s="106">
        <f t="shared" ref="CX142" si="375">CX143+CX144+CX145</f>
        <v>4945220</v>
      </c>
      <c r="CY142" s="106">
        <f t="shared" ref="CY142" si="376">CY143+CY144+CY145</f>
        <v>4945220</v>
      </c>
      <c r="CZ142" s="106">
        <f t="shared" ref="CZ142" si="377">CZ143+CZ144+CZ145</f>
        <v>4945220</v>
      </c>
      <c r="DA142" s="106">
        <f t="shared" ref="DA142" si="378">DA143+DA144+DA145</f>
        <v>4945220</v>
      </c>
      <c r="DB142" s="106">
        <f t="shared" ref="DB142" si="379">DB143+DB144+DB145</f>
        <v>5043925</v>
      </c>
      <c r="DC142" s="106">
        <f t="shared" ref="DC142" si="380">DC143+DC144+DC145</f>
        <v>5043925</v>
      </c>
      <c r="DD142" s="106">
        <f t="shared" ref="DD142" si="381">DD143+DD144+DD145</f>
        <v>5043925</v>
      </c>
      <c r="DE142" s="106">
        <f t="shared" ref="DE142" si="382">DE143+DE144+DE145</f>
        <v>5043925</v>
      </c>
      <c r="DF142" s="106">
        <f t="shared" ref="DF142" si="383">DF143+DF144+DF145</f>
        <v>5144604</v>
      </c>
      <c r="DG142" s="106">
        <f t="shared" ref="DG142" si="384">DG143+DG144+DG145</f>
        <v>5144604</v>
      </c>
      <c r="DH142" s="106">
        <f t="shared" ref="DH142" si="385">DH143+DH144+DH145</f>
        <v>5144604</v>
      </c>
      <c r="DI142" s="106">
        <f t="shared" ref="DI142" si="386">DI143+DI144+DI145</f>
        <v>5144604</v>
      </c>
      <c r="DJ142" s="106">
        <f t="shared" ref="DJ142" si="387">DJ143+DJ144+DJ145</f>
        <v>5247296</v>
      </c>
      <c r="DK142" s="106">
        <f t="shared" ref="DK142" si="388">DK143+DK144+DK145</f>
        <v>5247296</v>
      </c>
      <c r="DL142" s="106">
        <f t="shared" ref="DL142" si="389">DL143+DL144+DL145</f>
        <v>5247296</v>
      </c>
      <c r="DM142" s="106">
        <f t="shared" ref="DM142" si="390">DM143+DM144+DM145</f>
        <v>5247296</v>
      </c>
      <c r="DN142" s="106">
        <f t="shared" ref="DN142" si="391">DN143+DN144+DN145</f>
        <v>5352042</v>
      </c>
      <c r="DO142" s="106">
        <f t="shared" ref="DO142" si="392">DO143+DO144+DO145</f>
        <v>5352042</v>
      </c>
      <c r="DP142" s="106">
        <f t="shared" ref="DP142" si="393">DP143+DP144+DP145</f>
        <v>5352042</v>
      </c>
      <c r="DQ142" s="106">
        <f t="shared" ref="DQ142" si="394">DQ143+DQ144+DQ145</f>
        <v>5352042</v>
      </c>
      <c r="DR142" s="106">
        <f t="shared" ref="DR142" si="395">DR143+DR144+DR145</f>
        <v>5458883</v>
      </c>
      <c r="DS142" s="106">
        <f t="shared" ref="DS142" si="396">DS143+DS144+DS145</f>
        <v>5458883</v>
      </c>
      <c r="DT142" s="106">
        <f t="shared" ref="DT142" si="397">DT143+DT144+DT145</f>
        <v>5458883</v>
      </c>
      <c r="DU142" s="106">
        <f t="shared" ref="DU142" si="398">DU143+DU144+DU145</f>
        <v>5458883</v>
      </c>
      <c r="DV142" s="106">
        <f t="shared" ref="DV142" si="399">DV143+DV144+DV145</f>
        <v>5567861</v>
      </c>
      <c r="DW142" s="106">
        <f t="shared" ref="DW142" si="400">DW143+DW144+DW145</f>
        <v>5567861</v>
      </c>
      <c r="DX142" s="106">
        <f t="shared" ref="DX142" si="401">DX143+DX144+DX145</f>
        <v>5567861</v>
      </c>
      <c r="DY142" s="106">
        <f t="shared" ref="DY142" si="402">DY143+DY144+DY145</f>
        <v>5567861</v>
      </c>
      <c r="DZ142" s="106">
        <f t="shared" ref="DZ142" si="403">DZ143+DZ144+DZ145</f>
        <v>5679018</v>
      </c>
      <c r="EA142" s="106">
        <f t="shared" ref="EA142" si="404">EA143+EA144+EA145</f>
        <v>5679018</v>
      </c>
      <c r="EB142" s="106">
        <f t="shared" ref="EB142" si="405">EB143+EB144+EB145</f>
        <v>5679018</v>
      </c>
      <c r="EC142" s="106">
        <f t="shared" ref="EC142" si="406">EC143+EC144+EC145</f>
        <v>5679018</v>
      </c>
      <c r="ED142" s="106">
        <f t="shared" ref="ED142" si="407">ED143+ED144+ED145</f>
        <v>5792400</v>
      </c>
      <c r="EE142" s="124">
        <f t="shared" si="319"/>
        <v>528792533</v>
      </c>
    </row>
    <row r="143" spans="1:135" s="28" customFormat="1" ht="12.75">
      <c r="C143" s="88" t="s">
        <v>294</v>
      </c>
      <c r="D143" s="105">
        <f>商业现金流!D63</f>
        <v>0.12</v>
      </c>
      <c r="E143" s="49"/>
      <c r="F143" s="49"/>
      <c r="G143" s="49"/>
      <c r="H143" s="79"/>
      <c r="I143" s="49"/>
      <c r="J143" s="49"/>
      <c r="K143" s="49"/>
      <c r="L143" s="49">
        <f>ROUND(L131*$D$143,0)</f>
        <v>1613648</v>
      </c>
      <c r="M143" s="49">
        <f t="shared" ref="M143:BX143" si="408">ROUND(M131*$D$143,0)</f>
        <v>2242618</v>
      </c>
      <c r="N143" s="49">
        <f t="shared" si="408"/>
        <v>2237440</v>
      </c>
      <c r="O143" s="49">
        <f t="shared" si="408"/>
        <v>2240069</v>
      </c>
      <c r="P143" s="49">
        <f t="shared" si="408"/>
        <v>2240069</v>
      </c>
      <c r="Q143" s="49">
        <f t="shared" si="408"/>
        <v>2240069</v>
      </c>
      <c r="R143" s="49">
        <f t="shared" si="408"/>
        <v>2200812</v>
      </c>
      <c r="S143" s="49">
        <f t="shared" si="408"/>
        <v>2207272</v>
      </c>
      <c r="T143" s="49">
        <f t="shared" si="408"/>
        <v>2207723</v>
      </c>
      <c r="U143" s="49">
        <f t="shared" si="408"/>
        <v>2207723</v>
      </c>
      <c r="V143" s="49">
        <f t="shared" si="408"/>
        <v>2238225</v>
      </c>
      <c r="W143" s="49">
        <f t="shared" si="408"/>
        <v>2240873</v>
      </c>
      <c r="X143" s="49">
        <f t="shared" si="408"/>
        <v>2240873</v>
      </c>
      <c r="Y143" s="49">
        <f t="shared" si="408"/>
        <v>2240873</v>
      </c>
      <c r="Z143" s="49">
        <f t="shared" si="408"/>
        <v>2277634</v>
      </c>
      <c r="AA143" s="49">
        <f t="shared" si="408"/>
        <v>2277634</v>
      </c>
      <c r="AB143" s="49">
        <f t="shared" si="408"/>
        <v>2277634</v>
      </c>
      <c r="AC143" s="49">
        <f t="shared" si="408"/>
        <v>2277634</v>
      </c>
      <c r="AD143" s="49">
        <f t="shared" si="408"/>
        <v>2342480</v>
      </c>
      <c r="AE143" s="49">
        <f t="shared" si="408"/>
        <v>2343030</v>
      </c>
      <c r="AF143" s="49">
        <f t="shared" si="408"/>
        <v>2343030</v>
      </c>
      <c r="AG143" s="49">
        <f t="shared" si="408"/>
        <v>2343030</v>
      </c>
      <c r="AH143" s="49">
        <f t="shared" si="408"/>
        <v>2394254</v>
      </c>
      <c r="AI143" s="49">
        <f t="shared" si="408"/>
        <v>2394254</v>
      </c>
      <c r="AJ143" s="49">
        <f t="shared" si="408"/>
        <v>2394254</v>
      </c>
      <c r="AK143" s="49">
        <f t="shared" si="408"/>
        <v>2394254</v>
      </c>
      <c r="AL143" s="49">
        <f t="shared" si="408"/>
        <v>2453821</v>
      </c>
      <c r="AM143" s="49">
        <f t="shared" si="408"/>
        <v>2453821</v>
      </c>
      <c r="AN143" s="49">
        <f t="shared" si="408"/>
        <v>2453821</v>
      </c>
      <c r="AO143" s="49">
        <f t="shared" si="408"/>
        <v>2453821</v>
      </c>
      <c r="AP143" s="49">
        <f t="shared" si="408"/>
        <v>2514219</v>
      </c>
      <c r="AQ143" s="49">
        <f t="shared" si="408"/>
        <v>2514219</v>
      </c>
      <c r="AR143" s="49">
        <f t="shared" si="408"/>
        <v>2514219</v>
      </c>
      <c r="AS143" s="49">
        <f t="shared" si="408"/>
        <v>2514219</v>
      </c>
      <c r="AT143" s="49">
        <f t="shared" si="408"/>
        <v>2577074</v>
      </c>
      <c r="AU143" s="49">
        <f t="shared" si="408"/>
        <v>2577074</v>
      </c>
      <c r="AV143" s="49">
        <f t="shared" si="408"/>
        <v>2577074</v>
      </c>
      <c r="AW143" s="49">
        <f t="shared" si="408"/>
        <v>2577074</v>
      </c>
      <c r="AX143" s="49">
        <f t="shared" si="408"/>
        <v>2641222</v>
      </c>
      <c r="AY143" s="49">
        <f t="shared" si="408"/>
        <v>2641222</v>
      </c>
      <c r="AZ143" s="49">
        <f t="shared" si="408"/>
        <v>2641222</v>
      </c>
      <c r="BA143" s="49">
        <f t="shared" si="408"/>
        <v>2641222</v>
      </c>
      <c r="BB143" s="49">
        <f t="shared" si="408"/>
        <v>2694046</v>
      </c>
      <c r="BC143" s="49">
        <f t="shared" si="408"/>
        <v>2694046</v>
      </c>
      <c r="BD143" s="49">
        <f t="shared" si="408"/>
        <v>2694046</v>
      </c>
      <c r="BE143" s="49">
        <f t="shared" si="408"/>
        <v>2694046</v>
      </c>
      <c r="BF143" s="49">
        <f t="shared" si="408"/>
        <v>2747927</v>
      </c>
      <c r="BG143" s="49">
        <f t="shared" si="408"/>
        <v>2747927</v>
      </c>
      <c r="BH143" s="49">
        <f t="shared" si="408"/>
        <v>2747927</v>
      </c>
      <c r="BI143" s="49">
        <f t="shared" si="408"/>
        <v>2747927</v>
      </c>
      <c r="BJ143" s="49">
        <f t="shared" si="408"/>
        <v>2802886</v>
      </c>
      <c r="BK143" s="49">
        <f t="shared" si="408"/>
        <v>2802886</v>
      </c>
      <c r="BL143" s="49">
        <f t="shared" si="408"/>
        <v>2802886</v>
      </c>
      <c r="BM143" s="49">
        <f t="shared" si="408"/>
        <v>2802886</v>
      </c>
      <c r="BN143" s="49">
        <f t="shared" si="408"/>
        <v>2858943</v>
      </c>
      <c r="BO143" s="49">
        <f t="shared" si="408"/>
        <v>2858943</v>
      </c>
      <c r="BP143" s="49">
        <f t="shared" si="408"/>
        <v>2858943</v>
      </c>
      <c r="BQ143" s="49">
        <f t="shared" si="408"/>
        <v>2858943</v>
      </c>
      <c r="BR143" s="49">
        <f t="shared" si="408"/>
        <v>2916122</v>
      </c>
      <c r="BS143" s="49">
        <f t="shared" si="408"/>
        <v>2916122</v>
      </c>
      <c r="BT143" s="49">
        <f t="shared" si="408"/>
        <v>2916122</v>
      </c>
      <c r="BU143" s="49">
        <f t="shared" si="408"/>
        <v>2916122</v>
      </c>
      <c r="BV143" s="49">
        <f t="shared" si="408"/>
        <v>2974445</v>
      </c>
      <c r="BW143" s="49">
        <f t="shared" si="408"/>
        <v>2974445</v>
      </c>
      <c r="BX143" s="49">
        <f t="shared" si="408"/>
        <v>2974445</v>
      </c>
      <c r="BY143" s="49">
        <f t="shared" ref="BY143:ED143" si="409">ROUND(BY131*$D$143,0)</f>
        <v>2974445</v>
      </c>
      <c r="BZ143" s="49">
        <f t="shared" si="409"/>
        <v>3033933</v>
      </c>
      <c r="CA143" s="49">
        <f t="shared" si="409"/>
        <v>3033933</v>
      </c>
      <c r="CB143" s="49">
        <f t="shared" si="409"/>
        <v>3033933</v>
      </c>
      <c r="CC143" s="49">
        <f t="shared" si="409"/>
        <v>3033933</v>
      </c>
      <c r="CD143" s="49">
        <f t="shared" si="409"/>
        <v>3094612</v>
      </c>
      <c r="CE143" s="49">
        <f t="shared" si="409"/>
        <v>3094612</v>
      </c>
      <c r="CF143" s="49">
        <f t="shared" si="409"/>
        <v>3094612</v>
      </c>
      <c r="CG143" s="49">
        <f t="shared" si="409"/>
        <v>3094612</v>
      </c>
      <c r="CH143" s="49">
        <f t="shared" si="409"/>
        <v>3156504</v>
      </c>
      <c r="CI143" s="49">
        <f t="shared" si="409"/>
        <v>3156504</v>
      </c>
      <c r="CJ143" s="49">
        <f t="shared" si="409"/>
        <v>3156504</v>
      </c>
      <c r="CK143" s="49">
        <f t="shared" si="409"/>
        <v>3156504</v>
      </c>
      <c r="CL143" s="49">
        <f t="shared" si="409"/>
        <v>3219634</v>
      </c>
      <c r="CM143" s="49">
        <f t="shared" si="409"/>
        <v>3219634</v>
      </c>
      <c r="CN143" s="49">
        <f t="shared" si="409"/>
        <v>3219634</v>
      </c>
      <c r="CO143" s="49">
        <f t="shared" si="409"/>
        <v>3219634</v>
      </c>
      <c r="CP143" s="49">
        <f t="shared" si="409"/>
        <v>3284027</v>
      </c>
      <c r="CQ143" s="49">
        <f t="shared" si="409"/>
        <v>3284027</v>
      </c>
      <c r="CR143" s="49">
        <f t="shared" si="409"/>
        <v>3284027</v>
      </c>
      <c r="CS143" s="49">
        <f t="shared" si="409"/>
        <v>3284027</v>
      </c>
      <c r="CT143" s="49">
        <f t="shared" si="409"/>
        <v>3349708</v>
      </c>
      <c r="CU143" s="49">
        <f t="shared" si="409"/>
        <v>3349708</v>
      </c>
      <c r="CV143" s="49">
        <f t="shared" si="409"/>
        <v>3349708</v>
      </c>
      <c r="CW143" s="49">
        <f t="shared" si="409"/>
        <v>3349708</v>
      </c>
      <c r="CX143" s="49">
        <f t="shared" si="409"/>
        <v>3416702</v>
      </c>
      <c r="CY143" s="49">
        <f t="shared" si="409"/>
        <v>3416702</v>
      </c>
      <c r="CZ143" s="49">
        <f t="shared" si="409"/>
        <v>3416702</v>
      </c>
      <c r="DA143" s="49">
        <f t="shared" si="409"/>
        <v>3416702</v>
      </c>
      <c r="DB143" s="49">
        <f t="shared" si="409"/>
        <v>3485036</v>
      </c>
      <c r="DC143" s="49">
        <f t="shared" si="409"/>
        <v>3485036</v>
      </c>
      <c r="DD143" s="49">
        <f t="shared" si="409"/>
        <v>3485036</v>
      </c>
      <c r="DE143" s="49">
        <f t="shared" si="409"/>
        <v>3485036</v>
      </c>
      <c r="DF143" s="49">
        <f t="shared" si="409"/>
        <v>3554737</v>
      </c>
      <c r="DG143" s="49">
        <f t="shared" si="409"/>
        <v>3554737</v>
      </c>
      <c r="DH143" s="49">
        <f t="shared" si="409"/>
        <v>3554737</v>
      </c>
      <c r="DI143" s="49">
        <f t="shared" si="409"/>
        <v>3554737</v>
      </c>
      <c r="DJ143" s="49">
        <f t="shared" si="409"/>
        <v>3625831</v>
      </c>
      <c r="DK143" s="49">
        <f t="shared" si="409"/>
        <v>3625831</v>
      </c>
      <c r="DL143" s="49">
        <f t="shared" si="409"/>
        <v>3625831</v>
      </c>
      <c r="DM143" s="49">
        <f t="shared" si="409"/>
        <v>3625831</v>
      </c>
      <c r="DN143" s="49">
        <f t="shared" si="409"/>
        <v>3698348</v>
      </c>
      <c r="DO143" s="49">
        <f t="shared" si="409"/>
        <v>3698348</v>
      </c>
      <c r="DP143" s="49">
        <f t="shared" si="409"/>
        <v>3698348</v>
      </c>
      <c r="DQ143" s="49">
        <f t="shared" si="409"/>
        <v>3698348</v>
      </c>
      <c r="DR143" s="49">
        <f t="shared" si="409"/>
        <v>3772315</v>
      </c>
      <c r="DS143" s="49">
        <f t="shared" si="409"/>
        <v>3772315</v>
      </c>
      <c r="DT143" s="49">
        <f t="shared" si="409"/>
        <v>3772315</v>
      </c>
      <c r="DU143" s="49">
        <f t="shared" si="409"/>
        <v>3772315</v>
      </c>
      <c r="DV143" s="49">
        <f t="shared" si="409"/>
        <v>3847761</v>
      </c>
      <c r="DW143" s="49">
        <f t="shared" si="409"/>
        <v>3847761</v>
      </c>
      <c r="DX143" s="49">
        <f t="shared" si="409"/>
        <v>3847761</v>
      </c>
      <c r="DY143" s="49">
        <f t="shared" si="409"/>
        <v>3847761</v>
      </c>
      <c r="DZ143" s="49">
        <f t="shared" si="409"/>
        <v>3924716</v>
      </c>
      <c r="EA143" s="49">
        <f t="shared" si="409"/>
        <v>3924716</v>
      </c>
      <c r="EB143" s="49">
        <f t="shared" si="409"/>
        <v>3924716</v>
      </c>
      <c r="EC143" s="49">
        <f t="shared" si="409"/>
        <v>3924716</v>
      </c>
      <c r="ED143" s="49">
        <f t="shared" si="409"/>
        <v>4003211</v>
      </c>
      <c r="EE143" s="124">
        <f t="shared" si="319"/>
        <v>365238896</v>
      </c>
    </row>
    <row r="144" spans="1:135" s="28" customFormat="1" ht="12.75">
      <c r="C144" s="88" t="s">
        <v>295</v>
      </c>
      <c r="D144" s="105">
        <f>商业现金流!D64</f>
        <v>5.6000000000000001E-2</v>
      </c>
      <c r="E144" s="49"/>
      <c r="F144" s="49"/>
      <c r="G144" s="49"/>
      <c r="H144" s="79"/>
      <c r="I144" s="49"/>
      <c r="J144" s="49"/>
      <c r="K144" s="49"/>
      <c r="L144" s="49">
        <f>ROUND(L131*$D$144/(1+5%),0)</f>
        <v>717177</v>
      </c>
      <c r="M144" s="49">
        <f t="shared" ref="M144:BX144" si="410">ROUND(M131*$D$144/(1+5%),0)</f>
        <v>996719</v>
      </c>
      <c r="N144" s="49">
        <f t="shared" si="410"/>
        <v>994418</v>
      </c>
      <c r="O144" s="49">
        <f t="shared" si="410"/>
        <v>995586</v>
      </c>
      <c r="P144" s="49">
        <f t="shared" si="410"/>
        <v>995586</v>
      </c>
      <c r="Q144" s="49">
        <f t="shared" si="410"/>
        <v>995586</v>
      </c>
      <c r="R144" s="49">
        <f t="shared" si="410"/>
        <v>978139</v>
      </c>
      <c r="S144" s="49">
        <f t="shared" si="410"/>
        <v>981010</v>
      </c>
      <c r="T144" s="49">
        <f t="shared" si="410"/>
        <v>981210</v>
      </c>
      <c r="U144" s="49">
        <f t="shared" si="410"/>
        <v>981210</v>
      </c>
      <c r="V144" s="49">
        <f t="shared" si="410"/>
        <v>994767</v>
      </c>
      <c r="W144" s="49">
        <f t="shared" si="410"/>
        <v>995944</v>
      </c>
      <c r="X144" s="49">
        <f t="shared" si="410"/>
        <v>995944</v>
      </c>
      <c r="Y144" s="49">
        <f t="shared" si="410"/>
        <v>995944</v>
      </c>
      <c r="Z144" s="49">
        <f t="shared" si="410"/>
        <v>1012282</v>
      </c>
      <c r="AA144" s="49">
        <f t="shared" si="410"/>
        <v>1012282</v>
      </c>
      <c r="AB144" s="49">
        <f t="shared" si="410"/>
        <v>1012282</v>
      </c>
      <c r="AC144" s="49">
        <f t="shared" si="410"/>
        <v>1012282</v>
      </c>
      <c r="AD144" s="49">
        <f t="shared" si="410"/>
        <v>1041102</v>
      </c>
      <c r="AE144" s="49">
        <f t="shared" si="410"/>
        <v>1041347</v>
      </c>
      <c r="AF144" s="49">
        <f t="shared" si="410"/>
        <v>1041347</v>
      </c>
      <c r="AG144" s="49">
        <f t="shared" si="410"/>
        <v>1041347</v>
      </c>
      <c r="AH144" s="49">
        <f t="shared" si="410"/>
        <v>1064113</v>
      </c>
      <c r="AI144" s="49">
        <f t="shared" si="410"/>
        <v>1064113</v>
      </c>
      <c r="AJ144" s="49">
        <f t="shared" si="410"/>
        <v>1064113</v>
      </c>
      <c r="AK144" s="49">
        <f t="shared" si="410"/>
        <v>1064113</v>
      </c>
      <c r="AL144" s="49">
        <f t="shared" si="410"/>
        <v>1090587</v>
      </c>
      <c r="AM144" s="49">
        <f t="shared" si="410"/>
        <v>1090587</v>
      </c>
      <c r="AN144" s="49">
        <f t="shared" si="410"/>
        <v>1090587</v>
      </c>
      <c r="AO144" s="49">
        <f t="shared" si="410"/>
        <v>1090587</v>
      </c>
      <c r="AP144" s="49">
        <f t="shared" si="410"/>
        <v>1117431</v>
      </c>
      <c r="AQ144" s="49">
        <f t="shared" si="410"/>
        <v>1117431</v>
      </c>
      <c r="AR144" s="49">
        <f t="shared" si="410"/>
        <v>1117431</v>
      </c>
      <c r="AS144" s="49">
        <f t="shared" si="410"/>
        <v>1117431</v>
      </c>
      <c r="AT144" s="49">
        <f t="shared" si="410"/>
        <v>1145366</v>
      </c>
      <c r="AU144" s="49">
        <f t="shared" si="410"/>
        <v>1145366</v>
      </c>
      <c r="AV144" s="49">
        <f t="shared" si="410"/>
        <v>1145366</v>
      </c>
      <c r="AW144" s="49">
        <f t="shared" si="410"/>
        <v>1145366</v>
      </c>
      <c r="AX144" s="49">
        <f t="shared" si="410"/>
        <v>1173876</v>
      </c>
      <c r="AY144" s="49">
        <f t="shared" si="410"/>
        <v>1173876</v>
      </c>
      <c r="AZ144" s="49">
        <f t="shared" si="410"/>
        <v>1173876</v>
      </c>
      <c r="BA144" s="49">
        <f t="shared" si="410"/>
        <v>1173876</v>
      </c>
      <c r="BB144" s="49">
        <f t="shared" si="410"/>
        <v>1197354</v>
      </c>
      <c r="BC144" s="49">
        <f t="shared" si="410"/>
        <v>1197354</v>
      </c>
      <c r="BD144" s="49">
        <f t="shared" si="410"/>
        <v>1197354</v>
      </c>
      <c r="BE144" s="49">
        <f t="shared" si="410"/>
        <v>1197354</v>
      </c>
      <c r="BF144" s="49">
        <f t="shared" si="410"/>
        <v>1221301</v>
      </c>
      <c r="BG144" s="49">
        <f t="shared" si="410"/>
        <v>1221301</v>
      </c>
      <c r="BH144" s="49">
        <f t="shared" si="410"/>
        <v>1221301</v>
      </c>
      <c r="BI144" s="49">
        <f t="shared" si="410"/>
        <v>1221301</v>
      </c>
      <c r="BJ144" s="49">
        <f t="shared" si="410"/>
        <v>1245727</v>
      </c>
      <c r="BK144" s="49">
        <f t="shared" si="410"/>
        <v>1245727</v>
      </c>
      <c r="BL144" s="49">
        <f t="shared" si="410"/>
        <v>1245727</v>
      </c>
      <c r="BM144" s="49">
        <f t="shared" si="410"/>
        <v>1245727</v>
      </c>
      <c r="BN144" s="49">
        <f t="shared" si="410"/>
        <v>1270641</v>
      </c>
      <c r="BO144" s="49">
        <f t="shared" si="410"/>
        <v>1270641</v>
      </c>
      <c r="BP144" s="49">
        <f t="shared" si="410"/>
        <v>1270641</v>
      </c>
      <c r="BQ144" s="49">
        <f t="shared" si="410"/>
        <v>1270641</v>
      </c>
      <c r="BR144" s="49">
        <f t="shared" si="410"/>
        <v>1296054</v>
      </c>
      <c r="BS144" s="49">
        <f t="shared" si="410"/>
        <v>1296054</v>
      </c>
      <c r="BT144" s="49">
        <f t="shared" si="410"/>
        <v>1296054</v>
      </c>
      <c r="BU144" s="49">
        <f t="shared" si="410"/>
        <v>1296054</v>
      </c>
      <c r="BV144" s="49">
        <f t="shared" si="410"/>
        <v>1321975</v>
      </c>
      <c r="BW144" s="49">
        <f t="shared" si="410"/>
        <v>1321975</v>
      </c>
      <c r="BX144" s="49">
        <f t="shared" si="410"/>
        <v>1321975</v>
      </c>
      <c r="BY144" s="49">
        <f t="shared" ref="BY144:ED144" si="411">ROUND(BY131*$D$144/(1+5%),0)</f>
        <v>1321975</v>
      </c>
      <c r="BZ144" s="49">
        <f t="shared" si="411"/>
        <v>1348415</v>
      </c>
      <c r="CA144" s="49">
        <f t="shared" si="411"/>
        <v>1348415</v>
      </c>
      <c r="CB144" s="49">
        <f t="shared" si="411"/>
        <v>1348415</v>
      </c>
      <c r="CC144" s="49">
        <f t="shared" si="411"/>
        <v>1348415</v>
      </c>
      <c r="CD144" s="49">
        <f t="shared" si="411"/>
        <v>1375383</v>
      </c>
      <c r="CE144" s="49">
        <f t="shared" si="411"/>
        <v>1375383</v>
      </c>
      <c r="CF144" s="49">
        <f t="shared" si="411"/>
        <v>1375383</v>
      </c>
      <c r="CG144" s="49">
        <f t="shared" si="411"/>
        <v>1375383</v>
      </c>
      <c r="CH144" s="49">
        <f t="shared" si="411"/>
        <v>1402891</v>
      </c>
      <c r="CI144" s="49">
        <f t="shared" si="411"/>
        <v>1402891</v>
      </c>
      <c r="CJ144" s="49">
        <f t="shared" si="411"/>
        <v>1402891</v>
      </c>
      <c r="CK144" s="49">
        <f t="shared" si="411"/>
        <v>1402891</v>
      </c>
      <c r="CL144" s="49">
        <f t="shared" si="411"/>
        <v>1430949</v>
      </c>
      <c r="CM144" s="49">
        <f t="shared" si="411"/>
        <v>1430949</v>
      </c>
      <c r="CN144" s="49">
        <f t="shared" si="411"/>
        <v>1430949</v>
      </c>
      <c r="CO144" s="49">
        <f t="shared" si="411"/>
        <v>1430949</v>
      </c>
      <c r="CP144" s="49">
        <f t="shared" si="411"/>
        <v>1459568</v>
      </c>
      <c r="CQ144" s="49">
        <f t="shared" si="411"/>
        <v>1459568</v>
      </c>
      <c r="CR144" s="49">
        <f t="shared" si="411"/>
        <v>1459568</v>
      </c>
      <c r="CS144" s="49">
        <f t="shared" si="411"/>
        <v>1459568</v>
      </c>
      <c r="CT144" s="49">
        <f t="shared" si="411"/>
        <v>1488759</v>
      </c>
      <c r="CU144" s="49">
        <f t="shared" si="411"/>
        <v>1488759</v>
      </c>
      <c r="CV144" s="49">
        <f t="shared" si="411"/>
        <v>1488759</v>
      </c>
      <c r="CW144" s="49">
        <f t="shared" si="411"/>
        <v>1488759</v>
      </c>
      <c r="CX144" s="49">
        <f t="shared" si="411"/>
        <v>1518534</v>
      </c>
      <c r="CY144" s="49">
        <f t="shared" si="411"/>
        <v>1518534</v>
      </c>
      <c r="CZ144" s="49">
        <f t="shared" si="411"/>
        <v>1518534</v>
      </c>
      <c r="DA144" s="49">
        <f t="shared" si="411"/>
        <v>1518534</v>
      </c>
      <c r="DB144" s="49">
        <f t="shared" si="411"/>
        <v>1548905</v>
      </c>
      <c r="DC144" s="49">
        <f t="shared" si="411"/>
        <v>1548905</v>
      </c>
      <c r="DD144" s="49">
        <f t="shared" si="411"/>
        <v>1548905</v>
      </c>
      <c r="DE144" s="49">
        <f t="shared" si="411"/>
        <v>1548905</v>
      </c>
      <c r="DF144" s="49">
        <f t="shared" si="411"/>
        <v>1579883</v>
      </c>
      <c r="DG144" s="49">
        <f t="shared" si="411"/>
        <v>1579883</v>
      </c>
      <c r="DH144" s="49">
        <f t="shared" si="411"/>
        <v>1579883</v>
      </c>
      <c r="DI144" s="49">
        <f t="shared" si="411"/>
        <v>1579883</v>
      </c>
      <c r="DJ144" s="49">
        <f t="shared" si="411"/>
        <v>1611481</v>
      </c>
      <c r="DK144" s="49">
        <f t="shared" si="411"/>
        <v>1611481</v>
      </c>
      <c r="DL144" s="49">
        <f t="shared" si="411"/>
        <v>1611481</v>
      </c>
      <c r="DM144" s="49">
        <f t="shared" si="411"/>
        <v>1611481</v>
      </c>
      <c r="DN144" s="49">
        <f t="shared" si="411"/>
        <v>1643710</v>
      </c>
      <c r="DO144" s="49">
        <f t="shared" si="411"/>
        <v>1643710</v>
      </c>
      <c r="DP144" s="49">
        <f t="shared" si="411"/>
        <v>1643710</v>
      </c>
      <c r="DQ144" s="49">
        <f t="shared" si="411"/>
        <v>1643710</v>
      </c>
      <c r="DR144" s="49">
        <f t="shared" si="411"/>
        <v>1676584</v>
      </c>
      <c r="DS144" s="49">
        <f t="shared" si="411"/>
        <v>1676584</v>
      </c>
      <c r="DT144" s="49">
        <f t="shared" si="411"/>
        <v>1676584</v>
      </c>
      <c r="DU144" s="49">
        <f t="shared" si="411"/>
        <v>1676584</v>
      </c>
      <c r="DV144" s="49">
        <f t="shared" si="411"/>
        <v>1710116</v>
      </c>
      <c r="DW144" s="49">
        <f t="shared" si="411"/>
        <v>1710116</v>
      </c>
      <c r="DX144" s="49">
        <f t="shared" si="411"/>
        <v>1710116</v>
      </c>
      <c r="DY144" s="49">
        <f t="shared" si="411"/>
        <v>1710116</v>
      </c>
      <c r="DZ144" s="49">
        <f t="shared" si="411"/>
        <v>1744318</v>
      </c>
      <c r="EA144" s="49">
        <f t="shared" si="411"/>
        <v>1744318</v>
      </c>
      <c r="EB144" s="49">
        <f t="shared" si="411"/>
        <v>1744318</v>
      </c>
      <c r="EC144" s="49">
        <f t="shared" si="411"/>
        <v>1744318</v>
      </c>
      <c r="ED144" s="49">
        <f t="shared" si="411"/>
        <v>1779205</v>
      </c>
      <c r="EE144" s="124">
        <f t="shared" si="319"/>
        <v>162328400</v>
      </c>
    </row>
    <row r="145" spans="3:135" s="28" customFormat="1" ht="12.75">
      <c r="C145" s="88" t="s">
        <v>308</v>
      </c>
      <c r="D145" s="49">
        <v>12</v>
      </c>
      <c r="E145" s="49">
        <f>基础数据!H7</f>
        <v>3328.15</v>
      </c>
      <c r="F145" s="49"/>
      <c r="G145" s="49"/>
      <c r="H145" s="79"/>
      <c r="I145" s="49"/>
      <c r="J145" s="49"/>
      <c r="K145" s="49"/>
      <c r="L145" s="49">
        <f>ROUND(E145*D145*取费表!B2,0)</f>
        <v>7189</v>
      </c>
      <c r="M145" s="52">
        <f>ROUND(E145*D145/4,0)</f>
        <v>9984</v>
      </c>
      <c r="N145" s="52">
        <f>M145</f>
        <v>9984</v>
      </c>
      <c r="O145" s="49">
        <f>N145</f>
        <v>9984</v>
      </c>
      <c r="P145" s="49">
        <f>O145</f>
        <v>9984</v>
      </c>
      <c r="Q145" s="49">
        <f>P145</f>
        <v>9984</v>
      </c>
      <c r="R145" s="49">
        <f t="shared" ref="R145:CC145" si="412">Q145</f>
        <v>9984</v>
      </c>
      <c r="S145" s="49">
        <f t="shared" si="412"/>
        <v>9984</v>
      </c>
      <c r="T145" s="49">
        <f t="shared" si="412"/>
        <v>9984</v>
      </c>
      <c r="U145" s="49">
        <f t="shared" si="412"/>
        <v>9984</v>
      </c>
      <c r="V145" s="49">
        <f t="shared" si="412"/>
        <v>9984</v>
      </c>
      <c r="W145" s="49">
        <f t="shared" si="412"/>
        <v>9984</v>
      </c>
      <c r="X145" s="49">
        <f t="shared" si="412"/>
        <v>9984</v>
      </c>
      <c r="Y145" s="49">
        <f t="shared" si="412"/>
        <v>9984</v>
      </c>
      <c r="Z145" s="49">
        <f t="shared" si="412"/>
        <v>9984</v>
      </c>
      <c r="AA145" s="49">
        <f t="shared" si="412"/>
        <v>9984</v>
      </c>
      <c r="AB145" s="49">
        <f t="shared" si="412"/>
        <v>9984</v>
      </c>
      <c r="AC145" s="49">
        <f t="shared" si="412"/>
        <v>9984</v>
      </c>
      <c r="AD145" s="49">
        <f t="shared" si="412"/>
        <v>9984</v>
      </c>
      <c r="AE145" s="49">
        <f t="shared" si="412"/>
        <v>9984</v>
      </c>
      <c r="AF145" s="49">
        <f t="shared" si="412"/>
        <v>9984</v>
      </c>
      <c r="AG145" s="49">
        <f t="shared" si="412"/>
        <v>9984</v>
      </c>
      <c r="AH145" s="49">
        <f t="shared" si="412"/>
        <v>9984</v>
      </c>
      <c r="AI145" s="49">
        <f t="shared" si="412"/>
        <v>9984</v>
      </c>
      <c r="AJ145" s="49">
        <f t="shared" si="412"/>
        <v>9984</v>
      </c>
      <c r="AK145" s="49">
        <f t="shared" si="412"/>
        <v>9984</v>
      </c>
      <c r="AL145" s="49">
        <f t="shared" si="412"/>
        <v>9984</v>
      </c>
      <c r="AM145" s="49">
        <f t="shared" si="412"/>
        <v>9984</v>
      </c>
      <c r="AN145" s="49">
        <f t="shared" si="412"/>
        <v>9984</v>
      </c>
      <c r="AO145" s="49">
        <f t="shared" si="412"/>
        <v>9984</v>
      </c>
      <c r="AP145" s="49">
        <f t="shared" si="412"/>
        <v>9984</v>
      </c>
      <c r="AQ145" s="49">
        <f t="shared" si="412"/>
        <v>9984</v>
      </c>
      <c r="AR145" s="49">
        <f t="shared" si="412"/>
        <v>9984</v>
      </c>
      <c r="AS145" s="49">
        <f t="shared" si="412"/>
        <v>9984</v>
      </c>
      <c r="AT145" s="49">
        <f t="shared" si="412"/>
        <v>9984</v>
      </c>
      <c r="AU145" s="49">
        <f t="shared" si="412"/>
        <v>9984</v>
      </c>
      <c r="AV145" s="49">
        <f t="shared" si="412"/>
        <v>9984</v>
      </c>
      <c r="AW145" s="49">
        <f t="shared" si="412"/>
        <v>9984</v>
      </c>
      <c r="AX145" s="49">
        <f t="shared" si="412"/>
        <v>9984</v>
      </c>
      <c r="AY145" s="49">
        <f t="shared" si="412"/>
        <v>9984</v>
      </c>
      <c r="AZ145" s="49">
        <f t="shared" si="412"/>
        <v>9984</v>
      </c>
      <c r="BA145" s="49">
        <f t="shared" si="412"/>
        <v>9984</v>
      </c>
      <c r="BB145" s="49">
        <f t="shared" si="412"/>
        <v>9984</v>
      </c>
      <c r="BC145" s="49">
        <f t="shared" si="412"/>
        <v>9984</v>
      </c>
      <c r="BD145" s="49">
        <f t="shared" si="412"/>
        <v>9984</v>
      </c>
      <c r="BE145" s="49">
        <f t="shared" si="412"/>
        <v>9984</v>
      </c>
      <c r="BF145" s="49">
        <f t="shared" si="412"/>
        <v>9984</v>
      </c>
      <c r="BG145" s="49">
        <f t="shared" si="412"/>
        <v>9984</v>
      </c>
      <c r="BH145" s="49">
        <f t="shared" si="412"/>
        <v>9984</v>
      </c>
      <c r="BI145" s="49">
        <f t="shared" si="412"/>
        <v>9984</v>
      </c>
      <c r="BJ145" s="49">
        <f t="shared" si="412"/>
        <v>9984</v>
      </c>
      <c r="BK145" s="49">
        <f t="shared" si="412"/>
        <v>9984</v>
      </c>
      <c r="BL145" s="49">
        <f t="shared" si="412"/>
        <v>9984</v>
      </c>
      <c r="BM145" s="49">
        <f t="shared" si="412"/>
        <v>9984</v>
      </c>
      <c r="BN145" s="49">
        <f t="shared" si="412"/>
        <v>9984</v>
      </c>
      <c r="BO145" s="49">
        <f t="shared" si="412"/>
        <v>9984</v>
      </c>
      <c r="BP145" s="49">
        <f t="shared" si="412"/>
        <v>9984</v>
      </c>
      <c r="BQ145" s="49">
        <f t="shared" si="412"/>
        <v>9984</v>
      </c>
      <c r="BR145" s="49">
        <f t="shared" si="412"/>
        <v>9984</v>
      </c>
      <c r="BS145" s="49">
        <f t="shared" si="412"/>
        <v>9984</v>
      </c>
      <c r="BT145" s="49">
        <f t="shared" si="412"/>
        <v>9984</v>
      </c>
      <c r="BU145" s="49">
        <f t="shared" si="412"/>
        <v>9984</v>
      </c>
      <c r="BV145" s="49">
        <f t="shared" si="412"/>
        <v>9984</v>
      </c>
      <c r="BW145" s="49">
        <f t="shared" si="412"/>
        <v>9984</v>
      </c>
      <c r="BX145" s="49">
        <f t="shared" si="412"/>
        <v>9984</v>
      </c>
      <c r="BY145" s="49">
        <f t="shared" si="412"/>
        <v>9984</v>
      </c>
      <c r="BZ145" s="49">
        <f t="shared" si="412"/>
        <v>9984</v>
      </c>
      <c r="CA145" s="49">
        <f t="shared" si="412"/>
        <v>9984</v>
      </c>
      <c r="CB145" s="49">
        <f t="shared" si="412"/>
        <v>9984</v>
      </c>
      <c r="CC145" s="49">
        <f t="shared" si="412"/>
        <v>9984</v>
      </c>
      <c r="CD145" s="49">
        <f t="shared" ref="CD145:CP145" si="413">CC145</f>
        <v>9984</v>
      </c>
      <c r="CE145" s="49">
        <f t="shared" si="413"/>
        <v>9984</v>
      </c>
      <c r="CF145" s="49">
        <f t="shared" si="413"/>
        <v>9984</v>
      </c>
      <c r="CG145" s="49">
        <f t="shared" si="413"/>
        <v>9984</v>
      </c>
      <c r="CH145" s="49">
        <f t="shared" si="413"/>
        <v>9984</v>
      </c>
      <c r="CI145" s="49">
        <f t="shared" si="413"/>
        <v>9984</v>
      </c>
      <c r="CJ145" s="49">
        <f t="shared" si="413"/>
        <v>9984</v>
      </c>
      <c r="CK145" s="49">
        <f t="shared" si="413"/>
        <v>9984</v>
      </c>
      <c r="CL145" s="49">
        <f t="shared" si="413"/>
        <v>9984</v>
      </c>
      <c r="CM145" s="49">
        <f t="shared" si="413"/>
        <v>9984</v>
      </c>
      <c r="CN145" s="49">
        <f t="shared" si="413"/>
        <v>9984</v>
      </c>
      <c r="CO145" s="49">
        <f t="shared" si="413"/>
        <v>9984</v>
      </c>
      <c r="CP145" s="49">
        <f t="shared" si="413"/>
        <v>9984</v>
      </c>
      <c r="CQ145" s="49">
        <f t="shared" ref="CQ145:ED145" si="414">CP145</f>
        <v>9984</v>
      </c>
      <c r="CR145" s="49">
        <f t="shared" si="414"/>
        <v>9984</v>
      </c>
      <c r="CS145" s="49">
        <f t="shared" si="414"/>
        <v>9984</v>
      </c>
      <c r="CT145" s="49">
        <f t="shared" si="414"/>
        <v>9984</v>
      </c>
      <c r="CU145" s="49">
        <f t="shared" si="414"/>
        <v>9984</v>
      </c>
      <c r="CV145" s="49">
        <f t="shared" si="414"/>
        <v>9984</v>
      </c>
      <c r="CW145" s="49">
        <f t="shared" si="414"/>
        <v>9984</v>
      </c>
      <c r="CX145" s="49">
        <f t="shared" si="414"/>
        <v>9984</v>
      </c>
      <c r="CY145" s="49">
        <f t="shared" si="414"/>
        <v>9984</v>
      </c>
      <c r="CZ145" s="49">
        <f t="shared" si="414"/>
        <v>9984</v>
      </c>
      <c r="DA145" s="49">
        <f t="shared" si="414"/>
        <v>9984</v>
      </c>
      <c r="DB145" s="49">
        <f t="shared" si="414"/>
        <v>9984</v>
      </c>
      <c r="DC145" s="49">
        <f t="shared" si="414"/>
        <v>9984</v>
      </c>
      <c r="DD145" s="49">
        <f t="shared" si="414"/>
        <v>9984</v>
      </c>
      <c r="DE145" s="49">
        <f t="shared" si="414"/>
        <v>9984</v>
      </c>
      <c r="DF145" s="49">
        <f t="shared" si="414"/>
        <v>9984</v>
      </c>
      <c r="DG145" s="49">
        <f t="shared" si="414"/>
        <v>9984</v>
      </c>
      <c r="DH145" s="49">
        <f t="shared" si="414"/>
        <v>9984</v>
      </c>
      <c r="DI145" s="49">
        <f t="shared" si="414"/>
        <v>9984</v>
      </c>
      <c r="DJ145" s="49">
        <f t="shared" si="414"/>
        <v>9984</v>
      </c>
      <c r="DK145" s="49">
        <f t="shared" si="414"/>
        <v>9984</v>
      </c>
      <c r="DL145" s="49">
        <f t="shared" si="414"/>
        <v>9984</v>
      </c>
      <c r="DM145" s="49">
        <f t="shared" si="414"/>
        <v>9984</v>
      </c>
      <c r="DN145" s="49">
        <f t="shared" si="414"/>
        <v>9984</v>
      </c>
      <c r="DO145" s="49">
        <f t="shared" si="414"/>
        <v>9984</v>
      </c>
      <c r="DP145" s="49">
        <f t="shared" si="414"/>
        <v>9984</v>
      </c>
      <c r="DQ145" s="49">
        <f t="shared" si="414"/>
        <v>9984</v>
      </c>
      <c r="DR145" s="49">
        <f t="shared" si="414"/>
        <v>9984</v>
      </c>
      <c r="DS145" s="49">
        <f t="shared" si="414"/>
        <v>9984</v>
      </c>
      <c r="DT145" s="49">
        <f t="shared" si="414"/>
        <v>9984</v>
      </c>
      <c r="DU145" s="49">
        <f t="shared" si="414"/>
        <v>9984</v>
      </c>
      <c r="DV145" s="49">
        <f t="shared" si="414"/>
        <v>9984</v>
      </c>
      <c r="DW145" s="49">
        <f t="shared" si="414"/>
        <v>9984</v>
      </c>
      <c r="DX145" s="49">
        <f t="shared" si="414"/>
        <v>9984</v>
      </c>
      <c r="DY145" s="49">
        <f t="shared" si="414"/>
        <v>9984</v>
      </c>
      <c r="DZ145" s="49">
        <f t="shared" si="414"/>
        <v>9984</v>
      </c>
      <c r="EA145" s="49">
        <f t="shared" si="414"/>
        <v>9984</v>
      </c>
      <c r="EB145" s="49">
        <f t="shared" si="414"/>
        <v>9984</v>
      </c>
      <c r="EC145" s="49">
        <f t="shared" si="414"/>
        <v>9984</v>
      </c>
      <c r="ED145" s="49">
        <f t="shared" si="414"/>
        <v>9984</v>
      </c>
      <c r="EE145" s="124">
        <f t="shared" si="319"/>
        <v>1225237</v>
      </c>
    </row>
    <row r="146" spans="3:135" s="28" customFormat="1" ht="12.75">
      <c r="C146" s="101" t="s">
        <v>307</v>
      </c>
      <c r="D146" s="49"/>
      <c r="E146" s="49"/>
      <c r="F146" s="49"/>
      <c r="G146" s="49"/>
      <c r="H146" s="79"/>
      <c r="I146" s="49"/>
      <c r="J146" s="49"/>
      <c r="K146" s="49"/>
      <c r="L146" s="49">
        <f>L131-L135-L142</f>
        <v>9629872.9600000009</v>
      </c>
      <c r="M146" s="49">
        <f t="shared" ref="M146:BX146" si="415">M131-M135-M142</f>
        <v>13383427.98</v>
      </c>
      <c r="N146" s="49">
        <f t="shared" si="415"/>
        <v>13352508.140751999</v>
      </c>
      <c r="O146" s="49">
        <f t="shared" si="415"/>
        <v>13368206.590752</v>
      </c>
      <c r="P146" s="49">
        <f t="shared" si="415"/>
        <v>13368206.590752</v>
      </c>
      <c r="Q146" s="49">
        <f t="shared" si="415"/>
        <v>13368206.590752</v>
      </c>
      <c r="R146" s="49">
        <f t="shared" si="415"/>
        <v>13133753.065742081</v>
      </c>
      <c r="S146" s="49">
        <f t="shared" si="415"/>
        <v>13172333.43574208</v>
      </c>
      <c r="T146" s="49">
        <f t="shared" si="415"/>
        <v>13175027.055742081</v>
      </c>
      <c r="U146" s="49">
        <f t="shared" si="415"/>
        <v>13175027.055742081</v>
      </c>
      <c r="V146" s="49">
        <f t="shared" si="415"/>
        <v>13357193.309171766</v>
      </c>
      <c r="W146" s="49">
        <f t="shared" si="415"/>
        <v>13373010.609171765</v>
      </c>
      <c r="X146" s="49">
        <f t="shared" si="415"/>
        <v>13373010.609171765</v>
      </c>
      <c r="Y146" s="49">
        <f t="shared" si="415"/>
        <v>13373010.609171765</v>
      </c>
      <c r="Z146" s="49">
        <f t="shared" si="415"/>
        <v>13592550.410464775</v>
      </c>
      <c r="AA146" s="49">
        <f t="shared" si="415"/>
        <v>13592550.410464775</v>
      </c>
      <c r="AB146" s="49">
        <f t="shared" si="415"/>
        <v>13592550.410464775</v>
      </c>
      <c r="AC146" s="49">
        <f t="shared" si="415"/>
        <v>13592550.410464775</v>
      </c>
      <c r="AD146" s="49">
        <f t="shared" si="415"/>
        <v>13979826.185419042</v>
      </c>
      <c r="AE146" s="49">
        <f t="shared" si="415"/>
        <v>13983113.615419041</v>
      </c>
      <c r="AF146" s="49">
        <f t="shared" si="415"/>
        <v>13983113.615419041</v>
      </c>
      <c r="AG146" s="49">
        <f t="shared" si="415"/>
        <v>13983113.615419041</v>
      </c>
      <c r="AH146" s="49">
        <f t="shared" si="415"/>
        <v>14289031.951014519</v>
      </c>
      <c r="AI146" s="49">
        <f t="shared" si="415"/>
        <v>14289031.951014519</v>
      </c>
      <c r="AJ146" s="49">
        <f t="shared" si="415"/>
        <v>14289031.951014519</v>
      </c>
      <c r="AK146" s="49">
        <f t="shared" si="415"/>
        <v>14289031.951014519</v>
      </c>
      <c r="AL146" s="49">
        <f t="shared" si="415"/>
        <v>14644781.893039871</v>
      </c>
      <c r="AM146" s="49">
        <f t="shared" si="415"/>
        <v>14644781.893039871</v>
      </c>
      <c r="AN146" s="49">
        <f t="shared" si="415"/>
        <v>14644781.893039871</v>
      </c>
      <c r="AO146" s="49">
        <f t="shared" si="415"/>
        <v>14644781.893039871</v>
      </c>
      <c r="AP146" s="49">
        <f t="shared" si="415"/>
        <v>15005488.12822587</v>
      </c>
      <c r="AQ146" s="49">
        <f t="shared" si="415"/>
        <v>15005488.12822587</v>
      </c>
      <c r="AR146" s="49">
        <f t="shared" si="415"/>
        <v>15005488.12822587</v>
      </c>
      <c r="AS146" s="49">
        <f t="shared" si="415"/>
        <v>15005488.12822587</v>
      </c>
      <c r="AT146" s="49">
        <f t="shared" si="415"/>
        <v>15380876.181431517</v>
      </c>
      <c r="AU146" s="49">
        <f t="shared" si="415"/>
        <v>15380876.181431517</v>
      </c>
      <c r="AV146" s="49">
        <f t="shared" si="415"/>
        <v>15380876.181431517</v>
      </c>
      <c r="AW146" s="49">
        <f t="shared" si="415"/>
        <v>15380876.181431517</v>
      </c>
      <c r="AX146" s="49">
        <f t="shared" si="415"/>
        <v>15763978.705108553</v>
      </c>
      <c r="AY146" s="49">
        <f t="shared" si="415"/>
        <v>15763978.705108553</v>
      </c>
      <c r="AZ146" s="49">
        <f t="shared" si="415"/>
        <v>15763978.705108553</v>
      </c>
      <c r="BA146" s="49">
        <f t="shared" si="415"/>
        <v>15763978.705108553</v>
      </c>
      <c r="BB146" s="49">
        <f t="shared" si="415"/>
        <v>16079457.919210713</v>
      </c>
      <c r="BC146" s="49">
        <f t="shared" si="415"/>
        <v>16079457.919210713</v>
      </c>
      <c r="BD146" s="49">
        <f t="shared" si="415"/>
        <v>16079457.919210713</v>
      </c>
      <c r="BE146" s="49">
        <f t="shared" si="415"/>
        <v>16079457.919210713</v>
      </c>
      <c r="BF146" s="49">
        <f t="shared" si="415"/>
        <v>16401246.757594936</v>
      </c>
      <c r="BG146" s="49">
        <f t="shared" si="415"/>
        <v>16401246.757594936</v>
      </c>
      <c r="BH146" s="49">
        <f t="shared" si="415"/>
        <v>16401246.757594936</v>
      </c>
      <c r="BI146" s="49">
        <f t="shared" si="415"/>
        <v>16401246.757594936</v>
      </c>
      <c r="BJ146" s="49">
        <f t="shared" si="415"/>
        <v>16729470.932746835</v>
      </c>
      <c r="BK146" s="49">
        <f t="shared" si="415"/>
        <v>16729470.932746835</v>
      </c>
      <c r="BL146" s="49">
        <f t="shared" si="415"/>
        <v>16729470.932746835</v>
      </c>
      <c r="BM146" s="49">
        <f t="shared" si="415"/>
        <v>16729470.932746835</v>
      </c>
      <c r="BN146" s="49">
        <f t="shared" si="415"/>
        <v>17064261.29140177</v>
      </c>
      <c r="BO146" s="49">
        <f t="shared" si="415"/>
        <v>17064261.29140177</v>
      </c>
      <c r="BP146" s="49">
        <f t="shared" si="415"/>
        <v>17064261.29140177</v>
      </c>
      <c r="BQ146" s="49">
        <f t="shared" si="415"/>
        <v>17064261.29140177</v>
      </c>
      <c r="BR146" s="49">
        <f t="shared" si="415"/>
        <v>17405745.877229813</v>
      </c>
      <c r="BS146" s="49">
        <f t="shared" si="415"/>
        <v>17405745.877229813</v>
      </c>
      <c r="BT146" s="49">
        <f t="shared" si="415"/>
        <v>17405745.877229813</v>
      </c>
      <c r="BU146" s="49">
        <f t="shared" si="415"/>
        <v>17405745.877229813</v>
      </c>
      <c r="BV146" s="49">
        <f t="shared" si="415"/>
        <v>17754059.994774405</v>
      </c>
      <c r="BW146" s="49">
        <f t="shared" si="415"/>
        <v>17754059.994774405</v>
      </c>
      <c r="BX146" s="49">
        <f t="shared" si="415"/>
        <v>17754059.994774405</v>
      </c>
      <c r="BY146" s="49">
        <f t="shared" ref="BY146:CP146" si="416">BY131-BY135-BY142</f>
        <v>17754059.994774405</v>
      </c>
      <c r="BZ146" s="49">
        <f t="shared" si="416"/>
        <v>18109341.274669893</v>
      </c>
      <c r="CA146" s="49">
        <f t="shared" si="416"/>
        <v>18109341.274669893</v>
      </c>
      <c r="CB146" s="49">
        <f t="shared" si="416"/>
        <v>18109341.274669893</v>
      </c>
      <c r="CC146" s="49">
        <f t="shared" si="416"/>
        <v>18109341.274669893</v>
      </c>
      <c r="CD146" s="49">
        <f t="shared" si="416"/>
        <v>18471727.740163293</v>
      </c>
      <c r="CE146" s="49">
        <f t="shared" si="416"/>
        <v>18471727.740163293</v>
      </c>
      <c r="CF146" s="49">
        <f t="shared" si="416"/>
        <v>18471727.740163293</v>
      </c>
      <c r="CG146" s="49">
        <f t="shared" si="416"/>
        <v>18471727.740163293</v>
      </c>
      <c r="CH146" s="49">
        <f t="shared" si="416"/>
        <v>18841361.874966554</v>
      </c>
      <c r="CI146" s="49">
        <f t="shared" si="416"/>
        <v>18841361.874966554</v>
      </c>
      <c r="CJ146" s="49">
        <f t="shared" si="416"/>
        <v>18841361.874966554</v>
      </c>
      <c r="CK146" s="49">
        <f t="shared" si="416"/>
        <v>18841361.874966554</v>
      </c>
      <c r="CL146" s="49">
        <f t="shared" si="416"/>
        <v>19218388.692465886</v>
      </c>
      <c r="CM146" s="49">
        <f t="shared" si="416"/>
        <v>19218388.692465886</v>
      </c>
      <c r="CN146" s="49">
        <f t="shared" si="416"/>
        <v>19218388.692465886</v>
      </c>
      <c r="CO146" s="49">
        <f t="shared" si="416"/>
        <v>19218388.692465886</v>
      </c>
      <c r="CP146" s="49">
        <f t="shared" si="416"/>
        <v>19602955.806315206</v>
      </c>
      <c r="CQ146" s="49">
        <f t="shared" ref="CQ146:ED146" si="417">CQ131-CQ135-CQ142</f>
        <v>19602955.806315206</v>
      </c>
      <c r="CR146" s="49">
        <f t="shared" si="417"/>
        <v>19602955.806315206</v>
      </c>
      <c r="CS146" s="49">
        <f t="shared" si="417"/>
        <v>19602955.806315206</v>
      </c>
      <c r="CT146" s="49">
        <f t="shared" si="417"/>
        <v>19995214.502441511</v>
      </c>
      <c r="CU146" s="49">
        <f t="shared" si="417"/>
        <v>19995214.502441511</v>
      </c>
      <c r="CV146" s="49">
        <f t="shared" si="417"/>
        <v>19995214.502441511</v>
      </c>
      <c r="CW146" s="49">
        <f t="shared" si="417"/>
        <v>19995214.502441511</v>
      </c>
      <c r="CX146" s="49">
        <f t="shared" si="417"/>
        <v>20395318.81249034</v>
      </c>
      <c r="CY146" s="49">
        <f t="shared" si="417"/>
        <v>20395318.81249034</v>
      </c>
      <c r="CZ146" s="49">
        <f t="shared" si="417"/>
        <v>20395318.81249034</v>
      </c>
      <c r="DA146" s="49">
        <f t="shared" si="417"/>
        <v>20395318.81249034</v>
      </c>
      <c r="DB146" s="49">
        <f t="shared" si="417"/>
        <v>20803424.588740148</v>
      </c>
      <c r="DC146" s="49">
        <f t="shared" si="417"/>
        <v>20803424.588740148</v>
      </c>
      <c r="DD146" s="49">
        <f t="shared" si="417"/>
        <v>20803424.588740148</v>
      </c>
      <c r="DE146" s="49">
        <f t="shared" si="417"/>
        <v>20803424.588740148</v>
      </c>
      <c r="DF146" s="49">
        <f t="shared" si="417"/>
        <v>21219692.580514953</v>
      </c>
      <c r="DG146" s="49">
        <f t="shared" si="417"/>
        <v>21219692.580514953</v>
      </c>
      <c r="DH146" s="49">
        <f t="shared" si="417"/>
        <v>21219692.580514953</v>
      </c>
      <c r="DI146" s="49">
        <f t="shared" si="417"/>
        <v>21219692.580514953</v>
      </c>
      <c r="DJ146" s="49">
        <f t="shared" si="417"/>
        <v>21644286.51212525</v>
      </c>
      <c r="DK146" s="49">
        <f t="shared" si="417"/>
        <v>21644286.51212525</v>
      </c>
      <c r="DL146" s="49">
        <f t="shared" si="417"/>
        <v>21644286.51212525</v>
      </c>
      <c r="DM146" s="49">
        <f t="shared" si="417"/>
        <v>21644286.51212525</v>
      </c>
      <c r="DN146" s="49">
        <f t="shared" si="417"/>
        <v>22077372.162367757</v>
      </c>
      <c r="DO146" s="49">
        <f t="shared" si="417"/>
        <v>22077372.162367757</v>
      </c>
      <c r="DP146" s="49">
        <f t="shared" si="417"/>
        <v>22077372.162367757</v>
      </c>
      <c r="DQ146" s="49">
        <f t="shared" si="417"/>
        <v>22077372.162367757</v>
      </c>
      <c r="DR146" s="49">
        <f t="shared" si="417"/>
        <v>22519119.445615113</v>
      </c>
      <c r="DS146" s="49">
        <f t="shared" si="417"/>
        <v>22519119.445615113</v>
      </c>
      <c r="DT146" s="49">
        <f t="shared" si="417"/>
        <v>22519119.445615113</v>
      </c>
      <c r="DU146" s="49">
        <f t="shared" si="417"/>
        <v>22519119.445615113</v>
      </c>
      <c r="DV146" s="49">
        <f t="shared" si="417"/>
        <v>22969701.494527407</v>
      </c>
      <c r="DW146" s="49">
        <f t="shared" si="417"/>
        <v>22969701.494527407</v>
      </c>
      <c r="DX146" s="49">
        <f t="shared" si="417"/>
        <v>22969701.494527407</v>
      </c>
      <c r="DY146" s="49">
        <f t="shared" si="417"/>
        <v>22969701.494527407</v>
      </c>
      <c r="DZ146" s="49">
        <f t="shared" si="417"/>
        <v>23429295.744417962</v>
      </c>
      <c r="EA146" s="49">
        <f t="shared" si="417"/>
        <v>23429295.744417962</v>
      </c>
      <c r="EB146" s="49">
        <f t="shared" si="417"/>
        <v>23429295.744417962</v>
      </c>
      <c r="EC146" s="49">
        <f t="shared" si="417"/>
        <v>23429295.744417962</v>
      </c>
      <c r="ED146" s="49">
        <f t="shared" si="417"/>
        <v>23898080.019306328</v>
      </c>
      <c r="EE146" s="124">
        <f t="shared" si="319"/>
        <v>2180062646.7499037</v>
      </c>
    </row>
    <row r="147" spans="3:135" s="28" customFormat="1" ht="12.75">
      <c r="C147" s="88" t="s">
        <v>296</v>
      </c>
      <c r="D147" s="49"/>
      <c r="E147" s="49"/>
      <c r="F147" s="49"/>
      <c r="G147" s="49"/>
      <c r="H147" s="79"/>
      <c r="I147" s="49"/>
      <c r="J147" s="49"/>
      <c r="K147" s="49"/>
      <c r="L147" s="49">
        <f>L146</f>
        <v>9629872.9600000009</v>
      </c>
      <c r="M147" s="225">
        <f>M146+N146+O146+P146</f>
        <v>53472349.302255996</v>
      </c>
      <c r="N147" s="226"/>
      <c r="O147" s="226"/>
      <c r="P147" s="227"/>
      <c r="Q147" s="225">
        <f>Q146+R146+S146+T146</f>
        <v>52849320.147978246</v>
      </c>
      <c r="R147" s="226"/>
      <c r="S147" s="226"/>
      <c r="T147" s="227"/>
      <c r="U147" s="225">
        <f>U146+V146+W146+X146</f>
        <v>53278241.583257377</v>
      </c>
      <c r="V147" s="226"/>
      <c r="W147" s="226"/>
      <c r="X147" s="227"/>
      <c r="Y147" s="225">
        <f t="shared" ref="Y147" si="418">Y146+Z146+AA146+AB146</f>
        <v>54150661.840566099</v>
      </c>
      <c r="Z147" s="226"/>
      <c r="AA147" s="226"/>
      <c r="AB147" s="227"/>
      <c r="AC147" s="225">
        <f t="shared" ref="AC147" si="419">AC146+AD146+AE146+AF146</f>
        <v>55538603.826721907</v>
      </c>
      <c r="AD147" s="226"/>
      <c r="AE147" s="226"/>
      <c r="AF147" s="227"/>
      <c r="AG147" s="225">
        <f t="shared" ref="AG147" si="420">AG146+AH146+AI146+AJ146</f>
        <v>56850209.468462601</v>
      </c>
      <c r="AH147" s="226"/>
      <c r="AI147" s="226"/>
      <c r="AJ147" s="227"/>
      <c r="AK147" s="225">
        <f t="shared" ref="AK147" si="421">AK146+AL146+AM146+AN146</f>
        <v>58223377.630134135</v>
      </c>
      <c r="AL147" s="226"/>
      <c r="AM147" s="226"/>
      <c r="AN147" s="227"/>
      <c r="AO147" s="225">
        <f t="shared" ref="AO147" si="422">AO146+AP146+AQ146+AR146</f>
        <v>59661246.277717479</v>
      </c>
      <c r="AP147" s="226"/>
      <c r="AQ147" s="226"/>
      <c r="AR147" s="227"/>
      <c r="AS147" s="225">
        <f t="shared" ref="AS147" si="423">AS146+AT146+AU146+AV146</f>
        <v>61148116.672520421</v>
      </c>
      <c r="AT147" s="226"/>
      <c r="AU147" s="226"/>
      <c r="AV147" s="227"/>
      <c r="AW147" s="225">
        <f t="shared" ref="AW147" si="424">AW146+AX146+AY146+AZ146</f>
        <v>62672812.296757177</v>
      </c>
      <c r="AX147" s="226"/>
      <c r="AY147" s="226"/>
      <c r="AZ147" s="227"/>
      <c r="BA147" s="225">
        <f t="shared" ref="BA147" si="425">BA146+BB146+BC146+BD146</f>
        <v>64002352.46274069</v>
      </c>
      <c r="BB147" s="226"/>
      <c r="BC147" s="226"/>
      <c r="BD147" s="227"/>
      <c r="BE147" s="225">
        <f t="shared" ref="BE147" si="426">BE146+BF146+BG146+BH146</f>
        <v>65283198.191995524</v>
      </c>
      <c r="BF147" s="226"/>
      <c r="BG147" s="226"/>
      <c r="BH147" s="227"/>
      <c r="BI147" s="225">
        <f t="shared" ref="BI147" si="427">BI146+BJ146+BK146+BL146</f>
        <v>66589659.555835441</v>
      </c>
      <c r="BJ147" s="226"/>
      <c r="BK147" s="226"/>
      <c r="BL147" s="227"/>
      <c r="BM147" s="225">
        <f t="shared" ref="BM147" si="428">BM146+BN146+BO146+BP146</f>
        <v>67922254.806952149</v>
      </c>
      <c r="BN147" s="226"/>
      <c r="BO147" s="226"/>
      <c r="BP147" s="227"/>
      <c r="BQ147" s="225">
        <f t="shared" ref="BQ147" si="429">BQ146+BR146+BS146+BT146</f>
        <v>69281498.923091203</v>
      </c>
      <c r="BR147" s="226"/>
      <c r="BS147" s="226"/>
      <c r="BT147" s="227"/>
      <c r="BU147" s="225">
        <f t="shared" ref="BU147" si="430">BU146+BV146+BW146+BX146</f>
        <v>70667925.861553028</v>
      </c>
      <c r="BV147" s="226"/>
      <c r="BW147" s="226"/>
      <c r="BX147" s="227"/>
      <c r="BY147" s="225">
        <f t="shared" ref="BY147" si="431">BY146+BZ146+CA146+CB146</f>
        <v>72082083.818784088</v>
      </c>
      <c r="BZ147" s="226"/>
      <c r="CA147" s="226"/>
      <c r="CB147" s="227"/>
      <c r="CC147" s="225">
        <f t="shared" ref="CC147" si="432">CC146+CD146+CE146+CF146</f>
        <v>73524524.495159775</v>
      </c>
      <c r="CD147" s="226"/>
      <c r="CE147" s="226"/>
      <c r="CF147" s="227"/>
      <c r="CG147" s="225">
        <f t="shared" ref="CG147" si="433">CG146+CH146+CI146+CJ146</f>
        <v>74995813.365062952</v>
      </c>
      <c r="CH147" s="226"/>
      <c r="CI147" s="226"/>
      <c r="CJ147" s="227"/>
      <c r="CK147" s="225">
        <f t="shared" ref="CK147" si="434">CK146+CL146+CM146+CN146</f>
        <v>76496527.952364206</v>
      </c>
      <c r="CL147" s="226"/>
      <c r="CM147" s="226"/>
      <c r="CN147" s="227"/>
      <c r="CO147" s="225">
        <f t="shared" ref="CO147" si="435">CO146+CP146+CQ146+CR146</f>
        <v>78027256.111411512</v>
      </c>
      <c r="CP147" s="226"/>
      <c r="CQ147" s="226"/>
      <c r="CR147" s="227"/>
      <c r="CS147" s="225">
        <f t="shared" ref="CS147" si="436">CS146+CT146+CU146+CV146</f>
        <v>79588599.31363973</v>
      </c>
      <c r="CT147" s="226"/>
      <c r="CU147" s="226"/>
      <c r="CV147" s="227"/>
      <c r="CW147" s="225">
        <f t="shared" ref="CW147" si="437">CW146+CX146+CY146+CZ146</f>
        <v>81181170.939912543</v>
      </c>
      <c r="CX147" s="226"/>
      <c r="CY147" s="226"/>
      <c r="CZ147" s="227"/>
      <c r="DA147" s="225">
        <f t="shared" ref="DA147" si="438">DA146+DB146+DC146+DD146</f>
        <v>82805592.57871078</v>
      </c>
      <c r="DB147" s="226"/>
      <c r="DC147" s="226"/>
      <c r="DD147" s="227"/>
      <c r="DE147" s="225">
        <f t="shared" ref="DE147" si="439">DE146+DF146+DG146+DH146</f>
        <v>84462502.330285013</v>
      </c>
      <c r="DF147" s="226"/>
      <c r="DG147" s="226"/>
      <c r="DH147" s="227"/>
      <c r="DI147" s="225">
        <f t="shared" ref="DI147" si="440">DI146+DJ146+DK146+DL146</f>
        <v>86152552.116890714</v>
      </c>
      <c r="DJ147" s="226"/>
      <c r="DK147" s="226"/>
      <c r="DL147" s="227"/>
      <c r="DM147" s="225">
        <f t="shared" ref="DM147" si="441">DM146+DN146+DO146+DP146</f>
        <v>87876402.999228522</v>
      </c>
      <c r="DN147" s="226"/>
      <c r="DO147" s="226"/>
      <c r="DP147" s="227"/>
      <c r="DQ147" s="225">
        <f t="shared" ref="DQ147" si="442">DQ146+DR146+DS146+DT146</f>
        <v>89634730.499213099</v>
      </c>
      <c r="DR147" s="226"/>
      <c r="DS147" s="226"/>
      <c r="DT147" s="227"/>
      <c r="DU147" s="225">
        <f t="shared" ref="DU147" si="443">DU146+DV146+DW146+DX146</f>
        <v>91428223.929197341</v>
      </c>
      <c r="DV147" s="226"/>
      <c r="DW147" s="226"/>
      <c r="DX147" s="227"/>
      <c r="DY147" s="225">
        <f t="shared" ref="DY147" si="444">DY146+DZ146+EA146+EB146</f>
        <v>93257588.727781296</v>
      </c>
      <c r="DZ147" s="226"/>
      <c r="EA147" s="226"/>
      <c r="EB147" s="227"/>
      <c r="EC147" s="241">
        <f>EC146+ED146</f>
        <v>47327375.76372429</v>
      </c>
      <c r="ED147" s="242"/>
      <c r="EE147" s="124">
        <f t="shared" si="319"/>
        <v>2180062646.7499051</v>
      </c>
    </row>
    <row r="148" spans="3:135" s="28" customFormat="1" ht="12.75">
      <c r="C148" s="49" t="s">
        <v>322</v>
      </c>
      <c r="D148" s="163">
        <v>0.05</v>
      </c>
      <c r="E148" s="49"/>
      <c r="F148" s="49"/>
      <c r="G148" s="49"/>
      <c r="H148" s="79"/>
      <c r="I148" s="49"/>
      <c r="J148" s="49"/>
      <c r="K148" s="49"/>
      <c r="L148" s="49">
        <f>ROUND(L147/(1+D148)^L128,0)</f>
        <v>9545671</v>
      </c>
      <c r="M148" s="225">
        <f>ROUND(M147/(1+$D$148)^(M128+$L$128),0)</f>
        <v>50480761</v>
      </c>
      <c r="N148" s="226"/>
      <c r="O148" s="226"/>
      <c r="P148" s="227"/>
      <c r="Q148" s="225">
        <f t="shared" ref="Q148" si="445">ROUND(Q147/(1+$D$148)^(Q128+$L$128),0)</f>
        <v>47516750</v>
      </c>
      <c r="R148" s="226"/>
      <c r="S148" s="226"/>
      <c r="T148" s="227"/>
      <c r="U148" s="225">
        <f t="shared" ref="U148" si="446">ROUND(U147/(1+$D$148)^(U128+$L$128),0)</f>
        <v>45621327</v>
      </c>
      <c r="V148" s="226"/>
      <c r="W148" s="226"/>
      <c r="X148" s="227"/>
      <c r="Y148" s="225">
        <f t="shared" ref="Y148" si="447">ROUND(Y147/(1+$D$148)^(Y128+$L$128),0)</f>
        <v>44160349</v>
      </c>
      <c r="Z148" s="226"/>
      <c r="AA148" s="226"/>
      <c r="AB148" s="227"/>
      <c r="AC148" s="225">
        <f t="shared" ref="AC148" si="448">ROUND(AC147/(1+$D$148)^(AC128+$L$128),0)</f>
        <v>43135456</v>
      </c>
      <c r="AD148" s="226"/>
      <c r="AE148" s="226"/>
      <c r="AF148" s="227"/>
      <c r="AG148" s="225">
        <f t="shared" ref="AG148" si="449">ROUND(AG147/(1+$D$148)^(AG128+$L$128),0)</f>
        <v>42051569</v>
      </c>
      <c r="AH148" s="226"/>
      <c r="AI148" s="226"/>
      <c r="AJ148" s="227"/>
      <c r="AK148" s="225">
        <f t="shared" ref="AK148" si="450">ROUND(AK147/(1+$D$148)^(AK128+$L$128),0)</f>
        <v>41016465</v>
      </c>
      <c r="AL148" s="226"/>
      <c r="AM148" s="226"/>
      <c r="AN148" s="227"/>
      <c r="AO148" s="225">
        <f t="shared" ref="AO148" si="451">ROUND(AO147/(1+$D$148)^(AO128+$L$128),0)</f>
        <v>40027997</v>
      </c>
      <c r="AP148" s="226"/>
      <c r="AQ148" s="226"/>
      <c r="AR148" s="227"/>
      <c r="AS148" s="225">
        <f t="shared" ref="AS148" si="452">ROUND(AS147/(1+$D$148)^(AS128+$L$128),0)</f>
        <v>39071971</v>
      </c>
      <c r="AT148" s="226"/>
      <c r="AU148" s="226"/>
      <c r="AV148" s="227"/>
      <c r="AW148" s="225">
        <f t="shared" ref="AW148" si="453">ROUND(AW147/(1+$D$148)^(AW128+$L$128),0)</f>
        <v>38139247</v>
      </c>
      <c r="AX148" s="226"/>
      <c r="AY148" s="226"/>
      <c r="AZ148" s="227"/>
      <c r="BA148" s="225">
        <f t="shared" ref="BA148" si="454">ROUND(BA147/(1+$D$148)^(BA128+$L$128),0)</f>
        <v>37093650</v>
      </c>
      <c r="BB148" s="226"/>
      <c r="BC148" s="226"/>
      <c r="BD148" s="227"/>
      <c r="BE148" s="225">
        <f t="shared" ref="BE148" si="455">ROUND(BE147/(1+$D$148)^(BE128+$L$128),0)</f>
        <v>36034273</v>
      </c>
      <c r="BF148" s="226"/>
      <c r="BG148" s="226"/>
      <c r="BH148" s="227"/>
      <c r="BI148" s="225">
        <f t="shared" ref="BI148" si="456">ROUND(BI147/(1+$D$148)^(BI128+$L$128),0)</f>
        <v>35005141</v>
      </c>
      <c r="BJ148" s="226"/>
      <c r="BK148" s="226"/>
      <c r="BL148" s="227"/>
      <c r="BM148" s="225">
        <f t="shared" ref="BM148" si="457">ROUND(BM147/(1+$D$148)^(BM128+$L$128),0)</f>
        <v>34005396</v>
      </c>
      <c r="BN148" s="226"/>
      <c r="BO148" s="226"/>
      <c r="BP148" s="227"/>
      <c r="BQ148" s="225">
        <f t="shared" ref="BQ148" si="458">ROUND(BQ147/(1+$D$148)^(BQ128+$L$128),0)</f>
        <v>33034194</v>
      </c>
      <c r="BR148" s="226"/>
      <c r="BS148" s="226"/>
      <c r="BT148" s="227"/>
      <c r="BU148" s="225">
        <f t="shared" ref="BU148" si="459">ROUND(BU147/(1+$D$148)^(BU128+$L$128),0)</f>
        <v>32090722</v>
      </c>
      <c r="BV148" s="226"/>
      <c r="BW148" s="226"/>
      <c r="BX148" s="227"/>
      <c r="BY148" s="225">
        <f t="shared" ref="BY148" si="460">ROUND(BY147/(1+$D$148)^(BY128+$L$128),0)</f>
        <v>31174190</v>
      </c>
      <c r="BZ148" s="226"/>
      <c r="CA148" s="226"/>
      <c r="CB148" s="227"/>
      <c r="CC148" s="225">
        <f t="shared" ref="CC148" si="461">ROUND(CC147/(1+$D$148)^(CC128+$L$128),0)</f>
        <v>30283828</v>
      </c>
      <c r="CD148" s="226"/>
      <c r="CE148" s="226"/>
      <c r="CF148" s="227"/>
      <c r="CG148" s="225">
        <f t="shared" ref="CG148" si="462">ROUND(CG147/(1+$D$148)^(CG128+$L$128),0)</f>
        <v>29418889</v>
      </c>
      <c r="CH148" s="226"/>
      <c r="CI148" s="226"/>
      <c r="CJ148" s="227"/>
      <c r="CK148" s="225">
        <f t="shared" ref="CK148" si="463">ROUND(CK147/(1+$D$148)^(CK128+$L$128),0)</f>
        <v>28578647</v>
      </c>
      <c r="CL148" s="226"/>
      <c r="CM148" s="226"/>
      <c r="CN148" s="227"/>
      <c r="CO148" s="225">
        <f t="shared" ref="CO148" si="464">ROUND(CO147/(1+$D$148)^(CO128+$L$128),0)</f>
        <v>27762398</v>
      </c>
      <c r="CP148" s="226"/>
      <c r="CQ148" s="226"/>
      <c r="CR148" s="227"/>
      <c r="CS148" s="225">
        <f t="shared" ref="CS148" si="465">ROUND(CS147/(1+$D$148)^(CS128+$L$128),0)</f>
        <v>26969457</v>
      </c>
      <c r="CT148" s="226"/>
      <c r="CU148" s="226"/>
      <c r="CV148" s="227"/>
      <c r="CW148" s="225">
        <f t="shared" ref="CW148" si="466">ROUND(CW147/(1+$D$148)^(CW128+$L$128),0)</f>
        <v>26199159</v>
      </c>
      <c r="CX148" s="226"/>
      <c r="CY148" s="226"/>
      <c r="CZ148" s="227"/>
      <c r="DA148" s="225">
        <f t="shared" ref="DA148" si="467">ROUND(DA147/(1+$D$148)^(DA128+$L$128),0)</f>
        <v>25450857</v>
      </c>
      <c r="DB148" s="226"/>
      <c r="DC148" s="226"/>
      <c r="DD148" s="227"/>
      <c r="DE148" s="225">
        <f t="shared" ref="DE148" si="468">ROUND(DE147/(1+$D$148)^(DE128+$L$128),0)</f>
        <v>24723924</v>
      </c>
      <c r="DF148" s="226"/>
      <c r="DG148" s="226"/>
      <c r="DH148" s="227"/>
      <c r="DI148" s="225">
        <f t="shared" ref="DI148" si="469">ROUND(DI147/(1+$D$148)^(DI128+$L$128),0)</f>
        <v>24017749</v>
      </c>
      <c r="DJ148" s="226"/>
      <c r="DK148" s="226"/>
      <c r="DL148" s="227"/>
      <c r="DM148" s="225">
        <f t="shared" ref="DM148" si="470">ROUND(DM147/(1+$D$148)^(DM128+$L$128),0)</f>
        <v>23331740</v>
      </c>
      <c r="DN148" s="226"/>
      <c r="DO148" s="226"/>
      <c r="DP148" s="227"/>
      <c r="DQ148" s="225">
        <f t="shared" ref="DQ148" si="471">ROUND(DQ147/(1+$D$148)^(DQ128+$L$128),0)</f>
        <v>22665321</v>
      </c>
      <c r="DR148" s="226"/>
      <c r="DS148" s="226"/>
      <c r="DT148" s="227"/>
      <c r="DU148" s="225">
        <f t="shared" ref="DU148" si="472">ROUND(DU147/(1+$D$148)^(DU128+$L$128),0)</f>
        <v>22017933</v>
      </c>
      <c r="DV148" s="226"/>
      <c r="DW148" s="226"/>
      <c r="DX148" s="227"/>
      <c r="DY148" s="225">
        <f t="shared" ref="DY148" si="473">ROUND(DY147/(1+$D$148)^(DY128+$L$128),0)</f>
        <v>21389032</v>
      </c>
      <c r="DZ148" s="226"/>
      <c r="EA148" s="226"/>
      <c r="EB148" s="227"/>
      <c r="EC148" s="243">
        <f>ROUND(EC147/(1+$D$148)^(EC128+$L$128),0)</f>
        <v>10593140</v>
      </c>
      <c r="ED148" s="244"/>
      <c r="EE148" s="124">
        <f>SUM(L148:ED148)</f>
        <v>1022607203</v>
      </c>
    </row>
    <row r="149" spans="3:135" s="28" customFormat="1" ht="12.75">
      <c r="F149" s="28" t="s">
        <v>323</v>
      </c>
      <c r="G149" s="115">
        <f>ROUND(EE148/10000,0)</f>
        <v>102261</v>
      </c>
      <c r="H149" s="115"/>
      <c r="I149" s="115"/>
      <c r="J149" s="115"/>
      <c r="M149" s="47"/>
      <c r="N149" s="47"/>
    </row>
    <row r="150" spans="3:135" s="28" customFormat="1" ht="12.75">
      <c r="F150" s="28" t="s">
        <v>324</v>
      </c>
      <c r="G150" s="116">
        <f>ROUND(G149/基础数据!C12*10000,0)</f>
        <v>23272</v>
      </c>
      <c r="H150" s="116"/>
      <c r="I150" s="116"/>
      <c r="J150" s="116"/>
      <c r="M150" s="47"/>
      <c r="N150" s="47"/>
    </row>
    <row r="151" spans="3:135" s="28" customFormat="1" ht="16.5" customHeight="1">
      <c r="G151" s="116"/>
      <c r="H151" s="116"/>
      <c r="I151" s="116"/>
      <c r="J151" s="116"/>
      <c r="L151" s="28" t="str">
        <f>L130</f>
        <v>2018年2季度</v>
      </c>
      <c r="M151" s="28" t="str">
        <f t="shared" ref="M151:BX151" si="474">M130</f>
        <v>2018年3季度</v>
      </c>
      <c r="N151" s="28" t="str">
        <f t="shared" si="474"/>
        <v>2018年4季度</v>
      </c>
      <c r="O151" s="28" t="str">
        <f t="shared" si="474"/>
        <v>2019年1季度</v>
      </c>
      <c r="P151" s="28" t="str">
        <f t="shared" si="474"/>
        <v>2019年2季度</v>
      </c>
      <c r="Q151" s="28" t="str">
        <f t="shared" si="474"/>
        <v>2019年3季度</v>
      </c>
      <c r="R151" s="28" t="str">
        <f t="shared" si="474"/>
        <v>2019年4季度</v>
      </c>
      <c r="S151" s="28" t="str">
        <f t="shared" si="474"/>
        <v>2020年1季度</v>
      </c>
      <c r="T151" s="28" t="str">
        <f t="shared" si="474"/>
        <v>2020年2季度</v>
      </c>
      <c r="U151" s="28" t="str">
        <f t="shared" si="474"/>
        <v>2020年3季度</v>
      </c>
      <c r="V151" s="28" t="str">
        <f t="shared" si="474"/>
        <v>2020年4季度</v>
      </c>
      <c r="W151" s="28" t="str">
        <f t="shared" si="474"/>
        <v>2021年1季度</v>
      </c>
      <c r="X151" s="28" t="str">
        <f t="shared" si="474"/>
        <v>2021年2季度</v>
      </c>
      <c r="Y151" s="28" t="str">
        <f t="shared" si="474"/>
        <v>2021年3季度</v>
      </c>
      <c r="Z151" s="28" t="str">
        <f t="shared" si="474"/>
        <v>2021年4季度</v>
      </c>
      <c r="AA151" s="28" t="str">
        <f t="shared" si="474"/>
        <v>2022年1季度</v>
      </c>
      <c r="AB151" s="28" t="str">
        <f t="shared" si="474"/>
        <v>2022年2季度</v>
      </c>
      <c r="AC151" s="28" t="str">
        <f t="shared" si="474"/>
        <v>2022年3季度</v>
      </c>
      <c r="AD151" s="28" t="str">
        <f t="shared" si="474"/>
        <v>2022年4季度</v>
      </c>
      <c r="AE151" s="28" t="str">
        <f t="shared" si="474"/>
        <v>2023年1季度</v>
      </c>
      <c r="AF151" s="28" t="str">
        <f t="shared" si="474"/>
        <v>2023年2季度</v>
      </c>
      <c r="AG151" s="28" t="str">
        <f t="shared" si="474"/>
        <v>2023年3季度</v>
      </c>
      <c r="AH151" s="28" t="str">
        <f t="shared" si="474"/>
        <v>2023年4季度</v>
      </c>
      <c r="AI151" s="28" t="str">
        <f t="shared" si="474"/>
        <v>2024年1季度</v>
      </c>
      <c r="AJ151" s="28" t="str">
        <f t="shared" si="474"/>
        <v>2024年2季度</v>
      </c>
      <c r="AK151" s="28" t="str">
        <f t="shared" si="474"/>
        <v>2024年3季度</v>
      </c>
      <c r="AL151" s="28" t="str">
        <f t="shared" si="474"/>
        <v>2024年4季度</v>
      </c>
      <c r="AM151" s="28" t="str">
        <f t="shared" si="474"/>
        <v>2025年1季度</v>
      </c>
      <c r="AN151" s="28" t="str">
        <f t="shared" si="474"/>
        <v>2025年2季度</v>
      </c>
      <c r="AO151" s="28" t="str">
        <f t="shared" si="474"/>
        <v>2025年3季度</v>
      </c>
      <c r="AP151" s="28" t="str">
        <f t="shared" si="474"/>
        <v>2025年4季度</v>
      </c>
      <c r="AQ151" s="28" t="str">
        <f t="shared" si="474"/>
        <v>2026年1季度</v>
      </c>
      <c r="AR151" s="28" t="str">
        <f t="shared" si="474"/>
        <v>2026年2季度</v>
      </c>
      <c r="AS151" s="28" t="str">
        <f t="shared" si="474"/>
        <v>2026年3季度</v>
      </c>
      <c r="AT151" s="28" t="str">
        <f t="shared" si="474"/>
        <v>2026年4季度</v>
      </c>
      <c r="AU151" s="28" t="str">
        <f t="shared" si="474"/>
        <v>2027年1季度</v>
      </c>
      <c r="AV151" s="28" t="str">
        <f t="shared" si="474"/>
        <v>2027年2季度</v>
      </c>
      <c r="AW151" s="28" t="str">
        <f t="shared" si="474"/>
        <v>2027年3季度</v>
      </c>
      <c r="AX151" s="28" t="str">
        <f t="shared" si="474"/>
        <v>2027年4季度</v>
      </c>
      <c r="AY151" s="28" t="str">
        <f t="shared" si="474"/>
        <v>2028年1季度</v>
      </c>
      <c r="AZ151" s="28" t="str">
        <f t="shared" si="474"/>
        <v>2028年2季度</v>
      </c>
      <c r="BA151" s="28" t="str">
        <f t="shared" si="474"/>
        <v>2028年3季度</v>
      </c>
      <c r="BB151" s="28" t="str">
        <f t="shared" si="474"/>
        <v>2028年4季度</v>
      </c>
      <c r="BC151" s="28" t="str">
        <f t="shared" si="474"/>
        <v>2029年1季度</v>
      </c>
      <c r="BD151" s="28" t="str">
        <f t="shared" si="474"/>
        <v>2029年2季度</v>
      </c>
      <c r="BE151" s="28" t="str">
        <f t="shared" si="474"/>
        <v>2029年3季度</v>
      </c>
      <c r="BF151" s="28" t="str">
        <f t="shared" si="474"/>
        <v>2029年4季度</v>
      </c>
      <c r="BG151" s="28" t="str">
        <f t="shared" si="474"/>
        <v>2030年1季度</v>
      </c>
      <c r="BH151" s="28" t="str">
        <f t="shared" si="474"/>
        <v>2030年2季度</v>
      </c>
      <c r="BI151" s="28" t="str">
        <f t="shared" si="474"/>
        <v>2030年3季度</v>
      </c>
      <c r="BJ151" s="28" t="str">
        <f t="shared" si="474"/>
        <v>2030年4季度</v>
      </c>
      <c r="BK151" s="28" t="str">
        <f t="shared" si="474"/>
        <v>2031年1季度</v>
      </c>
      <c r="BL151" s="28" t="str">
        <f t="shared" si="474"/>
        <v>2031年2季度</v>
      </c>
      <c r="BM151" s="28" t="str">
        <f t="shared" si="474"/>
        <v>2031年3季度</v>
      </c>
      <c r="BN151" s="28" t="str">
        <f t="shared" si="474"/>
        <v>2031年4季度</v>
      </c>
      <c r="BO151" s="28" t="str">
        <f t="shared" si="474"/>
        <v>2032年1季度</v>
      </c>
      <c r="BP151" s="28" t="str">
        <f t="shared" si="474"/>
        <v>2032年2季度</v>
      </c>
      <c r="BQ151" s="28" t="str">
        <f t="shared" si="474"/>
        <v>2032年3季度</v>
      </c>
      <c r="BR151" s="28" t="str">
        <f t="shared" si="474"/>
        <v>2032年4季度</v>
      </c>
      <c r="BS151" s="28" t="str">
        <f t="shared" si="474"/>
        <v>2033年1季度</v>
      </c>
      <c r="BT151" s="28" t="str">
        <f t="shared" si="474"/>
        <v>2033年2季度</v>
      </c>
      <c r="BU151" s="28" t="str">
        <f t="shared" si="474"/>
        <v>2033年3季度</v>
      </c>
      <c r="BV151" s="28" t="str">
        <f t="shared" si="474"/>
        <v>2033年4季度</v>
      </c>
      <c r="BW151" s="28" t="str">
        <f t="shared" si="474"/>
        <v>2034年1季度</v>
      </c>
      <c r="BX151" s="28" t="str">
        <f t="shared" si="474"/>
        <v>2034年2季度</v>
      </c>
      <c r="BY151" s="28" t="str">
        <f t="shared" ref="BY151:CP151" si="475">BY130</f>
        <v>2034年3季度</v>
      </c>
      <c r="BZ151" s="28" t="str">
        <f t="shared" si="475"/>
        <v>2034年4季度</v>
      </c>
      <c r="CA151" s="28" t="str">
        <f t="shared" si="475"/>
        <v>2035年1季度</v>
      </c>
      <c r="CB151" s="28" t="str">
        <f t="shared" si="475"/>
        <v>2035年2季度</v>
      </c>
      <c r="CC151" s="28" t="str">
        <f t="shared" si="475"/>
        <v>2035年3季度</v>
      </c>
      <c r="CD151" s="28" t="str">
        <f t="shared" si="475"/>
        <v>2035年4季度</v>
      </c>
      <c r="CE151" s="28" t="str">
        <f t="shared" si="475"/>
        <v>2036年1季度</v>
      </c>
      <c r="CF151" s="28" t="str">
        <f t="shared" si="475"/>
        <v>2036年2季度</v>
      </c>
      <c r="CG151" s="28" t="str">
        <f t="shared" si="475"/>
        <v>2036年3季度</v>
      </c>
      <c r="CH151" s="28" t="str">
        <f t="shared" si="475"/>
        <v>2036年4季度</v>
      </c>
      <c r="CI151" s="28" t="str">
        <f t="shared" si="475"/>
        <v>2037年1季度</v>
      </c>
      <c r="CJ151" s="28" t="str">
        <f t="shared" si="475"/>
        <v>2037年2季度</v>
      </c>
      <c r="CK151" s="28" t="str">
        <f t="shared" si="475"/>
        <v>2037年3季度</v>
      </c>
      <c r="CL151" s="28" t="str">
        <f t="shared" si="475"/>
        <v>2037年4季度</v>
      </c>
      <c r="CM151" s="28" t="str">
        <f t="shared" si="475"/>
        <v>2038年1季度</v>
      </c>
      <c r="CN151" s="28" t="str">
        <f t="shared" si="475"/>
        <v>2038年2季度</v>
      </c>
      <c r="CO151" s="28" t="str">
        <f t="shared" si="475"/>
        <v>2038年3季度</v>
      </c>
      <c r="CP151" s="28" t="str">
        <f t="shared" si="475"/>
        <v>2038年4季度</v>
      </c>
    </row>
    <row r="152" spans="3:135" s="28" customFormat="1" ht="12.75">
      <c r="G152" s="116"/>
      <c r="H152" s="116"/>
      <c r="I152" s="116"/>
      <c r="J152" s="116"/>
      <c r="K152" s="28" t="s">
        <v>631</v>
      </c>
      <c r="L152" s="28">
        <f>(L131+M131+N131+O131)/10000</f>
        <v>6944.8125473600003</v>
      </c>
      <c r="N152" s="47"/>
      <c r="P152" s="28">
        <f>(P131+Q131+R131+S131)/10000</f>
        <v>7406.8515374143999</v>
      </c>
      <c r="T152" s="28">
        <f>(T131+U131+V131+W131)/10000</f>
        <v>7412.1201157109763</v>
      </c>
      <c r="X152" s="28">
        <f>(X131+Y131+Z131+AA131)/10000</f>
        <v>7530.8453976711316</v>
      </c>
      <c r="AB152" s="28">
        <f>(AB131+AC131+AD131+AE131)/10000</f>
        <v>7700.6480473896208</v>
      </c>
      <c r="AF152" s="28">
        <f>(AF131+AG131+AH131+AI131)/10000</f>
        <v>7895.4736104345084</v>
      </c>
      <c r="AJ152" s="28">
        <f>(AJ131+AK131+AL131+AM131)/10000</f>
        <v>8080.1251334953695</v>
      </c>
      <c r="AN152" s="28">
        <f>(AN131+AO131+AP131+AQ131)/10000</f>
        <v>8280.0665216327525</v>
      </c>
      <c r="AR152" s="28">
        <f>(AR131+AS131+AT131+AU131)/10000</f>
        <v>8485.4881594735707</v>
      </c>
      <c r="AV152" s="28">
        <f>(AV131+AW131+AX131+AY131)/10000</f>
        <v>8697.1597497842849</v>
      </c>
      <c r="AZ152" s="28">
        <f>(AZ131+BA131+BB131+BC131)/10000</f>
        <v>8892.1129492852288</v>
      </c>
      <c r="BD152" s="28">
        <f>(BD131+BE131+BF131+BG131)/10000</f>
        <v>9069.9552082709324</v>
      </c>
      <c r="BH152" s="28">
        <f>(BH131+BI131+BJ131+BK131)/10000</f>
        <v>9251.3543124363532</v>
      </c>
      <c r="BL152" s="28">
        <f>(BL131+BM131+BN131+BO131)/10000</f>
        <v>9436.3813986850801</v>
      </c>
      <c r="BP152" s="28">
        <f>(BP131+BQ131+BR131+BS131)/10000</f>
        <v>9625.1090266587817</v>
      </c>
      <c r="BT152" s="28">
        <f>(BT131+BU131+BV131+BW131)/10000</f>
        <v>9817.6112071919597</v>
      </c>
      <c r="BX152" s="28">
        <f>(BX131+BY131+BZ131+CA131)/10000</f>
        <v>10013.963431335796</v>
      </c>
      <c r="CB152" s="28">
        <f>(CB131+CC131+CD131+CE131)/10000</f>
        <v>10214.242699962515</v>
      </c>
      <c r="CF152" s="28">
        <f>(CF131+CG131+CH131+CI131)/10000</f>
        <v>10418.527553961765</v>
      </c>
      <c r="CJ152" s="28">
        <f>(CJ131+CK131+CL131+CM131)/10000</f>
        <v>10626.898105040997</v>
      </c>
      <c r="CN152" s="28">
        <f>(CN131+CO131+CP131+CQ131)/10000</f>
        <v>10839.43606714182</v>
      </c>
    </row>
    <row r="153" spans="3:135" s="28" customFormat="1" ht="12.75">
      <c r="G153" s="116"/>
      <c r="H153" s="116"/>
      <c r="I153" s="116"/>
      <c r="J153" s="116"/>
      <c r="K153" s="28" t="s">
        <v>633</v>
      </c>
      <c r="L153" s="28">
        <f>(L135+M135+N135+O135)/10000</f>
        <v>763.92938020960014</v>
      </c>
      <c r="M153" s="47"/>
      <c r="N153" s="47"/>
      <c r="P153" s="28">
        <f>(P135+Q135+R135+S135)/10000</f>
        <v>814.7536691155841</v>
      </c>
      <c r="T153" s="28">
        <f>(T135+U135+V135+W135)/10000</f>
        <v>815.33321272820751</v>
      </c>
      <c r="X153" s="28">
        <f>(X135+Y135+Z135+AA135)/10000</f>
        <v>828.3929937438246</v>
      </c>
      <c r="AB153" s="28">
        <f>(AB135+AC135+AD135+AE135)/10000</f>
        <v>847.07128521285836</v>
      </c>
      <c r="AF153" s="28">
        <f>(AF135+AG135+AH135+AI135)/10000</f>
        <v>868.50209714779589</v>
      </c>
      <c r="AJ153" s="28">
        <f>(AJ135+AK135+AL135+AM135)/10000</f>
        <v>888.81376468449071</v>
      </c>
      <c r="AN153" s="28">
        <f>(AN135+AO135+AP135+AQ135)/10000</f>
        <v>910.80731737960275</v>
      </c>
      <c r="AR153" s="28">
        <f>(AR135+AS135+AT135+AU135)/10000</f>
        <v>933.4036975420928</v>
      </c>
      <c r="AV153" s="28">
        <f>(AV135+AW135+AX135+AY135)/10000</f>
        <v>956.6875724762715</v>
      </c>
      <c r="AZ153" s="28">
        <f>(AZ135+BA135+BB135+BC135)/10000</f>
        <v>978.13242442137528</v>
      </c>
      <c r="BD153" s="28">
        <f>(BD135+BE135+BF135+BG135)/10000</f>
        <v>997.69507290980255</v>
      </c>
      <c r="BH153" s="28">
        <f>(BH135+BI135+BJ135+BK135)/10000</f>
        <v>1017.6489743679989</v>
      </c>
      <c r="BL153" s="28">
        <f>(BL135+BM135+BN135+BO135)/10000</f>
        <v>1038.0019538553588</v>
      </c>
      <c r="BP153" s="28">
        <f>(BP135+BQ135+BR135+BS135)/10000</f>
        <v>1058.7619929324662</v>
      </c>
      <c r="BT153" s="28">
        <f>(BT135+BU135+BV135+BW135)/10000</f>
        <v>1079.9372327911158</v>
      </c>
      <c r="BX153" s="28">
        <f>(BX135+BY135+BZ135+CA135)/10000</f>
        <v>1101.5359774469377</v>
      </c>
      <c r="CB153" s="28">
        <f>(CB135+CC135+CD135+CE135)/10000</f>
        <v>1123.5666969958768</v>
      </c>
      <c r="CF153" s="28">
        <f>(CF135+CG135+CH135+CI135)/10000</f>
        <v>1146.038030935794</v>
      </c>
      <c r="CJ153" s="28">
        <f>(CJ135+CK135+CL135+CM135)/10000</f>
        <v>1168.9587915545098</v>
      </c>
      <c r="CN153" s="28">
        <f>(CN135+CO135+CP135+CQ135)/10000</f>
        <v>1192.3379673856002</v>
      </c>
    </row>
    <row r="154" spans="3:135" s="28" customFormat="1" ht="12.75">
      <c r="G154" s="116">
        <f>L152/365/E125*10000</f>
        <v>4.3300199314120968</v>
      </c>
      <c r="H154" s="116"/>
      <c r="I154" s="116"/>
      <c r="J154" s="116"/>
      <c r="K154" s="28" t="s">
        <v>639</v>
      </c>
      <c r="L154" s="28">
        <f>(L142+M142+N142+O142)/10000</f>
        <v>1207.4816000000001</v>
      </c>
      <c r="M154" s="47"/>
      <c r="N154" s="47"/>
      <c r="P154" s="28">
        <f>(P142+Q142+R142+S142)/10000</f>
        <v>1287.8479</v>
      </c>
      <c r="T154" s="28">
        <f>(T142+U142+V142+W142)/10000</f>
        <v>1288.7610999999999</v>
      </c>
      <c r="X154" s="28">
        <f>(X142+Y142+Z142+AA142)/10000</f>
        <v>1309.3402000000001</v>
      </c>
      <c r="AB154" s="28">
        <f>(AB142+AC142+AD142+AE142)/10000</f>
        <v>1338.7727</v>
      </c>
      <c r="AF154" s="28">
        <f>(AF142+AG142+AH142+AI142)/10000</f>
        <v>1372.5424</v>
      </c>
      <c r="AJ154" s="28">
        <f>(AJ142+AK142+AL142+AM142)/10000</f>
        <v>1404.5486000000001</v>
      </c>
      <c r="AN154" s="28">
        <f>(AN142+AO142+AP142+AQ142)/10000</f>
        <v>1439.2052000000001</v>
      </c>
      <c r="AR154" s="28">
        <f>(AR142+AS142+AT142+AU142)/10000</f>
        <v>1474.8116</v>
      </c>
      <c r="AV154" s="28">
        <f>(AV142+AW142+AX142+AY142)/10000</f>
        <v>1511.5011999999999</v>
      </c>
      <c r="AZ154" s="28">
        <f>(AZ142+BA142+BB142+BC142)/10000</f>
        <v>1545.2932000000001</v>
      </c>
      <c r="BD154" s="28">
        <f>(BD142+BE142+BF142+BG142)/10000</f>
        <v>1576.1192000000001</v>
      </c>
      <c r="BH154" s="28">
        <f>(BH142+BI142+BJ142+BK142)/10000</f>
        <v>1607.5617999999999</v>
      </c>
      <c r="BL154" s="28">
        <f>(BL142+BM142+BN142+BO142)/10000</f>
        <v>1639.633</v>
      </c>
      <c r="BP154" s="28">
        <f>(BP142+BQ142+BR142+BS142)/10000</f>
        <v>1672.3456000000001</v>
      </c>
      <c r="BT154" s="28">
        <f>(BT142+BU142+BV142+BW142)/10000</f>
        <v>1705.7128</v>
      </c>
      <c r="BX154" s="28">
        <f>(BX142+BY142+BZ142+CA142)/10000</f>
        <v>1739.7472</v>
      </c>
      <c r="CB154" s="28">
        <f>(CB142+CC142+CD142+CE142)/10000</f>
        <v>1774.4621999999999</v>
      </c>
      <c r="CF154" s="28">
        <f>(CF142+CG142+CH142+CI142)/10000</f>
        <v>1809.8715999999999</v>
      </c>
      <c r="CJ154" s="28">
        <f>(CJ142+CK142+CL142+CM142)/10000</f>
        <v>1845.9892</v>
      </c>
      <c r="CN154" s="28">
        <f>(CN142+CO142+CP142+CQ142)/10000</f>
        <v>1882.8291999999999</v>
      </c>
    </row>
    <row r="155" spans="3:135" s="28" customFormat="1" ht="12.75">
      <c r="G155" s="116"/>
      <c r="H155" s="116"/>
      <c r="I155" s="116"/>
      <c r="J155" s="116"/>
      <c r="K155" s="28" t="s">
        <v>635</v>
      </c>
      <c r="L155" s="28">
        <f>L152-L153-L154</f>
        <v>4973.4015671504003</v>
      </c>
      <c r="M155" s="47"/>
      <c r="N155" s="47"/>
      <c r="P155" s="28">
        <f>P152-P153-P154</f>
        <v>5304.2499682988164</v>
      </c>
      <c r="T155" s="28">
        <f>T152-T153-T154</f>
        <v>5308.0258029827692</v>
      </c>
      <c r="X155" s="28">
        <f>X152-X153-X154</f>
        <v>5393.1122039273068</v>
      </c>
      <c r="AB155" s="28">
        <f>AB152-AB153-AB154</f>
        <v>5514.8040621767632</v>
      </c>
      <c r="AF155" s="28">
        <f>AF152-AF153-AF154</f>
        <v>5654.429113286712</v>
      </c>
      <c r="AJ155" s="28">
        <f>AJ152-AJ153-AJ154</f>
        <v>5786.7627688108787</v>
      </c>
      <c r="AN155" s="28">
        <f>AN152-AN153-AN154</f>
        <v>5930.0540042531493</v>
      </c>
      <c r="AR155" s="28">
        <f>AR152-AR153-AR154</f>
        <v>6077.2728619314776</v>
      </c>
      <c r="AV155" s="28">
        <f>AV152-AV153-AV154</f>
        <v>6228.970977308014</v>
      </c>
      <c r="AZ155" s="28">
        <f>AZ152-AZ153-AZ154</f>
        <v>6368.6873248638531</v>
      </c>
      <c r="BD155" s="28">
        <f>BD152-BD153-BD154</f>
        <v>6496.1409353611298</v>
      </c>
      <c r="BH155" s="28">
        <f>BH152-BH153-BH154</f>
        <v>6626.1435380683542</v>
      </c>
      <c r="BL155" s="28">
        <f>BL152-BL153-BL154</f>
        <v>6758.7464448297214</v>
      </c>
      <c r="BP155" s="28">
        <f>BP152-BP153-BP154</f>
        <v>6894.0014337263146</v>
      </c>
      <c r="BT155" s="28">
        <f>BT152-BT153-BT154</f>
        <v>7031.9611744008444</v>
      </c>
      <c r="BX155" s="28">
        <f>BX152-BX153-BX154</f>
        <v>7172.6802538888587</v>
      </c>
      <c r="CB155" s="28">
        <f>CB152-CB153-CB154</f>
        <v>7316.2138029666385</v>
      </c>
      <c r="CF155" s="28">
        <f>CF152-CF153-CF154</f>
        <v>7462.6179230259713</v>
      </c>
      <c r="CJ155" s="28">
        <f>CJ152-CJ153-CJ154</f>
        <v>7611.9501134864877</v>
      </c>
      <c r="CN155" s="28">
        <f>CN152-CN153-CN154</f>
        <v>7764.26889975622</v>
      </c>
    </row>
    <row r="156" spans="3:135" s="28" customFormat="1" ht="12.75">
      <c r="G156" s="116"/>
      <c r="H156" s="116"/>
      <c r="I156" s="116"/>
      <c r="J156" s="116"/>
      <c r="M156" s="47"/>
      <c r="N156" s="47"/>
    </row>
    <row r="157" spans="3:135" s="28" customFormat="1" ht="12.75">
      <c r="G157" s="116"/>
      <c r="H157" s="116"/>
      <c r="I157" s="116"/>
      <c r="J157" s="116"/>
      <c r="K157" s="28" t="s">
        <v>637</v>
      </c>
      <c r="L157" s="28">
        <f>(L146+M146+N146+O146)/10000</f>
        <v>4973.4015671503994</v>
      </c>
      <c r="M157" s="47"/>
      <c r="N157" s="47"/>
      <c r="P157" s="28">
        <f>(P146+Q146+R146+S146)/10000</f>
        <v>5304.2499682988164</v>
      </c>
      <c r="T157" s="28">
        <f>(T146+U146+V146+W146)/10000</f>
        <v>5308.0258029827692</v>
      </c>
      <c r="X157" s="28">
        <f>(X146+Y146+Z146+AA146)/10000</f>
        <v>5393.1122039273087</v>
      </c>
      <c r="AB157" s="28">
        <f>(AB146+AC146+AD146+AE146)/10000</f>
        <v>5514.8040621767641</v>
      </c>
      <c r="AF157" s="28">
        <f>(AF146+AG146+AH146+AI146)/10000</f>
        <v>5654.429113286712</v>
      </c>
      <c r="AJ157" s="28">
        <f>(AJ146+AK146+AL146+AM146)/10000</f>
        <v>5786.7627688108769</v>
      </c>
      <c r="AN157" s="28">
        <f>(AN146+AO146+AP146+AQ146)/10000</f>
        <v>5930.0540042531484</v>
      </c>
      <c r="AR157" s="28">
        <f>(AR146+AS146+AT146+AU146)/10000</f>
        <v>6077.2728619314776</v>
      </c>
      <c r="AV157" s="28">
        <f>(AV146+AW146+AX146+AY146)/10000</f>
        <v>6228.970977308014</v>
      </c>
      <c r="AZ157" s="28">
        <f>(AZ146+BA146+BB146+BC146)/10000</f>
        <v>6368.687324863854</v>
      </c>
      <c r="BD157" s="28">
        <f>(BD146+BE146+BF146+BG146)/10000</f>
        <v>6496.1409353611298</v>
      </c>
      <c r="BH157" s="28">
        <f>(BH146+BI146+BJ146+BK146)/10000</f>
        <v>6626.1435380683542</v>
      </c>
      <c r="BL157" s="28">
        <f>(BL146+BM146+BN146+BO146)/10000</f>
        <v>6758.7464448297214</v>
      </c>
      <c r="BP157" s="28">
        <f>(BP146+BQ146+BR146+BS146)/10000</f>
        <v>6894.0014337263165</v>
      </c>
      <c r="BT157" s="28">
        <f>(BT146+BU146+BV146+BW146)/10000</f>
        <v>7031.9611744008434</v>
      </c>
      <c r="BX157" s="28">
        <f>(BX146+BY146+BZ146+CA146)/10000</f>
        <v>7172.6802538888605</v>
      </c>
      <c r="CB157" s="28">
        <f>(CB146+CC146+CD146+CE146)/10000</f>
        <v>7316.2138029666376</v>
      </c>
      <c r="CF157" s="28">
        <f>(CF146+CG146+CH146+CI146)/10000</f>
        <v>7462.6179230259686</v>
      </c>
      <c r="CJ157" s="28">
        <f>(CJ146+CK146+CL146+CM146)/10000</f>
        <v>7611.9501134864886</v>
      </c>
      <c r="CN157" s="28">
        <f>(CN146+CO146+CP146+CQ146)/10000</f>
        <v>7764.2688997562182</v>
      </c>
    </row>
  </sheetData>
  <autoFilter ref="H1:H124"/>
  <mergeCells count="175">
    <mergeCell ref="DA147:DD147"/>
    <mergeCell ref="DE147:DH147"/>
    <mergeCell ref="DQ148:DT148"/>
    <mergeCell ref="DK129:DN129"/>
    <mergeCell ref="DO129:DR129"/>
    <mergeCell ref="DS129:DV129"/>
    <mergeCell ref="DU148:DX148"/>
    <mergeCell ref="DW129:DZ129"/>
    <mergeCell ref="DY147:EB147"/>
    <mergeCell ref="DY148:EB148"/>
    <mergeCell ref="EA129:ED129"/>
    <mergeCell ref="EC147:ED147"/>
    <mergeCell ref="EC148:ED148"/>
    <mergeCell ref="DI147:DL147"/>
    <mergeCell ref="DM147:DP147"/>
    <mergeCell ref="DQ147:DT147"/>
    <mergeCell ref="DU147:DX147"/>
    <mergeCell ref="DI148:DL148"/>
    <mergeCell ref="DM148:DP148"/>
    <mergeCell ref="DG115:DJ115"/>
    <mergeCell ref="DK115:DN115"/>
    <mergeCell ref="DO115:DR115"/>
    <mergeCell ref="DS115:DV115"/>
    <mergeCell ref="DW115:DZ115"/>
    <mergeCell ref="EA115:ED115"/>
    <mergeCell ref="CK148:CN148"/>
    <mergeCell ref="CQ115:CT115"/>
    <mergeCell ref="CU115:CX115"/>
    <mergeCell ref="CY115:DB115"/>
    <mergeCell ref="DC115:DF115"/>
    <mergeCell ref="CQ129:CT129"/>
    <mergeCell ref="CU129:CX129"/>
    <mergeCell ref="CY129:DB129"/>
    <mergeCell ref="DC129:DF129"/>
    <mergeCell ref="CS148:CV148"/>
    <mergeCell ref="CW148:CZ148"/>
    <mergeCell ref="DA148:DD148"/>
    <mergeCell ref="DE148:DH148"/>
    <mergeCell ref="CO147:CR147"/>
    <mergeCell ref="CO148:CR148"/>
    <mergeCell ref="CS147:CV147"/>
    <mergeCell ref="CW147:CZ147"/>
    <mergeCell ref="DG129:DJ129"/>
    <mergeCell ref="BQ148:BT148"/>
    <mergeCell ref="BU148:BX148"/>
    <mergeCell ref="BY148:CB148"/>
    <mergeCell ref="CC148:CF148"/>
    <mergeCell ref="CG148:CJ148"/>
    <mergeCell ref="AO148:AR148"/>
    <mergeCell ref="AS148:AV148"/>
    <mergeCell ref="AW148:AZ148"/>
    <mergeCell ref="BA148:BD148"/>
    <mergeCell ref="BE148:BH148"/>
    <mergeCell ref="BI148:BL148"/>
    <mergeCell ref="M148:P148"/>
    <mergeCell ref="Q148:T148"/>
    <mergeCell ref="U148:X148"/>
    <mergeCell ref="Y148:AB148"/>
    <mergeCell ref="AC148:AF148"/>
    <mergeCell ref="AG148:AJ148"/>
    <mergeCell ref="AK148:AN148"/>
    <mergeCell ref="BI147:BL147"/>
    <mergeCell ref="BM147:BP147"/>
    <mergeCell ref="AK147:AN147"/>
    <mergeCell ref="AO147:AR147"/>
    <mergeCell ref="AS147:AV147"/>
    <mergeCell ref="AW147:AZ147"/>
    <mergeCell ref="BA147:BD147"/>
    <mergeCell ref="BE147:BH147"/>
    <mergeCell ref="M147:P147"/>
    <mergeCell ref="Q147:T147"/>
    <mergeCell ref="U147:X147"/>
    <mergeCell ref="BM148:BP148"/>
    <mergeCell ref="A135:B135"/>
    <mergeCell ref="A142:B142"/>
    <mergeCell ref="BC129:BF129"/>
    <mergeCell ref="BG129:BJ129"/>
    <mergeCell ref="BK129:BN129"/>
    <mergeCell ref="BO129:BR129"/>
    <mergeCell ref="BS129:BV129"/>
    <mergeCell ref="BW129:BZ129"/>
    <mergeCell ref="AE129:AH129"/>
    <mergeCell ref="AI129:AL129"/>
    <mergeCell ref="AM129:AP129"/>
    <mergeCell ref="AQ129:AT129"/>
    <mergeCell ref="AU129:AX129"/>
    <mergeCell ref="AY129:BB129"/>
    <mergeCell ref="BW115:BZ115"/>
    <mergeCell ref="CA115:CD115"/>
    <mergeCell ref="Y147:AB147"/>
    <mergeCell ref="AC147:AF147"/>
    <mergeCell ref="AG147:AJ147"/>
    <mergeCell ref="CA129:CD129"/>
    <mergeCell ref="CE129:CH129"/>
    <mergeCell ref="CI129:CL129"/>
    <mergeCell ref="CM129:CP129"/>
    <mergeCell ref="CG147:CJ147"/>
    <mergeCell ref="CK147:CN147"/>
    <mergeCell ref="BQ147:BT147"/>
    <mergeCell ref="BU147:BX147"/>
    <mergeCell ref="BY147:CB147"/>
    <mergeCell ref="CC147:CF147"/>
    <mergeCell ref="BK115:BN115"/>
    <mergeCell ref="BO115:BR115"/>
    <mergeCell ref="CE115:CH115"/>
    <mergeCell ref="CI115:CL115"/>
    <mergeCell ref="CM115:CP115"/>
    <mergeCell ref="AU115:AX115"/>
    <mergeCell ref="AY115:BB115"/>
    <mergeCell ref="BC115:BF115"/>
    <mergeCell ref="BG115:BJ115"/>
    <mergeCell ref="A125:D125"/>
    <mergeCell ref="L129:N129"/>
    <mergeCell ref="O129:R129"/>
    <mergeCell ref="S129:V129"/>
    <mergeCell ref="W129:Z129"/>
    <mergeCell ref="AA129:AD129"/>
    <mergeCell ref="BS115:BV115"/>
    <mergeCell ref="EE1:EH1"/>
    <mergeCell ref="L115:N115"/>
    <mergeCell ref="O115:R115"/>
    <mergeCell ref="S115:V115"/>
    <mergeCell ref="W115:Z115"/>
    <mergeCell ref="AA115:AD115"/>
    <mergeCell ref="AE115:AH115"/>
    <mergeCell ref="AI115:AL115"/>
    <mergeCell ref="AM115:AP115"/>
    <mergeCell ref="AQ115:AT115"/>
    <mergeCell ref="DG1:DJ1"/>
    <mergeCell ref="DK1:DN1"/>
    <mergeCell ref="DO1:DR1"/>
    <mergeCell ref="DS1:DV1"/>
    <mergeCell ref="DW1:DZ1"/>
    <mergeCell ref="EA1:ED1"/>
    <mergeCell ref="CM1:CP1"/>
    <mergeCell ref="A113:D113"/>
    <mergeCell ref="CQ1:CT1"/>
    <mergeCell ref="CU1:CX1"/>
    <mergeCell ref="CY1:DB1"/>
    <mergeCell ref="DC1:DF1"/>
    <mergeCell ref="BO1:BR1"/>
    <mergeCell ref="BS1:BV1"/>
    <mergeCell ref="BW1:BZ1"/>
    <mergeCell ref="CA1:CD1"/>
    <mergeCell ref="CE1:CH1"/>
    <mergeCell ref="CI1:CL1"/>
    <mergeCell ref="AQ1:AT1"/>
    <mergeCell ref="AU1:AX1"/>
    <mergeCell ref="AY1:BB1"/>
    <mergeCell ref="BC1:BF1"/>
    <mergeCell ref="BG1:BJ1"/>
    <mergeCell ref="BK1:BN1"/>
    <mergeCell ref="S1:V1"/>
    <mergeCell ref="W1:Z1"/>
    <mergeCell ref="AA1:AD1"/>
    <mergeCell ref="AE1:AH1"/>
    <mergeCell ref="AI1:AL1"/>
    <mergeCell ref="AM1:AP1"/>
    <mergeCell ref="F69:F70"/>
    <mergeCell ref="G69:G70"/>
    <mergeCell ref="J69:J70"/>
    <mergeCell ref="L1:N1"/>
    <mergeCell ref="O1:R1"/>
    <mergeCell ref="D62:D64"/>
    <mergeCell ref="F62:F64"/>
    <mergeCell ref="G62:G64"/>
    <mergeCell ref="J62:J64"/>
    <mergeCell ref="D65:D67"/>
    <mergeCell ref="D4:D5"/>
    <mergeCell ref="F4:F5"/>
    <mergeCell ref="G4:G5"/>
    <mergeCell ref="J4:J5"/>
    <mergeCell ref="F39:F40"/>
    <mergeCell ref="G39:G40"/>
    <mergeCell ref="J39:J40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E33"/>
  <sheetViews>
    <sheetView workbookViewId="0">
      <selection activeCell="G26" sqref="G26"/>
    </sheetView>
  </sheetViews>
  <sheetFormatPr defaultRowHeight="14.25"/>
  <cols>
    <col min="3" max="3" width="15.125" customWidth="1"/>
    <col min="7" max="7" width="9.375" bestFit="1" customWidth="1"/>
    <col min="12" max="12" width="10.5" bestFit="1" customWidth="1"/>
    <col min="13" max="13" width="10.625" customWidth="1"/>
    <col min="135" max="135" width="12.75" bestFit="1" customWidth="1"/>
  </cols>
  <sheetData>
    <row r="1" spans="1:135" ht="17.25" customHeight="1">
      <c r="L1">
        <v>0.18</v>
      </c>
      <c r="M1">
        <v>1</v>
      </c>
      <c r="Q1">
        <v>2</v>
      </c>
      <c r="U1">
        <v>3</v>
      </c>
      <c r="Y1">
        <v>4</v>
      </c>
      <c r="AC1">
        <v>5</v>
      </c>
      <c r="AG1">
        <v>6</v>
      </c>
      <c r="AK1">
        <v>7</v>
      </c>
      <c r="AO1">
        <v>8</v>
      </c>
      <c r="AS1">
        <v>9</v>
      </c>
      <c r="AW1">
        <v>10</v>
      </c>
      <c r="BA1">
        <v>11</v>
      </c>
      <c r="BE1">
        <v>12</v>
      </c>
      <c r="BI1">
        <v>13</v>
      </c>
      <c r="BM1">
        <v>14</v>
      </c>
      <c r="BQ1">
        <v>15</v>
      </c>
      <c r="BU1">
        <v>16</v>
      </c>
      <c r="BY1">
        <v>17</v>
      </c>
      <c r="CC1">
        <v>18</v>
      </c>
      <c r="CG1">
        <v>19</v>
      </c>
      <c r="CK1">
        <v>20</v>
      </c>
      <c r="CO1">
        <v>21</v>
      </c>
      <c r="CS1">
        <v>22</v>
      </c>
      <c r="CW1">
        <v>23</v>
      </c>
      <c r="DA1">
        <v>24</v>
      </c>
      <c r="DE1">
        <v>25</v>
      </c>
      <c r="DI1">
        <v>26</v>
      </c>
      <c r="DM1">
        <v>27</v>
      </c>
      <c r="DQ1">
        <v>28</v>
      </c>
      <c r="DU1">
        <v>29</v>
      </c>
      <c r="DY1">
        <v>30</v>
      </c>
      <c r="EC1">
        <v>30.5</v>
      </c>
    </row>
    <row r="2" spans="1:135" s="28" customFormat="1" ht="20.25">
      <c r="A2" s="76" t="s">
        <v>604</v>
      </c>
      <c r="B2" s="30"/>
      <c r="C2" s="31"/>
      <c r="D2" s="29"/>
      <c r="E2" s="32"/>
      <c r="F2" s="29"/>
      <c r="G2" s="29"/>
      <c r="H2" s="30"/>
      <c r="I2" s="29"/>
      <c r="J2" s="29"/>
      <c r="K2" s="29"/>
      <c r="L2" s="224" t="s">
        <v>145</v>
      </c>
      <c r="M2" s="224"/>
      <c r="N2" s="224"/>
      <c r="O2" s="224" t="s">
        <v>221</v>
      </c>
      <c r="P2" s="224"/>
      <c r="Q2" s="224"/>
      <c r="R2" s="224"/>
      <c r="S2" s="224" t="s">
        <v>146</v>
      </c>
      <c r="T2" s="224"/>
      <c r="U2" s="224"/>
      <c r="V2" s="224"/>
      <c r="W2" s="224" t="s">
        <v>147</v>
      </c>
      <c r="X2" s="224"/>
      <c r="Y2" s="224"/>
      <c r="Z2" s="224"/>
      <c r="AA2" s="224" t="s">
        <v>148</v>
      </c>
      <c r="AB2" s="224"/>
      <c r="AC2" s="224"/>
      <c r="AD2" s="224"/>
      <c r="AE2" s="224" t="s">
        <v>149</v>
      </c>
      <c r="AF2" s="224"/>
      <c r="AG2" s="224"/>
      <c r="AH2" s="224"/>
      <c r="AI2" s="224" t="s">
        <v>150</v>
      </c>
      <c r="AJ2" s="224"/>
      <c r="AK2" s="224"/>
      <c r="AL2" s="224"/>
      <c r="AM2" s="224" t="s">
        <v>151</v>
      </c>
      <c r="AN2" s="224"/>
      <c r="AO2" s="224"/>
      <c r="AP2" s="224"/>
      <c r="AQ2" s="224" t="s">
        <v>152</v>
      </c>
      <c r="AR2" s="224"/>
      <c r="AS2" s="224"/>
      <c r="AT2" s="224"/>
      <c r="AU2" s="224" t="s">
        <v>153</v>
      </c>
      <c r="AV2" s="224"/>
      <c r="AW2" s="224"/>
      <c r="AX2" s="224"/>
      <c r="AY2" s="231" t="s">
        <v>154</v>
      </c>
      <c r="AZ2" s="231"/>
      <c r="BA2" s="231"/>
      <c r="BB2" s="231"/>
      <c r="BC2" s="224" t="s">
        <v>155</v>
      </c>
      <c r="BD2" s="224"/>
      <c r="BE2" s="224"/>
      <c r="BF2" s="224"/>
      <c r="BG2" s="224" t="s">
        <v>156</v>
      </c>
      <c r="BH2" s="224"/>
      <c r="BI2" s="224"/>
      <c r="BJ2" s="224"/>
      <c r="BK2" s="224" t="s">
        <v>157</v>
      </c>
      <c r="BL2" s="224"/>
      <c r="BM2" s="224"/>
      <c r="BN2" s="224"/>
      <c r="BO2" s="224" t="s">
        <v>158</v>
      </c>
      <c r="BP2" s="224"/>
      <c r="BQ2" s="224"/>
      <c r="BR2" s="224"/>
      <c r="BS2" s="224" t="s">
        <v>159</v>
      </c>
      <c r="BT2" s="224"/>
      <c r="BU2" s="224"/>
      <c r="BV2" s="224"/>
      <c r="BW2" s="224" t="s">
        <v>222</v>
      </c>
      <c r="BX2" s="224"/>
      <c r="BY2" s="224"/>
      <c r="BZ2" s="224"/>
      <c r="CA2" s="224" t="s">
        <v>223</v>
      </c>
      <c r="CB2" s="224"/>
      <c r="CC2" s="224"/>
      <c r="CD2" s="224"/>
      <c r="CE2" s="224" t="s">
        <v>160</v>
      </c>
      <c r="CF2" s="224"/>
      <c r="CG2" s="224"/>
      <c r="CH2" s="224"/>
      <c r="CI2" s="224" t="s">
        <v>161</v>
      </c>
      <c r="CJ2" s="224"/>
      <c r="CK2" s="224"/>
      <c r="CL2" s="224"/>
      <c r="CM2" s="224" t="s">
        <v>162</v>
      </c>
      <c r="CN2" s="224"/>
      <c r="CO2" s="224"/>
      <c r="CP2" s="224"/>
      <c r="CQ2" s="224" t="s">
        <v>594</v>
      </c>
      <c r="CR2" s="224"/>
      <c r="CS2" s="224"/>
      <c r="CT2" s="224"/>
      <c r="CU2" s="224" t="s">
        <v>595</v>
      </c>
      <c r="CV2" s="224"/>
      <c r="CW2" s="224"/>
      <c r="CX2" s="224"/>
      <c r="CY2" s="224" t="s">
        <v>596</v>
      </c>
      <c r="CZ2" s="224"/>
      <c r="DA2" s="224"/>
      <c r="DB2" s="224"/>
      <c r="DC2" s="224" t="s">
        <v>597</v>
      </c>
      <c r="DD2" s="224"/>
      <c r="DE2" s="224"/>
      <c r="DF2" s="224"/>
      <c r="DG2" s="224" t="s">
        <v>598</v>
      </c>
      <c r="DH2" s="224"/>
      <c r="DI2" s="224"/>
      <c r="DJ2" s="224"/>
      <c r="DK2" s="224" t="s">
        <v>599</v>
      </c>
      <c r="DL2" s="224"/>
      <c r="DM2" s="224"/>
      <c r="DN2" s="224"/>
      <c r="DO2" s="224" t="s">
        <v>600</v>
      </c>
      <c r="DP2" s="224"/>
      <c r="DQ2" s="224"/>
      <c r="DR2" s="224"/>
      <c r="DS2" s="224" t="s">
        <v>601</v>
      </c>
      <c r="DT2" s="224"/>
      <c r="DU2" s="224"/>
      <c r="DV2" s="224"/>
      <c r="DW2" s="224" t="s">
        <v>602</v>
      </c>
      <c r="DX2" s="224"/>
      <c r="DY2" s="224"/>
      <c r="DZ2" s="224"/>
      <c r="EA2" s="224" t="s">
        <v>603</v>
      </c>
      <c r="EB2" s="224"/>
      <c r="EC2" s="224"/>
      <c r="ED2" s="224"/>
    </row>
    <row r="3" spans="1:135" s="40" customFormat="1" ht="36">
      <c r="A3" s="140" t="s">
        <v>272</v>
      </c>
      <c r="B3" s="141" t="s">
        <v>136</v>
      </c>
      <c r="C3" s="142" t="s">
        <v>137</v>
      </c>
      <c r="D3" s="34" t="s">
        <v>138</v>
      </c>
      <c r="E3" s="34" t="s">
        <v>139</v>
      </c>
      <c r="F3" s="34" t="s">
        <v>313</v>
      </c>
      <c r="G3" s="34" t="s">
        <v>314</v>
      </c>
      <c r="H3" s="35" t="s">
        <v>315</v>
      </c>
      <c r="I3" s="34" t="s">
        <v>142</v>
      </c>
      <c r="J3" s="34" t="s">
        <v>143</v>
      </c>
      <c r="K3" s="34" t="s">
        <v>144</v>
      </c>
      <c r="L3" s="39" t="s">
        <v>224</v>
      </c>
      <c r="M3" s="68" t="s">
        <v>163</v>
      </c>
      <c r="N3" s="39" t="s">
        <v>225</v>
      </c>
      <c r="O3" s="39" t="s">
        <v>164</v>
      </c>
      <c r="P3" s="39" t="s">
        <v>226</v>
      </c>
      <c r="Q3" s="68" t="s">
        <v>227</v>
      </c>
      <c r="R3" s="39" t="s">
        <v>165</v>
      </c>
      <c r="S3" s="39" t="s">
        <v>228</v>
      </c>
      <c r="T3" s="39" t="s">
        <v>166</v>
      </c>
      <c r="U3" s="68" t="s">
        <v>167</v>
      </c>
      <c r="V3" s="39" t="s">
        <v>229</v>
      </c>
      <c r="W3" s="39" t="s">
        <v>230</v>
      </c>
      <c r="X3" s="39" t="s">
        <v>231</v>
      </c>
      <c r="Y3" s="68" t="s">
        <v>168</v>
      </c>
      <c r="Z3" s="39" t="s">
        <v>169</v>
      </c>
      <c r="AA3" s="39" t="s">
        <v>232</v>
      </c>
      <c r="AB3" s="39" t="s">
        <v>170</v>
      </c>
      <c r="AC3" s="68" t="s">
        <v>233</v>
      </c>
      <c r="AD3" s="39" t="s">
        <v>234</v>
      </c>
      <c r="AE3" s="39" t="s">
        <v>171</v>
      </c>
      <c r="AF3" s="39" t="s">
        <v>172</v>
      </c>
      <c r="AG3" s="68" t="s">
        <v>173</v>
      </c>
      <c r="AH3" s="39" t="s">
        <v>174</v>
      </c>
      <c r="AI3" s="39" t="s">
        <v>175</v>
      </c>
      <c r="AJ3" s="39" t="s">
        <v>235</v>
      </c>
      <c r="AK3" s="68" t="s">
        <v>176</v>
      </c>
      <c r="AL3" s="39" t="s">
        <v>177</v>
      </c>
      <c r="AM3" s="39" t="s">
        <v>178</v>
      </c>
      <c r="AN3" s="39" t="s">
        <v>179</v>
      </c>
      <c r="AO3" s="68" t="s">
        <v>180</v>
      </c>
      <c r="AP3" s="39" t="s">
        <v>181</v>
      </c>
      <c r="AQ3" s="39" t="s">
        <v>182</v>
      </c>
      <c r="AR3" s="39" t="s">
        <v>236</v>
      </c>
      <c r="AS3" s="68" t="s">
        <v>183</v>
      </c>
      <c r="AT3" s="39" t="s">
        <v>237</v>
      </c>
      <c r="AU3" s="39" t="s">
        <v>184</v>
      </c>
      <c r="AV3" s="39" t="s">
        <v>238</v>
      </c>
      <c r="AW3" s="68" t="s">
        <v>239</v>
      </c>
      <c r="AX3" s="39" t="s">
        <v>185</v>
      </c>
      <c r="AY3" s="39" t="s">
        <v>186</v>
      </c>
      <c r="AZ3" s="39" t="s">
        <v>240</v>
      </c>
      <c r="BA3" s="68" t="s">
        <v>187</v>
      </c>
      <c r="BB3" s="78" t="s">
        <v>188</v>
      </c>
      <c r="BC3" s="39" t="s">
        <v>241</v>
      </c>
      <c r="BD3" s="39" t="s">
        <v>189</v>
      </c>
      <c r="BE3" s="39" t="s">
        <v>190</v>
      </c>
      <c r="BF3" s="39" t="s">
        <v>242</v>
      </c>
      <c r="BG3" s="39" t="s">
        <v>243</v>
      </c>
      <c r="BH3" s="39" t="s">
        <v>191</v>
      </c>
      <c r="BI3" s="39" t="s">
        <v>192</v>
      </c>
      <c r="BJ3" s="39" t="s">
        <v>193</v>
      </c>
      <c r="BK3" s="39" t="s">
        <v>244</v>
      </c>
      <c r="BL3" s="39" t="s">
        <v>194</v>
      </c>
      <c r="BM3" s="39" t="s">
        <v>195</v>
      </c>
      <c r="BN3" s="39" t="s">
        <v>196</v>
      </c>
      <c r="BO3" s="39" t="s">
        <v>245</v>
      </c>
      <c r="BP3" s="39" t="s">
        <v>197</v>
      </c>
      <c r="BQ3" s="39" t="s">
        <v>198</v>
      </c>
      <c r="BR3" s="39" t="s">
        <v>199</v>
      </c>
      <c r="BS3" s="39" t="s">
        <v>200</v>
      </c>
      <c r="BT3" s="39" t="s">
        <v>201</v>
      </c>
      <c r="BU3" s="39" t="s">
        <v>202</v>
      </c>
      <c r="BV3" s="39" t="s">
        <v>246</v>
      </c>
      <c r="BW3" s="39" t="s">
        <v>203</v>
      </c>
      <c r="BX3" s="39" t="s">
        <v>204</v>
      </c>
      <c r="BY3" s="39" t="s">
        <v>247</v>
      </c>
      <c r="BZ3" s="39" t="s">
        <v>205</v>
      </c>
      <c r="CA3" s="39" t="s">
        <v>206</v>
      </c>
      <c r="CB3" s="39" t="s">
        <v>207</v>
      </c>
      <c r="CC3" s="39" t="s">
        <v>208</v>
      </c>
      <c r="CD3" s="39" t="s">
        <v>209</v>
      </c>
      <c r="CE3" s="39" t="s">
        <v>210</v>
      </c>
      <c r="CF3" s="39" t="s">
        <v>211</v>
      </c>
      <c r="CG3" s="39" t="s">
        <v>212</v>
      </c>
      <c r="CH3" s="39" t="s">
        <v>213</v>
      </c>
      <c r="CI3" s="39" t="s">
        <v>214</v>
      </c>
      <c r="CJ3" s="39" t="s">
        <v>215</v>
      </c>
      <c r="CK3" s="39" t="s">
        <v>216</v>
      </c>
      <c r="CL3" s="39" t="s">
        <v>217</v>
      </c>
      <c r="CM3" s="39" t="s">
        <v>248</v>
      </c>
      <c r="CN3" s="39" t="s">
        <v>218</v>
      </c>
      <c r="CO3" s="39" t="s">
        <v>219</v>
      </c>
      <c r="CP3" s="39" t="s">
        <v>220</v>
      </c>
      <c r="CQ3" s="160" t="str">
        <f>办公现金流!CQ116</f>
        <v>2039年1季度</v>
      </c>
      <c r="CR3" s="160" t="str">
        <f>办公现金流!CR116</f>
        <v>2039年2季度</v>
      </c>
      <c r="CS3" s="160" t="str">
        <f>办公现金流!CS116</f>
        <v>2039年3季度</v>
      </c>
      <c r="CT3" s="160" t="str">
        <f>办公现金流!CT116</f>
        <v>2039年4季度</v>
      </c>
      <c r="CU3" s="160" t="str">
        <f>办公现金流!CU116</f>
        <v>2040年1季度</v>
      </c>
      <c r="CV3" s="160" t="str">
        <f>办公现金流!CV116</f>
        <v>2040年2季度</v>
      </c>
      <c r="CW3" s="160" t="str">
        <f>办公现金流!CW116</f>
        <v>2040年3季度</v>
      </c>
      <c r="CX3" s="160" t="str">
        <f>办公现金流!CX116</f>
        <v>2040年4季度</v>
      </c>
      <c r="CY3" s="160" t="str">
        <f>办公现金流!CY116</f>
        <v>2041年1季度</v>
      </c>
      <c r="CZ3" s="160" t="str">
        <f>办公现金流!CZ116</f>
        <v>2041年2季度</v>
      </c>
      <c r="DA3" s="160" t="str">
        <f>办公现金流!DA116</f>
        <v>2041年3季度</v>
      </c>
      <c r="DB3" s="160" t="str">
        <f>办公现金流!DB116</f>
        <v>2041年4季度</v>
      </c>
      <c r="DC3" s="160" t="str">
        <f>办公现金流!DC116</f>
        <v>2042年1季度</v>
      </c>
      <c r="DD3" s="160" t="str">
        <f>办公现金流!DD116</f>
        <v>2042年2季度</v>
      </c>
      <c r="DE3" s="160" t="str">
        <f>办公现金流!DE116</f>
        <v>2042年3季度</v>
      </c>
      <c r="DF3" s="160" t="str">
        <f>办公现金流!DF116</f>
        <v>2042年4季度</v>
      </c>
      <c r="DG3" s="160" t="str">
        <f>办公现金流!DG116</f>
        <v>2043年1季度</v>
      </c>
      <c r="DH3" s="160" t="str">
        <f>办公现金流!DH116</f>
        <v>2043年2季度</v>
      </c>
      <c r="DI3" s="160" t="str">
        <f>办公现金流!DI116</f>
        <v>2043年3季度</v>
      </c>
      <c r="DJ3" s="160" t="str">
        <f>办公现金流!DJ116</f>
        <v>2043年4季度</v>
      </c>
      <c r="DK3" s="160" t="str">
        <f>办公现金流!DK116</f>
        <v>2044年1季度</v>
      </c>
      <c r="DL3" s="160" t="str">
        <f>办公现金流!DL116</f>
        <v>2044年2季度</v>
      </c>
      <c r="DM3" s="160" t="str">
        <f>办公现金流!DM116</f>
        <v>2044年3季度</v>
      </c>
      <c r="DN3" s="160" t="str">
        <f>办公现金流!DN116</f>
        <v>2044年4季度</v>
      </c>
      <c r="DO3" s="160" t="str">
        <f>办公现金流!DO116</f>
        <v>2045年1季度</v>
      </c>
      <c r="DP3" s="160" t="str">
        <f>办公现金流!DP116</f>
        <v>2045年2季度</v>
      </c>
      <c r="DQ3" s="160" t="str">
        <f>办公现金流!DQ116</f>
        <v>2045年3季度</v>
      </c>
      <c r="DR3" s="160" t="str">
        <f>办公现金流!DR116</f>
        <v>2045年4季度</v>
      </c>
      <c r="DS3" s="160" t="str">
        <f>办公现金流!DS116</f>
        <v>2046年1季度</v>
      </c>
      <c r="DT3" s="160" t="str">
        <f>办公现金流!DT116</f>
        <v>2046年2季度</v>
      </c>
      <c r="DU3" s="160" t="str">
        <f>办公现金流!DU116</f>
        <v>2046年3季度</v>
      </c>
      <c r="DV3" s="160" t="str">
        <f>办公现金流!DV116</f>
        <v>2046年4季度</v>
      </c>
      <c r="DW3" s="160" t="str">
        <f>办公现金流!DW116</f>
        <v>2047年1季度</v>
      </c>
      <c r="DX3" s="160" t="str">
        <f>办公现金流!DX116</f>
        <v>2047年2季度</v>
      </c>
      <c r="DY3" s="160" t="str">
        <f>办公现金流!DY116</f>
        <v>2047年3季度</v>
      </c>
      <c r="DZ3" s="160" t="str">
        <f>办公现金流!DZ116</f>
        <v>2047年4季度</v>
      </c>
      <c r="EA3" s="160" t="str">
        <f>办公现金流!EA116</f>
        <v>2048年1季度</v>
      </c>
      <c r="EB3" s="160" t="str">
        <f>办公现金流!EB116</f>
        <v>2048年2季度</v>
      </c>
      <c r="EC3" s="160" t="str">
        <f>办公现金流!EC116</f>
        <v>2048年3季度</v>
      </c>
      <c r="ED3" s="160" t="str">
        <f>办公现金流!ED116</f>
        <v>2048年4季度</v>
      </c>
    </row>
    <row r="4" spans="1:135">
      <c r="E4">
        <f>基础数据!C11</f>
        <v>13411.51</v>
      </c>
      <c r="F4">
        <v>1500</v>
      </c>
      <c r="L4">
        <f>F4*329*取费表!B21*取费表!B2*12</f>
        <v>852768</v>
      </c>
      <c r="M4">
        <f>F4*329*取费表!B21*3</f>
        <v>1184400</v>
      </c>
      <c r="N4">
        <f>M4*(1+取费表!B9)</f>
        <v>1208088</v>
      </c>
      <c r="O4">
        <f>N4</f>
        <v>1208088</v>
      </c>
      <c r="P4">
        <f>O4</f>
        <v>1208088</v>
      </c>
      <c r="Q4">
        <f>P4</f>
        <v>1208088</v>
      </c>
      <c r="R4">
        <f>Q4*(1+取费表!C9)</f>
        <v>1232249.76</v>
      </c>
      <c r="S4">
        <f>R4</f>
        <v>1232249.76</v>
      </c>
      <c r="T4">
        <f>S4</f>
        <v>1232249.76</v>
      </c>
      <c r="U4">
        <f>T4</f>
        <v>1232249.76</v>
      </c>
      <c r="V4">
        <f>U4*(1+取费表!D9)</f>
        <v>1256894.7552</v>
      </c>
      <c r="W4">
        <f>V4</f>
        <v>1256894.7552</v>
      </c>
      <c r="X4">
        <f>W4</f>
        <v>1256894.7552</v>
      </c>
      <c r="Y4">
        <f>X4</f>
        <v>1256894.7552</v>
      </c>
      <c r="Z4">
        <f>Y4*(1+取费表!E9)</f>
        <v>1282032.6503040001</v>
      </c>
      <c r="AA4">
        <f>Z4</f>
        <v>1282032.6503040001</v>
      </c>
      <c r="AB4">
        <f>AA4</f>
        <v>1282032.6503040001</v>
      </c>
      <c r="AC4">
        <f>AB4</f>
        <v>1282032.6503040001</v>
      </c>
      <c r="AD4">
        <f>AC4*(1+取费表!F9)</f>
        <v>1307673.3033100802</v>
      </c>
      <c r="AE4">
        <f>AD4</f>
        <v>1307673.3033100802</v>
      </c>
      <c r="AF4">
        <f>AE4</f>
        <v>1307673.3033100802</v>
      </c>
      <c r="AG4">
        <f>AF4</f>
        <v>1307673.3033100802</v>
      </c>
      <c r="AH4">
        <f>AG4*(1+取费表!$G$9)</f>
        <v>1307673.3033100802</v>
      </c>
      <c r="AI4">
        <f>AH4</f>
        <v>1307673.3033100802</v>
      </c>
      <c r="AJ4">
        <f>AI4</f>
        <v>1307673.3033100802</v>
      </c>
      <c r="AK4">
        <f>AJ4</f>
        <v>1307673.3033100802</v>
      </c>
      <c r="AL4">
        <f>AK4*(1+取费表!$G$9)</f>
        <v>1307673.3033100802</v>
      </c>
      <c r="AM4">
        <f t="shared" ref="AM4:AO4" si="0">AL4</f>
        <v>1307673.3033100802</v>
      </c>
      <c r="AN4">
        <f t="shared" si="0"/>
        <v>1307673.3033100802</v>
      </c>
      <c r="AO4">
        <f t="shared" si="0"/>
        <v>1307673.3033100802</v>
      </c>
      <c r="AP4">
        <f>AO4*(1+取费表!$G$9)</f>
        <v>1307673.3033100802</v>
      </c>
      <c r="AQ4">
        <f>AP4*(1+取费表!$G$9)</f>
        <v>1307673.3033100802</v>
      </c>
      <c r="AR4">
        <f t="shared" ref="AR4:AT4" si="1">AQ4</f>
        <v>1307673.3033100802</v>
      </c>
      <c r="AS4">
        <f t="shared" si="1"/>
        <v>1307673.3033100802</v>
      </c>
      <c r="AT4">
        <f t="shared" si="1"/>
        <v>1307673.3033100802</v>
      </c>
      <c r="AU4">
        <f>AT4*(1+取费表!$G$9)</f>
        <v>1307673.3033100802</v>
      </c>
      <c r="AV4">
        <f t="shared" ref="AV4:AX4" si="2">AU4</f>
        <v>1307673.3033100802</v>
      </c>
      <c r="AW4">
        <f t="shared" si="2"/>
        <v>1307673.3033100802</v>
      </c>
      <c r="AX4">
        <f t="shared" si="2"/>
        <v>1307673.3033100802</v>
      </c>
      <c r="AY4">
        <f>AX4*(1+取费表!$G$9)</f>
        <v>1307673.3033100802</v>
      </c>
      <c r="AZ4">
        <f>AY4*(1+取费表!$G$9)</f>
        <v>1307673.3033100802</v>
      </c>
      <c r="BA4">
        <f t="shared" ref="BA4" si="3">AZ4</f>
        <v>1307673.3033100802</v>
      </c>
      <c r="BB4">
        <f>BA4*(1+取费表!$H$9)</f>
        <v>1307673.3033100802</v>
      </c>
      <c r="BC4">
        <f>BB4</f>
        <v>1307673.3033100802</v>
      </c>
      <c r="BD4">
        <f>BC4</f>
        <v>1307673.3033100802</v>
      </c>
      <c r="BE4">
        <f>BD4</f>
        <v>1307673.3033100802</v>
      </c>
      <c r="BF4">
        <f>BE4*(1+取费表!$H$9)</f>
        <v>1307673.3033100802</v>
      </c>
      <c r="BG4">
        <f t="shared" ref="BG4:BI4" si="4">BF4</f>
        <v>1307673.3033100802</v>
      </c>
      <c r="BH4">
        <f t="shared" si="4"/>
        <v>1307673.3033100802</v>
      </c>
      <c r="BI4">
        <f t="shared" si="4"/>
        <v>1307673.3033100802</v>
      </c>
      <c r="BJ4">
        <f>BI4*(1+取费表!$H$9)</f>
        <v>1307673.3033100802</v>
      </c>
      <c r="BK4">
        <f t="shared" ref="BK4:BM4" si="5">BJ4</f>
        <v>1307673.3033100802</v>
      </c>
      <c r="BL4">
        <f t="shared" si="5"/>
        <v>1307673.3033100802</v>
      </c>
      <c r="BM4">
        <f t="shared" si="5"/>
        <v>1307673.3033100802</v>
      </c>
      <c r="BN4">
        <f>BM4*(1+取费表!$H$9)</f>
        <v>1307673.3033100802</v>
      </c>
      <c r="BO4">
        <f t="shared" ref="BO4:BQ4" si="6">BN4</f>
        <v>1307673.3033100802</v>
      </c>
      <c r="BP4">
        <f t="shared" si="6"/>
        <v>1307673.3033100802</v>
      </c>
      <c r="BQ4">
        <f t="shared" si="6"/>
        <v>1307673.3033100802</v>
      </c>
      <c r="BR4">
        <f>BQ4*(1+取费表!$H$9)</f>
        <v>1307673.3033100802</v>
      </c>
      <c r="BS4">
        <f t="shared" ref="BS4:BU4" si="7">BR4</f>
        <v>1307673.3033100802</v>
      </c>
      <c r="BT4">
        <f t="shared" si="7"/>
        <v>1307673.3033100802</v>
      </c>
      <c r="BU4">
        <f t="shared" si="7"/>
        <v>1307673.3033100802</v>
      </c>
      <c r="BV4">
        <f>BU4*(1+取费表!$H$9)</f>
        <v>1307673.3033100802</v>
      </c>
      <c r="BW4">
        <f t="shared" ref="BW4:BY4" si="8">BV4</f>
        <v>1307673.3033100802</v>
      </c>
      <c r="BX4">
        <f t="shared" si="8"/>
        <v>1307673.3033100802</v>
      </c>
      <c r="BY4">
        <f t="shared" si="8"/>
        <v>1307673.3033100802</v>
      </c>
      <c r="BZ4">
        <f>BY4*(1+取费表!$H$9)</f>
        <v>1307673.3033100802</v>
      </c>
      <c r="CA4">
        <f t="shared" ref="CA4:CC4" si="9">BZ4</f>
        <v>1307673.3033100802</v>
      </c>
      <c r="CB4">
        <f t="shared" si="9"/>
        <v>1307673.3033100802</v>
      </c>
      <c r="CC4">
        <f t="shared" si="9"/>
        <v>1307673.3033100802</v>
      </c>
      <c r="CD4">
        <f>CC4*(1+取费表!$H$9)</f>
        <v>1307673.3033100802</v>
      </c>
      <c r="CE4">
        <f t="shared" ref="CE4:CG4" si="10">CD4</f>
        <v>1307673.3033100802</v>
      </c>
      <c r="CF4">
        <f t="shared" si="10"/>
        <v>1307673.3033100802</v>
      </c>
      <c r="CG4">
        <f t="shared" si="10"/>
        <v>1307673.3033100802</v>
      </c>
      <c r="CH4">
        <f>CG4*(1+取费表!$H$9)</f>
        <v>1307673.3033100802</v>
      </c>
      <c r="CI4">
        <f t="shared" ref="CI4:CK4" si="11">CH4</f>
        <v>1307673.3033100802</v>
      </c>
      <c r="CJ4">
        <f t="shared" si="11"/>
        <v>1307673.3033100802</v>
      </c>
      <c r="CK4">
        <f t="shared" si="11"/>
        <v>1307673.3033100802</v>
      </c>
      <c r="CL4">
        <f>CK4*(1+取费表!$H$9)</f>
        <v>1307673.3033100802</v>
      </c>
      <c r="CM4">
        <f t="shared" ref="CM4:CO4" si="12">CL4</f>
        <v>1307673.3033100802</v>
      </c>
      <c r="CN4">
        <f t="shared" si="12"/>
        <v>1307673.3033100802</v>
      </c>
      <c r="CO4">
        <f t="shared" si="12"/>
        <v>1307673.3033100802</v>
      </c>
      <c r="CP4">
        <f>CO4*(1+取费表!$H$9)</f>
        <v>1307673.3033100802</v>
      </c>
      <c r="CQ4">
        <f t="shared" ref="CQ4:CS4" si="13">CP4</f>
        <v>1307673.3033100802</v>
      </c>
      <c r="CR4">
        <f t="shared" si="13"/>
        <v>1307673.3033100802</v>
      </c>
      <c r="CS4">
        <f t="shared" si="13"/>
        <v>1307673.3033100802</v>
      </c>
      <c r="CT4">
        <f>CS4*(1+取费表!$H$9)</f>
        <v>1307673.3033100802</v>
      </c>
      <c r="CU4">
        <f t="shared" ref="CU4:CW4" si="14">CT4</f>
        <v>1307673.3033100802</v>
      </c>
      <c r="CV4">
        <f t="shared" si="14"/>
        <v>1307673.3033100802</v>
      </c>
      <c r="CW4">
        <f t="shared" si="14"/>
        <v>1307673.3033100802</v>
      </c>
      <c r="CX4">
        <f>CW4*(1+取费表!$H$9)</f>
        <v>1307673.3033100802</v>
      </c>
      <c r="CY4">
        <f t="shared" ref="CY4:DA4" si="15">CX4</f>
        <v>1307673.3033100802</v>
      </c>
      <c r="CZ4">
        <f t="shared" si="15"/>
        <v>1307673.3033100802</v>
      </c>
      <c r="DA4">
        <f t="shared" si="15"/>
        <v>1307673.3033100802</v>
      </c>
      <c r="DB4">
        <f>DA4*(1+取费表!$H$9)</f>
        <v>1307673.3033100802</v>
      </c>
      <c r="DC4">
        <f t="shared" ref="DC4:DE4" si="16">DB4</f>
        <v>1307673.3033100802</v>
      </c>
      <c r="DD4">
        <f t="shared" si="16"/>
        <v>1307673.3033100802</v>
      </c>
      <c r="DE4">
        <f t="shared" si="16"/>
        <v>1307673.3033100802</v>
      </c>
      <c r="DF4">
        <f>DE4*(1+取费表!$H$9)</f>
        <v>1307673.3033100802</v>
      </c>
      <c r="DG4">
        <f t="shared" ref="DG4:DI4" si="17">DF4</f>
        <v>1307673.3033100802</v>
      </c>
      <c r="DH4">
        <f t="shared" si="17"/>
        <v>1307673.3033100802</v>
      </c>
      <c r="DI4">
        <f t="shared" si="17"/>
        <v>1307673.3033100802</v>
      </c>
      <c r="DJ4">
        <f>DI4*(1+取费表!$H$9)</f>
        <v>1307673.3033100802</v>
      </c>
      <c r="DK4">
        <f t="shared" ref="DK4:DM4" si="18">DJ4</f>
        <v>1307673.3033100802</v>
      </c>
      <c r="DL4">
        <f t="shared" si="18"/>
        <v>1307673.3033100802</v>
      </c>
      <c r="DM4">
        <f t="shared" si="18"/>
        <v>1307673.3033100802</v>
      </c>
      <c r="DN4">
        <f>DM4*(1+取费表!$H$9)</f>
        <v>1307673.3033100802</v>
      </c>
      <c r="DO4">
        <f t="shared" ref="DO4:DQ4" si="19">DN4</f>
        <v>1307673.3033100802</v>
      </c>
      <c r="DP4">
        <f t="shared" si="19"/>
        <v>1307673.3033100802</v>
      </c>
      <c r="DQ4">
        <f t="shared" si="19"/>
        <v>1307673.3033100802</v>
      </c>
      <c r="DR4">
        <f>DQ4*(1+取费表!$H$9)</f>
        <v>1307673.3033100802</v>
      </c>
      <c r="DS4">
        <f t="shared" ref="DS4:DU4" si="20">DR4</f>
        <v>1307673.3033100802</v>
      </c>
      <c r="DT4">
        <f t="shared" si="20"/>
        <v>1307673.3033100802</v>
      </c>
      <c r="DU4">
        <f t="shared" si="20"/>
        <v>1307673.3033100802</v>
      </c>
      <c r="DV4">
        <f>DU4*(1+取费表!$H$9)</f>
        <v>1307673.3033100802</v>
      </c>
      <c r="DW4">
        <f t="shared" ref="DW4:DY4" si="21">DV4</f>
        <v>1307673.3033100802</v>
      </c>
      <c r="DX4">
        <f t="shared" si="21"/>
        <v>1307673.3033100802</v>
      </c>
      <c r="DY4">
        <f t="shared" si="21"/>
        <v>1307673.3033100802</v>
      </c>
      <c r="DZ4">
        <f>DY4*(1+取费表!$H$9)</f>
        <v>1307673.3033100802</v>
      </c>
      <c r="EA4">
        <f t="shared" ref="EA4:EC4" si="22">DZ4</f>
        <v>1307673.3033100802</v>
      </c>
      <c r="EB4">
        <f t="shared" si="22"/>
        <v>1307673.3033100802</v>
      </c>
      <c r="EC4">
        <f t="shared" si="22"/>
        <v>1307673.3033100802</v>
      </c>
      <c r="ED4">
        <f>EC4*(1+取费表!$H$9)</f>
        <v>1307673.3033100802</v>
      </c>
      <c r="EE4">
        <f>SUM(L4:ED4)</f>
        <v>159259925.50957426</v>
      </c>
    </row>
    <row r="5" spans="1:135" s="28" customFormat="1" ht="12.75">
      <c r="C5" s="49"/>
      <c r="D5" s="49" t="s">
        <v>318</v>
      </c>
      <c r="E5" s="49"/>
      <c r="F5" s="49"/>
      <c r="G5" s="49"/>
      <c r="H5" s="79"/>
      <c r="I5" s="49"/>
      <c r="J5" s="49"/>
      <c r="K5" s="49"/>
      <c r="L5" s="224" t="s">
        <v>145</v>
      </c>
      <c r="M5" s="224"/>
      <c r="N5" s="224"/>
      <c r="O5" s="224" t="s">
        <v>221</v>
      </c>
      <c r="P5" s="224"/>
      <c r="Q5" s="224"/>
      <c r="R5" s="224"/>
      <c r="S5" s="224" t="s">
        <v>146</v>
      </c>
      <c r="T5" s="224"/>
      <c r="U5" s="224"/>
      <c r="V5" s="224"/>
      <c r="W5" s="224" t="s">
        <v>147</v>
      </c>
      <c r="X5" s="224"/>
      <c r="Y5" s="224"/>
      <c r="Z5" s="224"/>
      <c r="AA5" s="224" t="s">
        <v>148</v>
      </c>
      <c r="AB5" s="224"/>
      <c r="AC5" s="224"/>
      <c r="AD5" s="224"/>
      <c r="AE5" s="224" t="s">
        <v>149</v>
      </c>
      <c r="AF5" s="224"/>
      <c r="AG5" s="224"/>
      <c r="AH5" s="224"/>
      <c r="AI5" s="224" t="s">
        <v>150</v>
      </c>
      <c r="AJ5" s="224"/>
      <c r="AK5" s="224"/>
      <c r="AL5" s="224"/>
      <c r="AM5" s="224" t="s">
        <v>151</v>
      </c>
      <c r="AN5" s="224"/>
      <c r="AO5" s="224"/>
      <c r="AP5" s="224"/>
      <c r="AQ5" s="224" t="s">
        <v>152</v>
      </c>
      <c r="AR5" s="224"/>
      <c r="AS5" s="224"/>
      <c r="AT5" s="224"/>
      <c r="AU5" s="224" t="s">
        <v>153</v>
      </c>
      <c r="AV5" s="224"/>
      <c r="AW5" s="224"/>
      <c r="AX5" s="224"/>
      <c r="AY5" s="231" t="s">
        <v>154</v>
      </c>
      <c r="AZ5" s="231"/>
      <c r="BA5" s="231"/>
      <c r="BB5" s="231"/>
      <c r="BC5" s="224" t="s">
        <v>155</v>
      </c>
      <c r="BD5" s="224"/>
      <c r="BE5" s="224"/>
      <c r="BF5" s="224"/>
      <c r="BG5" s="224" t="s">
        <v>156</v>
      </c>
      <c r="BH5" s="224"/>
      <c r="BI5" s="224"/>
      <c r="BJ5" s="224"/>
      <c r="BK5" s="224" t="s">
        <v>157</v>
      </c>
      <c r="BL5" s="224"/>
      <c r="BM5" s="224"/>
      <c r="BN5" s="224"/>
      <c r="BO5" s="224" t="s">
        <v>158</v>
      </c>
      <c r="BP5" s="224"/>
      <c r="BQ5" s="224"/>
      <c r="BR5" s="224"/>
      <c r="BS5" s="224" t="s">
        <v>159</v>
      </c>
      <c r="BT5" s="224"/>
      <c r="BU5" s="224"/>
      <c r="BV5" s="224"/>
      <c r="BW5" s="224" t="s">
        <v>222</v>
      </c>
      <c r="BX5" s="224"/>
      <c r="BY5" s="224"/>
      <c r="BZ5" s="224"/>
      <c r="CA5" s="224" t="s">
        <v>223</v>
      </c>
      <c r="CB5" s="224"/>
      <c r="CC5" s="224"/>
      <c r="CD5" s="224"/>
      <c r="CE5" s="224" t="s">
        <v>160</v>
      </c>
      <c r="CF5" s="224"/>
      <c r="CG5" s="224"/>
      <c r="CH5" s="224"/>
      <c r="CI5" s="224" t="s">
        <v>161</v>
      </c>
      <c r="CJ5" s="224"/>
      <c r="CK5" s="224"/>
      <c r="CL5" s="224"/>
      <c r="CM5" s="224" t="s">
        <v>162</v>
      </c>
      <c r="CN5" s="224"/>
      <c r="CO5" s="224"/>
      <c r="CP5" s="224"/>
      <c r="CQ5" s="224" t="s">
        <v>594</v>
      </c>
      <c r="CR5" s="224"/>
      <c r="CS5" s="224"/>
      <c r="CT5" s="224"/>
      <c r="CU5" s="224" t="s">
        <v>595</v>
      </c>
      <c r="CV5" s="224"/>
      <c r="CW5" s="224"/>
      <c r="CX5" s="224"/>
      <c r="CY5" s="224" t="s">
        <v>596</v>
      </c>
      <c r="CZ5" s="224"/>
      <c r="DA5" s="224"/>
      <c r="DB5" s="224"/>
      <c r="DC5" s="224" t="s">
        <v>597</v>
      </c>
      <c r="DD5" s="224"/>
      <c r="DE5" s="224"/>
      <c r="DF5" s="224"/>
      <c r="DG5" s="224" t="s">
        <v>598</v>
      </c>
      <c r="DH5" s="224"/>
      <c r="DI5" s="224"/>
      <c r="DJ5" s="224"/>
      <c r="DK5" s="224" t="s">
        <v>599</v>
      </c>
      <c r="DL5" s="224"/>
      <c r="DM5" s="224"/>
      <c r="DN5" s="224"/>
      <c r="DO5" s="224" t="s">
        <v>600</v>
      </c>
      <c r="DP5" s="224"/>
      <c r="DQ5" s="224"/>
      <c r="DR5" s="224"/>
      <c r="DS5" s="224" t="s">
        <v>601</v>
      </c>
      <c r="DT5" s="224"/>
      <c r="DU5" s="224"/>
      <c r="DV5" s="224"/>
      <c r="DW5" s="224" t="s">
        <v>602</v>
      </c>
      <c r="DX5" s="224"/>
      <c r="DY5" s="224"/>
      <c r="DZ5" s="224"/>
      <c r="EA5" s="224" t="s">
        <v>603</v>
      </c>
      <c r="EB5" s="224"/>
      <c r="EC5" s="224"/>
      <c r="ED5" s="224"/>
    </row>
    <row r="6" spans="1:135" s="28" customFormat="1" ht="24">
      <c r="C6" s="87" t="s">
        <v>291</v>
      </c>
      <c r="D6" s="49"/>
      <c r="E6" s="49"/>
      <c r="F6" s="49"/>
      <c r="G6" s="49"/>
      <c r="H6" s="79"/>
      <c r="I6" s="49"/>
      <c r="J6" s="49"/>
      <c r="K6" s="49"/>
      <c r="L6" s="39" t="s">
        <v>224</v>
      </c>
      <c r="M6" s="68" t="s">
        <v>163</v>
      </c>
      <c r="N6" s="39" t="s">
        <v>225</v>
      </c>
      <c r="O6" s="39" t="s">
        <v>164</v>
      </c>
      <c r="P6" s="39" t="s">
        <v>226</v>
      </c>
      <c r="Q6" s="68" t="s">
        <v>227</v>
      </c>
      <c r="R6" s="39" t="s">
        <v>165</v>
      </c>
      <c r="S6" s="39" t="s">
        <v>228</v>
      </c>
      <c r="T6" s="39" t="s">
        <v>166</v>
      </c>
      <c r="U6" s="68" t="s">
        <v>167</v>
      </c>
      <c r="V6" s="39" t="s">
        <v>229</v>
      </c>
      <c r="W6" s="39" t="s">
        <v>230</v>
      </c>
      <c r="X6" s="39" t="s">
        <v>231</v>
      </c>
      <c r="Y6" s="68" t="s">
        <v>168</v>
      </c>
      <c r="Z6" s="39" t="s">
        <v>169</v>
      </c>
      <c r="AA6" s="39" t="s">
        <v>232</v>
      </c>
      <c r="AB6" s="39" t="s">
        <v>170</v>
      </c>
      <c r="AC6" s="68" t="s">
        <v>233</v>
      </c>
      <c r="AD6" s="39" t="s">
        <v>234</v>
      </c>
      <c r="AE6" s="39" t="s">
        <v>171</v>
      </c>
      <c r="AF6" s="39" t="s">
        <v>172</v>
      </c>
      <c r="AG6" s="68" t="s">
        <v>173</v>
      </c>
      <c r="AH6" s="39" t="s">
        <v>174</v>
      </c>
      <c r="AI6" s="39" t="s">
        <v>175</v>
      </c>
      <c r="AJ6" s="39" t="s">
        <v>235</v>
      </c>
      <c r="AK6" s="68" t="s">
        <v>176</v>
      </c>
      <c r="AL6" s="39" t="s">
        <v>177</v>
      </c>
      <c r="AM6" s="39" t="s">
        <v>178</v>
      </c>
      <c r="AN6" s="39" t="s">
        <v>179</v>
      </c>
      <c r="AO6" s="68" t="s">
        <v>180</v>
      </c>
      <c r="AP6" s="39" t="s">
        <v>181</v>
      </c>
      <c r="AQ6" s="39" t="s">
        <v>182</v>
      </c>
      <c r="AR6" s="39" t="s">
        <v>236</v>
      </c>
      <c r="AS6" s="68" t="s">
        <v>183</v>
      </c>
      <c r="AT6" s="39" t="s">
        <v>237</v>
      </c>
      <c r="AU6" s="39" t="s">
        <v>184</v>
      </c>
      <c r="AV6" s="39" t="s">
        <v>238</v>
      </c>
      <c r="AW6" s="68" t="s">
        <v>239</v>
      </c>
      <c r="AX6" s="39" t="s">
        <v>185</v>
      </c>
      <c r="AY6" s="39" t="s">
        <v>186</v>
      </c>
      <c r="AZ6" s="39" t="s">
        <v>240</v>
      </c>
      <c r="BA6" s="68" t="s">
        <v>187</v>
      </c>
      <c r="BB6" s="78" t="s">
        <v>188</v>
      </c>
      <c r="BC6" s="39" t="s">
        <v>241</v>
      </c>
      <c r="BD6" s="39" t="s">
        <v>189</v>
      </c>
      <c r="BE6" s="39" t="s">
        <v>190</v>
      </c>
      <c r="BF6" s="39" t="s">
        <v>242</v>
      </c>
      <c r="BG6" s="39" t="s">
        <v>243</v>
      </c>
      <c r="BH6" s="39" t="s">
        <v>191</v>
      </c>
      <c r="BI6" s="39" t="s">
        <v>192</v>
      </c>
      <c r="BJ6" s="39" t="s">
        <v>193</v>
      </c>
      <c r="BK6" s="39" t="s">
        <v>244</v>
      </c>
      <c r="BL6" s="39" t="s">
        <v>194</v>
      </c>
      <c r="BM6" s="39" t="s">
        <v>195</v>
      </c>
      <c r="BN6" s="39" t="s">
        <v>196</v>
      </c>
      <c r="BO6" s="39" t="s">
        <v>245</v>
      </c>
      <c r="BP6" s="39" t="s">
        <v>197</v>
      </c>
      <c r="BQ6" s="39" t="s">
        <v>198</v>
      </c>
      <c r="BR6" s="39" t="s">
        <v>199</v>
      </c>
      <c r="BS6" s="39" t="s">
        <v>200</v>
      </c>
      <c r="BT6" s="39" t="s">
        <v>201</v>
      </c>
      <c r="BU6" s="39" t="s">
        <v>202</v>
      </c>
      <c r="BV6" s="39" t="s">
        <v>246</v>
      </c>
      <c r="BW6" s="39" t="s">
        <v>203</v>
      </c>
      <c r="BX6" s="39" t="s">
        <v>204</v>
      </c>
      <c r="BY6" s="39" t="s">
        <v>247</v>
      </c>
      <c r="BZ6" s="39" t="s">
        <v>205</v>
      </c>
      <c r="CA6" s="39" t="s">
        <v>206</v>
      </c>
      <c r="CB6" s="39" t="s">
        <v>207</v>
      </c>
      <c r="CC6" s="39" t="s">
        <v>208</v>
      </c>
      <c r="CD6" s="39" t="s">
        <v>209</v>
      </c>
      <c r="CE6" s="39" t="s">
        <v>210</v>
      </c>
      <c r="CF6" s="39" t="s">
        <v>211</v>
      </c>
      <c r="CG6" s="39" t="s">
        <v>212</v>
      </c>
      <c r="CH6" s="39" t="s">
        <v>213</v>
      </c>
      <c r="CI6" s="39" t="s">
        <v>214</v>
      </c>
      <c r="CJ6" s="39" t="s">
        <v>215</v>
      </c>
      <c r="CK6" s="39" t="s">
        <v>216</v>
      </c>
      <c r="CL6" s="39" t="s">
        <v>217</v>
      </c>
      <c r="CM6" s="39" t="s">
        <v>248</v>
      </c>
      <c r="CN6" s="39" t="s">
        <v>218</v>
      </c>
      <c r="CO6" s="39" t="s">
        <v>219</v>
      </c>
      <c r="CP6" s="39" t="s">
        <v>220</v>
      </c>
      <c r="CQ6" s="154" t="e">
        <f>#REF!</f>
        <v>#REF!</v>
      </c>
      <c r="CR6" s="154" t="e">
        <f t="shared" ref="CR6" si="23">#REF!</f>
        <v>#REF!</v>
      </c>
      <c r="CS6" s="154" t="e">
        <f t="shared" ref="CS6" si="24">#REF!</f>
        <v>#REF!</v>
      </c>
      <c r="CT6" s="154" t="e">
        <f t="shared" ref="CT6" si="25">#REF!</f>
        <v>#REF!</v>
      </c>
      <c r="CU6" s="154" t="e">
        <f t="shared" ref="CU6" si="26">#REF!</f>
        <v>#REF!</v>
      </c>
      <c r="CV6" s="154" t="e">
        <f t="shared" ref="CV6" si="27">#REF!</f>
        <v>#REF!</v>
      </c>
      <c r="CW6" s="154" t="e">
        <f t="shared" ref="CW6" si="28">#REF!</f>
        <v>#REF!</v>
      </c>
      <c r="CX6" s="154" t="e">
        <f t="shared" ref="CX6" si="29">#REF!</f>
        <v>#REF!</v>
      </c>
      <c r="CY6" s="154" t="e">
        <f t="shared" ref="CY6" si="30">#REF!</f>
        <v>#REF!</v>
      </c>
      <c r="CZ6" s="154" t="e">
        <f t="shared" ref="CZ6" si="31">#REF!</f>
        <v>#REF!</v>
      </c>
      <c r="DA6" s="154" t="e">
        <f t="shared" ref="DA6" si="32">#REF!</f>
        <v>#REF!</v>
      </c>
      <c r="DB6" s="154" t="e">
        <f t="shared" ref="DB6" si="33">#REF!</f>
        <v>#REF!</v>
      </c>
      <c r="DC6" s="154" t="e">
        <f t="shared" ref="DC6" si="34">#REF!</f>
        <v>#REF!</v>
      </c>
      <c r="DD6" s="154" t="e">
        <f t="shared" ref="DD6" si="35">#REF!</f>
        <v>#REF!</v>
      </c>
      <c r="DE6" s="154" t="e">
        <f t="shared" ref="DE6" si="36">#REF!</f>
        <v>#REF!</v>
      </c>
      <c r="DF6" s="154" t="e">
        <f t="shared" ref="DF6" si="37">#REF!</f>
        <v>#REF!</v>
      </c>
      <c r="DG6" s="154" t="e">
        <f t="shared" ref="DG6" si="38">#REF!</f>
        <v>#REF!</v>
      </c>
      <c r="DH6" s="154" t="e">
        <f t="shared" ref="DH6" si="39">#REF!</f>
        <v>#REF!</v>
      </c>
      <c r="DI6" s="154" t="e">
        <f t="shared" ref="DI6" si="40">#REF!</f>
        <v>#REF!</v>
      </c>
      <c r="DJ6" s="154" t="e">
        <f t="shared" ref="DJ6" si="41">#REF!</f>
        <v>#REF!</v>
      </c>
      <c r="DK6" s="154" t="e">
        <f t="shared" ref="DK6" si="42">#REF!</f>
        <v>#REF!</v>
      </c>
      <c r="DL6" s="154" t="e">
        <f t="shared" ref="DL6" si="43">#REF!</f>
        <v>#REF!</v>
      </c>
      <c r="DM6" s="154" t="e">
        <f t="shared" ref="DM6" si="44">#REF!</f>
        <v>#REF!</v>
      </c>
      <c r="DN6" s="154" t="e">
        <f t="shared" ref="DN6" si="45">#REF!</f>
        <v>#REF!</v>
      </c>
      <c r="DO6" s="154" t="e">
        <f t="shared" ref="DO6" si="46">#REF!</f>
        <v>#REF!</v>
      </c>
      <c r="DP6" s="154" t="e">
        <f t="shared" ref="DP6" si="47">#REF!</f>
        <v>#REF!</v>
      </c>
      <c r="DQ6" s="154" t="e">
        <f t="shared" ref="DQ6" si="48">#REF!</f>
        <v>#REF!</v>
      </c>
      <c r="DR6" s="154" t="e">
        <f t="shared" ref="DR6" si="49">#REF!</f>
        <v>#REF!</v>
      </c>
      <c r="DS6" s="154" t="e">
        <f t="shared" ref="DS6" si="50">#REF!</f>
        <v>#REF!</v>
      </c>
      <c r="DT6" s="154" t="e">
        <f t="shared" ref="DT6" si="51">#REF!</f>
        <v>#REF!</v>
      </c>
      <c r="DU6" s="154" t="e">
        <f t="shared" ref="DU6" si="52">#REF!</f>
        <v>#REF!</v>
      </c>
      <c r="DV6" s="154" t="e">
        <f t="shared" ref="DV6" si="53">#REF!</f>
        <v>#REF!</v>
      </c>
      <c r="DW6" s="154" t="e">
        <f t="shared" ref="DW6" si="54">#REF!</f>
        <v>#REF!</v>
      </c>
      <c r="DX6" s="154" t="e">
        <f t="shared" ref="DX6" si="55">#REF!</f>
        <v>#REF!</v>
      </c>
      <c r="DY6" s="154" t="e">
        <f t="shared" ref="DY6" si="56">#REF!</f>
        <v>#REF!</v>
      </c>
      <c r="DZ6" s="154" t="e">
        <f t="shared" ref="DZ6" si="57">#REF!</f>
        <v>#REF!</v>
      </c>
      <c r="EA6" s="154" t="e">
        <f t="shared" ref="EA6" si="58">#REF!</f>
        <v>#REF!</v>
      </c>
      <c r="EB6" s="154" t="e">
        <f t="shared" ref="EB6" si="59">#REF!</f>
        <v>#REF!</v>
      </c>
      <c r="EC6" s="154" t="e">
        <f t="shared" ref="EC6" si="60">#REF!</f>
        <v>#REF!</v>
      </c>
      <c r="ED6" s="154" t="e">
        <f t="shared" ref="ED6" si="61">#REF!</f>
        <v>#REF!</v>
      </c>
    </row>
    <row r="7" spans="1:135" s="108" customFormat="1" ht="22.5">
      <c r="C7" s="88" t="s">
        <v>292</v>
      </c>
      <c r="D7" s="106"/>
      <c r="E7" s="106"/>
      <c r="F7" s="106"/>
      <c r="G7" s="106"/>
      <c r="H7" s="107"/>
      <c r="I7" s="106"/>
      <c r="J7" s="106"/>
      <c r="K7" s="106"/>
      <c r="L7" s="106">
        <f>L8+L9+L10</f>
        <v>852768</v>
      </c>
      <c r="M7" s="106">
        <f t="shared" ref="M7:BX7" si="62">M8+M9+M10</f>
        <v>1184400</v>
      </c>
      <c r="N7" s="106">
        <f t="shared" si="62"/>
        <v>1208088</v>
      </c>
      <c r="O7" s="106">
        <f t="shared" si="62"/>
        <v>1208088</v>
      </c>
      <c r="P7" s="106">
        <f t="shared" si="62"/>
        <v>1208088</v>
      </c>
      <c r="Q7" s="106">
        <f t="shared" si="62"/>
        <v>1208088</v>
      </c>
      <c r="R7" s="106">
        <f t="shared" si="62"/>
        <v>1232249.76</v>
      </c>
      <c r="S7" s="106">
        <f t="shared" si="62"/>
        <v>1232249.76</v>
      </c>
      <c r="T7" s="106">
        <f t="shared" si="62"/>
        <v>1232249.76</v>
      </c>
      <c r="U7" s="106">
        <f t="shared" si="62"/>
        <v>1232249.76</v>
      </c>
      <c r="V7" s="106">
        <f>V8+V9+V10</f>
        <v>1256894.7552</v>
      </c>
      <c r="W7" s="106">
        <f>W8+W9+W10</f>
        <v>1256894.7552</v>
      </c>
      <c r="X7" s="106">
        <f>X8+X9+X10</f>
        <v>1256894.7552</v>
      </c>
      <c r="Y7" s="106">
        <f t="shared" si="62"/>
        <v>1256894.7552</v>
      </c>
      <c r="Z7" s="106">
        <f t="shared" si="62"/>
        <v>1282032.6503040001</v>
      </c>
      <c r="AA7" s="106">
        <f t="shared" si="62"/>
        <v>1282032.6503040001</v>
      </c>
      <c r="AB7" s="106">
        <f t="shared" si="62"/>
        <v>1282032.6503040001</v>
      </c>
      <c r="AC7" s="106">
        <f t="shared" si="62"/>
        <v>1282032.6503040001</v>
      </c>
      <c r="AD7" s="106">
        <f t="shared" si="62"/>
        <v>1307673.3033100802</v>
      </c>
      <c r="AE7" s="106">
        <f t="shared" si="62"/>
        <v>1307673.3033100802</v>
      </c>
      <c r="AF7" s="106">
        <f t="shared" si="62"/>
        <v>1307673.3033100802</v>
      </c>
      <c r="AG7" s="106">
        <f t="shared" si="62"/>
        <v>1307673.3033100802</v>
      </c>
      <c r="AH7" s="106">
        <f t="shared" si="62"/>
        <v>1307673.3033100802</v>
      </c>
      <c r="AI7" s="106">
        <f t="shared" si="62"/>
        <v>1307673.3033100802</v>
      </c>
      <c r="AJ7" s="106">
        <f t="shared" si="62"/>
        <v>1307673.3033100802</v>
      </c>
      <c r="AK7" s="106">
        <f t="shared" si="62"/>
        <v>1307673.3033100802</v>
      </c>
      <c r="AL7" s="106">
        <f t="shared" si="62"/>
        <v>1307673.3033100802</v>
      </c>
      <c r="AM7" s="106">
        <f t="shared" si="62"/>
        <v>1307673.3033100802</v>
      </c>
      <c r="AN7" s="106">
        <f t="shared" si="62"/>
        <v>1307673.3033100802</v>
      </c>
      <c r="AO7" s="106">
        <f t="shared" si="62"/>
        <v>1307673.3033100802</v>
      </c>
      <c r="AP7" s="106">
        <f t="shared" si="62"/>
        <v>1307673.3033100802</v>
      </c>
      <c r="AQ7" s="106">
        <f t="shared" si="62"/>
        <v>1307673.3033100802</v>
      </c>
      <c r="AR7" s="106">
        <f t="shared" si="62"/>
        <v>1307673.3033100802</v>
      </c>
      <c r="AS7" s="106">
        <f t="shared" si="62"/>
        <v>1307673.3033100802</v>
      </c>
      <c r="AT7" s="106">
        <f t="shared" si="62"/>
        <v>1307673.3033100802</v>
      </c>
      <c r="AU7" s="106">
        <f t="shared" si="62"/>
        <v>1307673.3033100802</v>
      </c>
      <c r="AV7" s="106">
        <f t="shared" si="62"/>
        <v>1307673.3033100802</v>
      </c>
      <c r="AW7" s="106">
        <f t="shared" si="62"/>
        <v>1307673.3033100802</v>
      </c>
      <c r="AX7" s="106">
        <f t="shared" si="62"/>
        <v>1307673.3033100802</v>
      </c>
      <c r="AY7" s="106">
        <f t="shared" si="62"/>
        <v>1307673.3033100802</v>
      </c>
      <c r="AZ7" s="106">
        <f t="shared" si="62"/>
        <v>1307673.3033100802</v>
      </c>
      <c r="BA7" s="106">
        <f t="shared" si="62"/>
        <v>1307673.3033100802</v>
      </c>
      <c r="BB7" s="106">
        <f t="shared" si="62"/>
        <v>1307673.3033100802</v>
      </c>
      <c r="BC7" s="106">
        <f t="shared" si="62"/>
        <v>1307673.3033100802</v>
      </c>
      <c r="BD7" s="106">
        <f t="shared" si="62"/>
        <v>1307673.3033100802</v>
      </c>
      <c r="BE7" s="106">
        <f t="shared" si="62"/>
        <v>1307673.3033100802</v>
      </c>
      <c r="BF7" s="106">
        <f t="shared" si="62"/>
        <v>1307673.3033100802</v>
      </c>
      <c r="BG7" s="106">
        <f t="shared" si="62"/>
        <v>1307673.3033100802</v>
      </c>
      <c r="BH7" s="106">
        <f t="shared" si="62"/>
        <v>1307673.3033100802</v>
      </c>
      <c r="BI7" s="106">
        <f t="shared" si="62"/>
        <v>1307673.3033100802</v>
      </c>
      <c r="BJ7" s="106">
        <f t="shared" si="62"/>
        <v>1307673.3033100802</v>
      </c>
      <c r="BK7" s="106">
        <f t="shared" si="62"/>
        <v>1307673.3033100802</v>
      </c>
      <c r="BL7" s="106">
        <f t="shared" si="62"/>
        <v>1307673.3033100802</v>
      </c>
      <c r="BM7" s="106">
        <f t="shared" si="62"/>
        <v>1307673.3033100802</v>
      </c>
      <c r="BN7" s="106">
        <f t="shared" si="62"/>
        <v>1307673.3033100802</v>
      </c>
      <c r="BO7" s="106">
        <f t="shared" si="62"/>
        <v>1307673.3033100802</v>
      </c>
      <c r="BP7" s="106">
        <f t="shared" si="62"/>
        <v>1307673.3033100802</v>
      </c>
      <c r="BQ7" s="106">
        <f t="shared" si="62"/>
        <v>1307673.3033100802</v>
      </c>
      <c r="BR7" s="106">
        <f t="shared" si="62"/>
        <v>1307673.3033100802</v>
      </c>
      <c r="BS7" s="106">
        <f t="shared" si="62"/>
        <v>1307673.3033100802</v>
      </c>
      <c r="BT7" s="106">
        <f t="shared" si="62"/>
        <v>1307673.3033100802</v>
      </c>
      <c r="BU7" s="106">
        <f t="shared" si="62"/>
        <v>1307673.3033100802</v>
      </c>
      <c r="BV7" s="106">
        <f t="shared" si="62"/>
        <v>1307673.3033100802</v>
      </c>
      <c r="BW7" s="106">
        <f t="shared" si="62"/>
        <v>1307673.3033100802</v>
      </c>
      <c r="BX7" s="106">
        <f t="shared" si="62"/>
        <v>1307673.3033100802</v>
      </c>
      <c r="BY7" s="106">
        <f t="shared" ref="BY7:CO7" si="63">BY8+BY9+BY10</f>
        <v>1307673.3033100802</v>
      </c>
      <c r="BZ7" s="106">
        <f t="shared" si="63"/>
        <v>1307673.3033100802</v>
      </c>
      <c r="CA7" s="106">
        <f t="shared" si="63"/>
        <v>1307673.3033100802</v>
      </c>
      <c r="CB7" s="106">
        <f t="shared" si="63"/>
        <v>1307673.3033100802</v>
      </c>
      <c r="CC7" s="106">
        <f t="shared" si="63"/>
        <v>1307673.3033100802</v>
      </c>
      <c r="CD7" s="106">
        <f t="shared" si="63"/>
        <v>1307673.3033100802</v>
      </c>
      <c r="CE7" s="106">
        <f t="shared" si="63"/>
        <v>1307673.3033100802</v>
      </c>
      <c r="CF7" s="106">
        <f t="shared" si="63"/>
        <v>1307673.3033100802</v>
      </c>
      <c r="CG7" s="106">
        <f t="shared" si="63"/>
        <v>1307673.3033100802</v>
      </c>
      <c r="CH7" s="106">
        <f t="shared" si="63"/>
        <v>1307673.3033100802</v>
      </c>
      <c r="CI7" s="106">
        <f t="shared" si="63"/>
        <v>1307673.3033100802</v>
      </c>
      <c r="CJ7" s="106">
        <f t="shared" si="63"/>
        <v>1307673.3033100802</v>
      </c>
      <c r="CK7" s="106">
        <f t="shared" si="63"/>
        <v>1307673.3033100802</v>
      </c>
      <c r="CL7" s="106">
        <f t="shared" si="63"/>
        <v>1307673.3033100802</v>
      </c>
      <c r="CM7" s="106">
        <f t="shared" si="63"/>
        <v>1307673.3033100802</v>
      </c>
      <c r="CN7" s="106">
        <f t="shared" si="63"/>
        <v>1307673.3033100802</v>
      </c>
      <c r="CO7" s="106">
        <f t="shared" si="63"/>
        <v>1307673.3033100802</v>
      </c>
      <c r="CP7" s="106">
        <f>CP8+CP9+CP10</f>
        <v>1307673.3033100802</v>
      </c>
      <c r="CQ7" s="106">
        <f t="shared" ref="CQ7:ED7" si="64">CQ8+CQ9+CQ10</f>
        <v>1307673.3033100802</v>
      </c>
      <c r="CR7" s="106">
        <f t="shared" si="64"/>
        <v>1307673.3033100802</v>
      </c>
      <c r="CS7" s="106">
        <f t="shared" si="64"/>
        <v>1307673.3033100802</v>
      </c>
      <c r="CT7" s="106">
        <f t="shared" si="64"/>
        <v>1307673.3033100802</v>
      </c>
      <c r="CU7" s="106">
        <f t="shared" si="64"/>
        <v>1307673.3033100802</v>
      </c>
      <c r="CV7" s="106">
        <f t="shared" si="64"/>
        <v>1307673.3033100802</v>
      </c>
      <c r="CW7" s="106">
        <f t="shared" si="64"/>
        <v>1307673.3033100802</v>
      </c>
      <c r="CX7" s="106">
        <f t="shared" si="64"/>
        <v>1307673.3033100802</v>
      </c>
      <c r="CY7" s="106">
        <f t="shared" si="64"/>
        <v>1307673.3033100802</v>
      </c>
      <c r="CZ7" s="106">
        <f t="shared" si="64"/>
        <v>1307673.3033100802</v>
      </c>
      <c r="DA7" s="106">
        <f t="shared" si="64"/>
        <v>1307673.3033100802</v>
      </c>
      <c r="DB7" s="106">
        <f t="shared" si="64"/>
        <v>1307673.3033100802</v>
      </c>
      <c r="DC7" s="106">
        <f t="shared" si="64"/>
        <v>1307673.3033100802</v>
      </c>
      <c r="DD7" s="106">
        <f t="shared" si="64"/>
        <v>1307673.3033100802</v>
      </c>
      <c r="DE7" s="106">
        <f t="shared" si="64"/>
        <v>1307673.3033100802</v>
      </c>
      <c r="DF7" s="106">
        <f t="shared" si="64"/>
        <v>1307673.3033100802</v>
      </c>
      <c r="DG7" s="106">
        <f t="shared" si="64"/>
        <v>1307673.3033100802</v>
      </c>
      <c r="DH7" s="106">
        <f t="shared" si="64"/>
        <v>1307673.3033100802</v>
      </c>
      <c r="DI7" s="106">
        <f t="shared" si="64"/>
        <v>1307673.3033100802</v>
      </c>
      <c r="DJ7" s="106">
        <f t="shared" si="64"/>
        <v>1307673.3033100802</v>
      </c>
      <c r="DK7" s="106">
        <f t="shared" si="64"/>
        <v>1307673.3033100802</v>
      </c>
      <c r="DL7" s="106">
        <f t="shared" si="64"/>
        <v>1307673.3033100802</v>
      </c>
      <c r="DM7" s="106">
        <f t="shared" si="64"/>
        <v>1307673.3033100802</v>
      </c>
      <c r="DN7" s="106">
        <f t="shared" si="64"/>
        <v>1307673.3033100802</v>
      </c>
      <c r="DO7" s="106">
        <f t="shared" si="64"/>
        <v>1307673.3033100802</v>
      </c>
      <c r="DP7" s="106">
        <f t="shared" si="64"/>
        <v>1307673.3033100802</v>
      </c>
      <c r="DQ7" s="106">
        <f t="shared" si="64"/>
        <v>1307673.3033100802</v>
      </c>
      <c r="DR7" s="106">
        <f t="shared" si="64"/>
        <v>1307673.3033100802</v>
      </c>
      <c r="DS7" s="106">
        <f t="shared" si="64"/>
        <v>1307673.3033100802</v>
      </c>
      <c r="DT7" s="106">
        <f t="shared" si="64"/>
        <v>1307673.3033100802</v>
      </c>
      <c r="DU7" s="106">
        <f t="shared" si="64"/>
        <v>1307673.3033100802</v>
      </c>
      <c r="DV7" s="106">
        <f t="shared" si="64"/>
        <v>1307673.3033100802</v>
      </c>
      <c r="DW7" s="106">
        <f t="shared" si="64"/>
        <v>1307673.3033100802</v>
      </c>
      <c r="DX7" s="106">
        <f t="shared" si="64"/>
        <v>1307673.3033100802</v>
      </c>
      <c r="DY7" s="106">
        <f t="shared" si="64"/>
        <v>1307673.3033100802</v>
      </c>
      <c r="DZ7" s="106">
        <f t="shared" si="64"/>
        <v>1307673.3033100802</v>
      </c>
      <c r="EA7" s="106">
        <f t="shared" si="64"/>
        <v>1307673.3033100802</v>
      </c>
      <c r="EB7" s="106">
        <f t="shared" si="64"/>
        <v>1307673.3033100802</v>
      </c>
      <c r="EC7" s="106">
        <f t="shared" si="64"/>
        <v>1307673.3033100802</v>
      </c>
      <c r="ED7" s="106">
        <f t="shared" si="64"/>
        <v>1307673.3033100802</v>
      </c>
      <c r="EE7" s="139">
        <f>SUM(L7:ED7)</f>
        <v>159259925.50957426</v>
      </c>
    </row>
    <row r="8" spans="1:135" s="28" customFormat="1" ht="12.75">
      <c r="C8" s="88" t="s">
        <v>293</v>
      </c>
      <c r="D8" s="49"/>
      <c r="E8" s="49"/>
      <c r="F8" s="49"/>
      <c r="G8" s="49"/>
      <c r="H8" s="79"/>
      <c r="I8" s="49"/>
      <c r="J8" s="49"/>
      <c r="K8" s="49"/>
      <c r="L8" s="49">
        <f>L4</f>
        <v>852768</v>
      </c>
      <c r="M8" s="49">
        <f t="shared" ref="M8:BX8" si="65">M4</f>
        <v>1184400</v>
      </c>
      <c r="N8" s="49">
        <f t="shared" si="65"/>
        <v>1208088</v>
      </c>
      <c r="O8" s="49">
        <f t="shared" si="65"/>
        <v>1208088</v>
      </c>
      <c r="P8" s="49">
        <f t="shared" si="65"/>
        <v>1208088</v>
      </c>
      <c r="Q8" s="49">
        <f t="shared" si="65"/>
        <v>1208088</v>
      </c>
      <c r="R8" s="49">
        <f t="shared" si="65"/>
        <v>1232249.76</v>
      </c>
      <c r="S8" s="49">
        <f t="shared" si="65"/>
        <v>1232249.76</v>
      </c>
      <c r="T8" s="49">
        <f t="shared" si="65"/>
        <v>1232249.76</v>
      </c>
      <c r="U8" s="49">
        <f t="shared" si="65"/>
        <v>1232249.76</v>
      </c>
      <c r="V8" s="49">
        <f t="shared" si="65"/>
        <v>1256894.7552</v>
      </c>
      <c r="W8" s="49">
        <f t="shared" si="65"/>
        <v>1256894.7552</v>
      </c>
      <c r="X8" s="49">
        <f t="shared" si="65"/>
        <v>1256894.7552</v>
      </c>
      <c r="Y8" s="49">
        <f t="shared" si="65"/>
        <v>1256894.7552</v>
      </c>
      <c r="Z8" s="49">
        <f t="shared" si="65"/>
        <v>1282032.6503040001</v>
      </c>
      <c r="AA8" s="49">
        <f t="shared" si="65"/>
        <v>1282032.6503040001</v>
      </c>
      <c r="AB8" s="49">
        <f t="shared" si="65"/>
        <v>1282032.6503040001</v>
      </c>
      <c r="AC8" s="49">
        <f t="shared" si="65"/>
        <v>1282032.6503040001</v>
      </c>
      <c r="AD8" s="49">
        <f t="shared" si="65"/>
        <v>1307673.3033100802</v>
      </c>
      <c r="AE8" s="49">
        <f t="shared" si="65"/>
        <v>1307673.3033100802</v>
      </c>
      <c r="AF8" s="49">
        <f t="shared" si="65"/>
        <v>1307673.3033100802</v>
      </c>
      <c r="AG8" s="49">
        <f t="shared" si="65"/>
        <v>1307673.3033100802</v>
      </c>
      <c r="AH8" s="49">
        <f t="shared" si="65"/>
        <v>1307673.3033100802</v>
      </c>
      <c r="AI8" s="49">
        <f t="shared" si="65"/>
        <v>1307673.3033100802</v>
      </c>
      <c r="AJ8" s="49">
        <f t="shared" si="65"/>
        <v>1307673.3033100802</v>
      </c>
      <c r="AK8" s="49">
        <f t="shared" si="65"/>
        <v>1307673.3033100802</v>
      </c>
      <c r="AL8" s="49">
        <f t="shared" si="65"/>
        <v>1307673.3033100802</v>
      </c>
      <c r="AM8" s="49">
        <f t="shared" si="65"/>
        <v>1307673.3033100802</v>
      </c>
      <c r="AN8" s="49">
        <f t="shared" si="65"/>
        <v>1307673.3033100802</v>
      </c>
      <c r="AO8" s="49">
        <f t="shared" si="65"/>
        <v>1307673.3033100802</v>
      </c>
      <c r="AP8" s="49">
        <f t="shared" si="65"/>
        <v>1307673.3033100802</v>
      </c>
      <c r="AQ8" s="49">
        <f t="shared" si="65"/>
        <v>1307673.3033100802</v>
      </c>
      <c r="AR8" s="49">
        <f t="shared" si="65"/>
        <v>1307673.3033100802</v>
      </c>
      <c r="AS8" s="49">
        <f t="shared" si="65"/>
        <v>1307673.3033100802</v>
      </c>
      <c r="AT8" s="49">
        <f t="shared" si="65"/>
        <v>1307673.3033100802</v>
      </c>
      <c r="AU8" s="49">
        <f t="shared" si="65"/>
        <v>1307673.3033100802</v>
      </c>
      <c r="AV8" s="49">
        <f t="shared" si="65"/>
        <v>1307673.3033100802</v>
      </c>
      <c r="AW8" s="49">
        <f t="shared" si="65"/>
        <v>1307673.3033100802</v>
      </c>
      <c r="AX8" s="49">
        <f t="shared" si="65"/>
        <v>1307673.3033100802</v>
      </c>
      <c r="AY8" s="49">
        <f t="shared" si="65"/>
        <v>1307673.3033100802</v>
      </c>
      <c r="AZ8" s="49">
        <f t="shared" si="65"/>
        <v>1307673.3033100802</v>
      </c>
      <c r="BA8" s="49">
        <f t="shared" si="65"/>
        <v>1307673.3033100802</v>
      </c>
      <c r="BB8" s="49">
        <f t="shared" si="65"/>
        <v>1307673.3033100802</v>
      </c>
      <c r="BC8" s="49">
        <f t="shared" si="65"/>
        <v>1307673.3033100802</v>
      </c>
      <c r="BD8" s="49">
        <f t="shared" si="65"/>
        <v>1307673.3033100802</v>
      </c>
      <c r="BE8" s="49">
        <f t="shared" si="65"/>
        <v>1307673.3033100802</v>
      </c>
      <c r="BF8" s="49">
        <f t="shared" si="65"/>
        <v>1307673.3033100802</v>
      </c>
      <c r="BG8" s="49">
        <f t="shared" si="65"/>
        <v>1307673.3033100802</v>
      </c>
      <c r="BH8" s="49">
        <f t="shared" si="65"/>
        <v>1307673.3033100802</v>
      </c>
      <c r="BI8" s="49">
        <f t="shared" si="65"/>
        <v>1307673.3033100802</v>
      </c>
      <c r="BJ8" s="49">
        <f t="shared" si="65"/>
        <v>1307673.3033100802</v>
      </c>
      <c r="BK8" s="49">
        <f t="shared" si="65"/>
        <v>1307673.3033100802</v>
      </c>
      <c r="BL8" s="49">
        <f t="shared" si="65"/>
        <v>1307673.3033100802</v>
      </c>
      <c r="BM8" s="49">
        <f t="shared" si="65"/>
        <v>1307673.3033100802</v>
      </c>
      <c r="BN8" s="49">
        <f t="shared" si="65"/>
        <v>1307673.3033100802</v>
      </c>
      <c r="BO8" s="49">
        <f t="shared" si="65"/>
        <v>1307673.3033100802</v>
      </c>
      <c r="BP8" s="49">
        <f t="shared" si="65"/>
        <v>1307673.3033100802</v>
      </c>
      <c r="BQ8" s="49">
        <f t="shared" si="65"/>
        <v>1307673.3033100802</v>
      </c>
      <c r="BR8" s="49">
        <f t="shared" si="65"/>
        <v>1307673.3033100802</v>
      </c>
      <c r="BS8" s="49">
        <f t="shared" si="65"/>
        <v>1307673.3033100802</v>
      </c>
      <c r="BT8" s="49">
        <f t="shared" si="65"/>
        <v>1307673.3033100802</v>
      </c>
      <c r="BU8" s="49">
        <f t="shared" si="65"/>
        <v>1307673.3033100802</v>
      </c>
      <c r="BV8" s="49">
        <f t="shared" si="65"/>
        <v>1307673.3033100802</v>
      </c>
      <c r="BW8" s="49">
        <f t="shared" si="65"/>
        <v>1307673.3033100802</v>
      </c>
      <c r="BX8" s="49">
        <f t="shared" si="65"/>
        <v>1307673.3033100802</v>
      </c>
      <c r="BY8" s="49">
        <f t="shared" ref="BY8:ED8" si="66">BY4</f>
        <v>1307673.3033100802</v>
      </c>
      <c r="BZ8" s="49">
        <f t="shared" si="66"/>
        <v>1307673.3033100802</v>
      </c>
      <c r="CA8" s="49">
        <f t="shared" si="66"/>
        <v>1307673.3033100802</v>
      </c>
      <c r="CB8" s="49">
        <f t="shared" si="66"/>
        <v>1307673.3033100802</v>
      </c>
      <c r="CC8" s="49">
        <f t="shared" si="66"/>
        <v>1307673.3033100802</v>
      </c>
      <c r="CD8" s="49">
        <f t="shared" si="66"/>
        <v>1307673.3033100802</v>
      </c>
      <c r="CE8" s="49">
        <f t="shared" si="66"/>
        <v>1307673.3033100802</v>
      </c>
      <c r="CF8" s="49">
        <f t="shared" si="66"/>
        <v>1307673.3033100802</v>
      </c>
      <c r="CG8" s="49">
        <f t="shared" si="66"/>
        <v>1307673.3033100802</v>
      </c>
      <c r="CH8" s="49">
        <f t="shared" si="66"/>
        <v>1307673.3033100802</v>
      </c>
      <c r="CI8" s="49">
        <f t="shared" si="66"/>
        <v>1307673.3033100802</v>
      </c>
      <c r="CJ8" s="49">
        <f t="shared" si="66"/>
        <v>1307673.3033100802</v>
      </c>
      <c r="CK8" s="49">
        <f t="shared" si="66"/>
        <v>1307673.3033100802</v>
      </c>
      <c r="CL8" s="49">
        <f t="shared" si="66"/>
        <v>1307673.3033100802</v>
      </c>
      <c r="CM8" s="49">
        <f t="shared" si="66"/>
        <v>1307673.3033100802</v>
      </c>
      <c r="CN8" s="49">
        <f t="shared" si="66"/>
        <v>1307673.3033100802</v>
      </c>
      <c r="CO8" s="49">
        <f t="shared" si="66"/>
        <v>1307673.3033100802</v>
      </c>
      <c r="CP8" s="49">
        <f t="shared" si="66"/>
        <v>1307673.3033100802</v>
      </c>
      <c r="CQ8" s="49">
        <f t="shared" si="66"/>
        <v>1307673.3033100802</v>
      </c>
      <c r="CR8" s="49">
        <f t="shared" si="66"/>
        <v>1307673.3033100802</v>
      </c>
      <c r="CS8" s="49">
        <f t="shared" si="66"/>
        <v>1307673.3033100802</v>
      </c>
      <c r="CT8" s="49">
        <f t="shared" si="66"/>
        <v>1307673.3033100802</v>
      </c>
      <c r="CU8" s="49">
        <f t="shared" si="66"/>
        <v>1307673.3033100802</v>
      </c>
      <c r="CV8" s="49">
        <f t="shared" si="66"/>
        <v>1307673.3033100802</v>
      </c>
      <c r="CW8" s="49">
        <f t="shared" si="66"/>
        <v>1307673.3033100802</v>
      </c>
      <c r="CX8" s="49">
        <f t="shared" si="66"/>
        <v>1307673.3033100802</v>
      </c>
      <c r="CY8" s="49">
        <f t="shared" si="66"/>
        <v>1307673.3033100802</v>
      </c>
      <c r="CZ8" s="49">
        <f t="shared" si="66"/>
        <v>1307673.3033100802</v>
      </c>
      <c r="DA8" s="49">
        <f t="shared" si="66"/>
        <v>1307673.3033100802</v>
      </c>
      <c r="DB8" s="49">
        <f t="shared" si="66"/>
        <v>1307673.3033100802</v>
      </c>
      <c r="DC8" s="49">
        <f t="shared" si="66"/>
        <v>1307673.3033100802</v>
      </c>
      <c r="DD8" s="49">
        <f t="shared" si="66"/>
        <v>1307673.3033100802</v>
      </c>
      <c r="DE8" s="49">
        <f t="shared" si="66"/>
        <v>1307673.3033100802</v>
      </c>
      <c r="DF8" s="49">
        <f t="shared" si="66"/>
        <v>1307673.3033100802</v>
      </c>
      <c r="DG8" s="49">
        <f t="shared" si="66"/>
        <v>1307673.3033100802</v>
      </c>
      <c r="DH8" s="49">
        <f t="shared" si="66"/>
        <v>1307673.3033100802</v>
      </c>
      <c r="DI8" s="49">
        <f t="shared" si="66"/>
        <v>1307673.3033100802</v>
      </c>
      <c r="DJ8" s="49">
        <f t="shared" si="66"/>
        <v>1307673.3033100802</v>
      </c>
      <c r="DK8" s="49">
        <f t="shared" si="66"/>
        <v>1307673.3033100802</v>
      </c>
      <c r="DL8" s="49">
        <f t="shared" si="66"/>
        <v>1307673.3033100802</v>
      </c>
      <c r="DM8" s="49">
        <f t="shared" si="66"/>
        <v>1307673.3033100802</v>
      </c>
      <c r="DN8" s="49">
        <f t="shared" si="66"/>
        <v>1307673.3033100802</v>
      </c>
      <c r="DO8" s="49">
        <f t="shared" si="66"/>
        <v>1307673.3033100802</v>
      </c>
      <c r="DP8" s="49">
        <f t="shared" si="66"/>
        <v>1307673.3033100802</v>
      </c>
      <c r="DQ8" s="49">
        <f t="shared" si="66"/>
        <v>1307673.3033100802</v>
      </c>
      <c r="DR8" s="49">
        <f t="shared" si="66"/>
        <v>1307673.3033100802</v>
      </c>
      <c r="DS8" s="49">
        <f t="shared" si="66"/>
        <v>1307673.3033100802</v>
      </c>
      <c r="DT8" s="49">
        <f t="shared" si="66"/>
        <v>1307673.3033100802</v>
      </c>
      <c r="DU8" s="49">
        <f t="shared" si="66"/>
        <v>1307673.3033100802</v>
      </c>
      <c r="DV8" s="49">
        <f t="shared" si="66"/>
        <v>1307673.3033100802</v>
      </c>
      <c r="DW8" s="49">
        <f t="shared" si="66"/>
        <v>1307673.3033100802</v>
      </c>
      <c r="DX8" s="49">
        <f t="shared" si="66"/>
        <v>1307673.3033100802</v>
      </c>
      <c r="DY8" s="49">
        <f t="shared" si="66"/>
        <v>1307673.3033100802</v>
      </c>
      <c r="DZ8" s="49">
        <f t="shared" si="66"/>
        <v>1307673.3033100802</v>
      </c>
      <c r="EA8" s="49">
        <f t="shared" si="66"/>
        <v>1307673.3033100802</v>
      </c>
      <c r="EB8" s="49">
        <f t="shared" si="66"/>
        <v>1307673.3033100802</v>
      </c>
      <c r="EC8" s="49">
        <f t="shared" si="66"/>
        <v>1307673.3033100802</v>
      </c>
      <c r="ED8" s="49">
        <f t="shared" si="66"/>
        <v>1307673.3033100802</v>
      </c>
      <c r="EE8" s="139">
        <f t="shared" ref="EE8:EE23" si="67">SUM(L8:ED8)</f>
        <v>159259925.50957426</v>
      </c>
    </row>
    <row r="9" spans="1:135" s="28" customFormat="1" ht="12.75">
      <c r="C9" s="88" t="s">
        <v>316</v>
      </c>
      <c r="D9" s="49"/>
      <c r="E9" s="49"/>
      <c r="F9" s="49"/>
      <c r="G9" s="49"/>
      <c r="H9" s="79"/>
      <c r="I9" s="49"/>
      <c r="J9" s="49"/>
      <c r="K9" s="49"/>
      <c r="L9" s="49"/>
      <c r="M9" s="103"/>
      <c r="N9" s="103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139">
        <f t="shared" si="67"/>
        <v>0</v>
      </c>
    </row>
    <row r="10" spans="1:135" s="28" customFormat="1" ht="12.75">
      <c r="C10" s="88" t="s">
        <v>297</v>
      </c>
      <c r="D10" s="49"/>
      <c r="E10" s="49"/>
      <c r="F10" s="49"/>
      <c r="G10" s="49"/>
      <c r="H10" s="79"/>
      <c r="I10" s="49"/>
      <c r="J10" s="49"/>
      <c r="K10" s="49"/>
      <c r="L10" s="49"/>
      <c r="M10" s="103"/>
      <c r="N10" s="103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139">
        <f t="shared" si="67"/>
        <v>0</v>
      </c>
    </row>
    <row r="11" spans="1:135" s="108" customFormat="1" ht="14.25" customHeight="1">
      <c r="A11" s="233">
        <f>D12+D13</f>
        <v>0.11000000000000001</v>
      </c>
      <c r="B11" s="234"/>
      <c r="C11" s="89" t="s">
        <v>310</v>
      </c>
      <c r="D11" s="106"/>
      <c r="E11" s="106"/>
      <c r="F11" s="106"/>
      <c r="G11" s="106"/>
      <c r="H11" s="107"/>
      <c r="I11" s="106"/>
      <c r="J11" s="106"/>
      <c r="K11" s="106"/>
      <c r="L11" s="106">
        <f>L12+L13</f>
        <v>93804.48000000001</v>
      </c>
      <c r="M11" s="106">
        <f t="shared" ref="M11:BX11" si="68">M12+M13</f>
        <v>130284.00000000001</v>
      </c>
      <c r="N11" s="106">
        <f t="shared" si="68"/>
        <v>132889.68</v>
      </c>
      <c r="O11" s="106">
        <f t="shared" si="68"/>
        <v>132889.68</v>
      </c>
      <c r="P11" s="106">
        <f t="shared" si="68"/>
        <v>132889.68</v>
      </c>
      <c r="Q11" s="106">
        <f t="shared" si="68"/>
        <v>132889.68</v>
      </c>
      <c r="R11" s="106">
        <f t="shared" si="68"/>
        <v>135547.4736</v>
      </c>
      <c r="S11" s="106">
        <f t="shared" si="68"/>
        <v>135547.4736</v>
      </c>
      <c r="T11" s="106">
        <f t="shared" si="68"/>
        <v>135547.4736</v>
      </c>
      <c r="U11" s="106">
        <f t="shared" si="68"/>
        <v>135547.4736</v>
      </c>
      <c r="V11" s="106">
        <f t="shared" si="68"/>
        <v>138258.42307200001</v>
      </c>
      <c r="W11" s="106">
        <f t="shared" si="68"/>
        <v>138258.42307200001</v>
      </c>
      <c r="X11" s="106">
        <f t="shared" si="68"/>
        <v>138258.42307200001</v>
      </c>
      <c r="Y11" s="106">
        <f t="shared" si="68"/>
        <v>138258.42307200001</v>
      </c>
      <c r="Z11" s="106">
        <f t="shared" si="68"/>
        <v>141023.59153344002</v>
      </c>
      <c r="AA11" s="106">
        <f t="shared" si="68"/>
        <v>141023.59153344002</v>
      </c>
      <c r="AB11" s="106">
        <f t="shared" si="68"/>
        <v>141023.59153344002</v>
      </c>
      <c r="AC11" s="106">
        <f t="shared" si="68"/>
        <v>141023.59153344002</v>
      </c>
      <c r="AD11" s="106">
        <f t="shared" si="68"/>
        <v>143844.06336410885</v>
      </c>
      <c r="AE11" s="106">
        <f t="shared" si="68"/>
        <v>143844.06336410885</v>
      </c>
      <c r="AF11" s="106">
        <f t="shared" si="68"/>
        <v>143844.06336410885</v>
      </c>
      <c r="AG11" s="106">
        <f t="shared" si="68"/>
        <v>143844.06336410885</v>
      </c>
      <c r="AH11" s="106">
        <f t="shared" si="68"/>
        <v>143844.06336410885</v>
      </c>
      <c r="AI11" s="106">
        <f t="shared" si="68"/>
        <v>143844.06336410885</v>
      </c>
      <c r="AJ11" s="106">
        <f t="shared" si="68"/>
        <v>143844.06336410885</v>
      </c>
      <c r="AK11" s="106">
        <f t="shared" si="68"/>
        <v>143844.06336410885</v>
      </c>
      <c r="AL11" s="106">
        <f t="shared" si="68"/>
        <v>143844.06336410885</v>
      </c>
      <c r="AM11" s="106">
        <f t="shared" si="68"/>
        <v>143844.06336410885</v>
      </c>
      <c r="AN11" s="106">
        <f t="shared" si="68"/>
        <v>143844.06336410885</v>
      </c>
      <c r="AO11" s="106">
        <f t="shared" si="68"/>
        <v>143844.06336410885</v>
      </c>
      <c r="AP11" s="106">
        <f t="shared" si="68"/>
        <v>143844.06336410885</v>
      </c>
      <c r="AQ11" s="106">
        <f t="shared" si="68"/>
        <v>143844.06336410885</v>
      </c>
      <c r="AR11" s="106">
        <f t="shared" si="68"/>
        <v>143844.06336410885</v>
      </c>
      <c r="AS11" s="106">
        <f t="shared" si="68"/>
        <v>143844.06336410885</v>
      </c>
      <c r="AT11" s="106">
        <f t="shared" si="68"/>
        <v>143844.06336410885</v>
      </c>
      <c r="AU11" s="106">
        <f t="shared" si="68"/>
        <v>143844.06336410885</v>
      </c>
      <c r="AV11" s="106">
        <f t="shared" si="68"/>
        <v>143844.06336410885</v>
      </c>
      <c r="AW11" s="106">
        <f t="shared" si="68"/>
        <v>143844.06336410885</v>
      </c>
      <c r="AX11" s="106">
        <f t="shared" si="68"/>
        <v>143844.06336410885</v>
      </c>
      <c r="AY11" s="106">
        <f t="shared" si="68"/>
        <v>143844.06336410885</v>
      </c>
      <c r="AZ11" s="106">
        <f t="shared" si="68"/>
        <v>143844.06336410885</v>
      </c>
      <c r="BA11" s="106">
        <f t="shared" si="68"/>
        <v>143844.06336410885</v>
      </c>
      <c r="BB11" s="106">
        <f t="shared" si="68"/>
        <v>143844.06336410885</v>
      </c>
      <c r="BC11" s="106">
        <f t="shared" si="68"/>
        <v>143844.06336410885</v>
      </c>
      <c r="BD11" s="106">
        <f t="shared" si="68"/>
        <v>143844.06336410885</v>
      </c>
      <c r="BE11" s="106">
        <f t="shared" si="68"/>
        <v>143844.06336410885</v>
      </c>
      <c r="BF11" s="106">
        <f t="shared" si="68"/>
        <v>143844.06336410885</v>
      </c>
      <c r="BG11" s="106">
        <f t="shared" si="68"/>
        <v>143844.06336410885</v>
      </c>
      <c r="BH11" s="106">
        <f t="shared" si="68"/>
        <v>143844.06336410885</v>
      </c>
      <c r="BI11" s="106">
        <f t="shared" si="68"/>
        <v>143844.06336410885</v>
      </c>
      <c r="BJ11" s="106">
        <f t="shared" si="68"/>
        <v>143844.06336410885</v>
      </c>
      <c r="BK11" s="106">
        <f t="shared" si="68"/>
        <v>143844.06336410885</v>
      </c>
      <c r="BL11" s="106">
        <f t="shared" si="68"/>
        <v>143844.06336410885</v>
      </c>
      <c r="BM11" s="106">
        <f t="shared" si="68"/>
        <v>143844.06336410885</v>
      </c>
      <c r="BN11" s="106">
        <f t="shared" si="68"/>
        <v>143844.06336410885</v>
      </c>
      <c r="BO11" s="106">
        <f t="shared" si="68"/>
        <v>143844.06336410885</v>
      </c>
      <c r="BP11" s="106">
        <f t="shared" si="68"/>
        <v>143844.06336410885</v>
      </c>
      <c r="BQ11" s="106">
        <f t="shared" si="68"/>
        <v>143844.06336410885</v>
      </c>
      <c r="BR11" s="106">
        <f t="shared" si="68"/>
        <v>143844.06336410885</v>
      </c>
      <c r="BS11" s="106">
        <f t="shared" si="68"/>
        <v>143844.06336410885</v>
      </c>
      <c r="BT11" s="106">
        <f t="shared" si="68"/>
        <v>143844.06336410885</v>
      </c>
      <c r="BU11" s="106">
        <f t="shared" si="68"/>
        <v>143844.06336410885</v>
      </c>
      <c r="BV11" s="106">
        <f t="shared" si="68"/>
        <v>143844.06336410885</v>
      </c>
      <c r="BW11" s="106">
        <f t="shared" si="68"/>
        <v>143844.06336410885</v>
      </c>
      <c r="BX11" s="106">
        <f t="shared" si="68"/>
        <v>143844.06336410885</v>
      </c>
      <c r="BY11" s="106">
        <f t="shared" ref="BY11:ED11" si="69">BY12+BY13</f>
        <v>143844.06336410885</v>
      </c>
      <c r="BZ11" s="106">
        <f t="shared" si="69"/>
        <v>143844.06336410885</v>
      </c>
      <c r="CA11" s="106">
        <f t="shared" si="69"/>
        <v>143844.06336410885</v>
      </c>
      <c r="CB11" s="106">
        <f t="shared" si="69"/>
        <v>143844.06336410885</v>
      </c>
      <c r="CC11" s="106">
        <f t="shared" si="69"/>
        <v>143844.06336410885</v>
      </c>
      <c r="CD11" s="106">
        <f t="shared" si="69"/>
        <v>143844.06336410885</v>
      </c>
      <c r="CE11" s="106">
        <f t="shared" si="69"/>
        <v>143844.06336410885</v>
      </c>
      <c r="CF11" s="106">
        <f t="shared" si="69"/>
        <v>143844.06336410885</v>
      </c>
      <c r="CG11" s="106">
        <f t="shared" si="69"/>
        <v>143844.06336410885</v>
      </c>
      <c r="CH11" s="106">
        <f t="shared" si="69"/>
        <v>143844.06336410885</v>
      </c>
      <c r="CI11" s="106">
        <f t="shared" si="69"/>
        <v>143844.06336410885</v>
      </c>
      <c r="CJ11" s="106">
        <f t="shared" si="69"/>
        <v>143844.06336410885</v>
      </c>
      <c r="CK11" s="106">
        <f t="shared" si="69"/>
        <v>143844.06336410885</v>
      </c>
      <c r="CL11" s="106">
        <f t="shared" si="69"/>
        <v>143844.06336410885</v>
      </c>
      <c r="CM11" s="106">
        <f t="shared" si="69"/>
        <v>143844.06336410885</v>
      </c>
      <c r="CN11" s="106">
        <f t="shared" si="69"/>
        <v>143844.06336410885</v>
      </c>
      <c r="CO11" s="106">
        <f t="shared" si="69"/>
        <v>143844.06336410885</v>
      </c>
      <c r="CP11" s="106">
        <f t="shared" si="69"/>
        <v>143844.06336410885</v>
      </c>
      <c r="CQ11" s="106">
        <f t="shared" si="69"/>
        <v>143844.06336410885</v>
      </c>
      <c r="CR11" s="106">
        <f t="shared" si="69"/>
        <v>143844.06336410885</v>
      </c>
      <c r="CS11" s="106">
        <f t="shared" si="69"/>
        <v>143844.06336410885</v>
      </c>
      <c r="CT11" s="106">
        <f t="shared" si="69"/>
        <v>143844.06336410885</v>
      </c>
      <c r="CU11" s="106">
        <f t="shared" si="69"/>
        <v>143844.06336410885</v>
      </c>
      <c r="CV11" s="106">
        <f t="shared" si="69"/>
        <v>143844.06336410885</v>
      </c>
      <c r="CW11" s="106">
        <f t="shared" si="69"/>
        <v>143844.06336410885</v>
      </c>
      <c r="CX11" s="106">
        <f t="shared" si="69"/>
        <v>143844.06336410885</v>
      </c>
      <c r="CY11" s="106">
        <f t="shared" si="69"/>
        <v>143844.06336410885</v>
      </c>
      <c r="CZ11" s="106">
        <f t="shared" si="69"/>
        <v>143844.06336410885</v>
      </c>
      <c r="DA11" s="106">
        <f t="shared" si="69"/>
        <v>143844.06336410885</v>
      </c>
      <c r="DB11" s="106">
        <f t="shared" si="69"/>
        <v>143844.06336410885</v>
      </c>
      <c r="DC11" s="106">
        <f t="shared" si="69"/>
        <v>143844.06336410885</v>
      </c>
      <c r="DD11" s="106">
        <f t="shared" si="69"/>
        <v>143844.06336410885</v>
      </c>
      <c r="DE11" s="106">
        <f t="shared" si="69"/>
        <v>143844.06336410885</v>
      </c>
      <c r="DF11" s="106">
        <f t="shared" si="69"/>
        <v>143844.06336410885</v>
      </c>
      <c r="DG11" s="106">
        <f t="shared" si="69"/>
        <v>143844.06336410885</v>
      </c>
      <c r="DH11" s="106">
        <f t="shared" si="69"/>
        <v>143844.06336410885</v>
      </c>
      <c r="DI11" s="106">
        <f t="shared" si="69"/>
        <v>143844.06336410885</v>
      </c>
      <c r="DJ11" s="106">
        <f t="shared" si="69"/>
        <v>143844.06336410885</v>
      </c>
      <c r="DK11" s="106">
        <f t="shared" si="69"/>
        <v>143844.06336410885</v>
      </c>
      <c r="DL11" s="106">
        <f t="shared" si="69"/>
        <v>143844.06336410885</v>
      </c>
      <c r="DM11" s="106">
        <f t="shared" si="69"/>
        <v>143844.06336410885</v>
      </c>
      <c r="DN11" s="106">
        <f t="shared" si="69"/>
        <v>143844.06336410885</v>
      </c>
      <c r="DO11" s="106">
        <f t="shared" si="69"/>
        <v>143844.06336410885</v>
      </c>
      <c r="DP11" s="106">
        <f t="shared" si="69"/>
        <v>143844.06336410885</v>
      </c>
      <c r="DQ11" s="106">
        <f t="shared" si="69"/>
        <v>143844.06336410885</v>
      </c>
      <c r="DR11" s="106">
        <f t="shared" si="69"/>
        <v>143844.06336410885</v>
      </c>
      <c r="DS11" s="106">
        <f t="shared" si="69"/>
        <v>143844.06336410885</v>
      </c>
      <c r="DT11" s="106">
        <f t="shared" si="69"/>
        <v>143844.06336410885</v>
      </c>
      <c r="DU11" s="106">
        <f t="shared" si="69"/>
        <v>143844.06336410885</v>
      </c>
      <c r="DV11" s="106">
        <f t="shared" si="69"/>
        <v>143844.06336410885</v>
      </c>
      <c r="DW11" s="106">
        <f t="shared" si="69"/>
        <v>143844.06336410885</v>
      </c>
      <c r="DX11" s="106">
        <f t="shared" si="69"/>
        <v>143844.06336410885</v>
      </c>
      <c r="DY11" s="106">
        <f t="shared" si="69"/>
        <v>143844.06336410885</v>
      </c>
      <c r="DZ11" s="106">
        <f t="shared" si="69"/>
        <v>143844.06336410885</v>
      </c>
      <c r="EA11" s="106">
        <f t="shared" si="69"/>
        <v>143844.06336410885</v>
      </c>
      <c r="EB11" s="106">
        <f t="shared" si="69"/>
        <v>143844.06336410885</v>
      </c>
      <c r="EC11" s="106">
        <f t="shared" si="69"/>
        <v>143844.06336410885</v>
      </c>
      <c r="ED11" s="106">
        <f t="shared" si="69"/>
        <v>143844.06336410885</v>
      </c>
      <c r="EE11" s="139">
        <f t="shared" si="67"/>
        <v>17518591.806053195</v>
      </c>
    </row>
    <row r="12" spans="1:135" s="28" customFormat="1" ht="12.75">
      <c r="C12" s="89" t="s">
        <v>311</v>
      </c>
      <c r="D12" s="105">
        <f>商业现金流!D56</f>
        <v>0.04</v>
      </c>
      <c r="E12" s="49"/>
      <c r="F12" s="49"/>
      <c r="G12" s="49"/>
      <c r="H12" s="79"/>
      <c r="I12" s="49"/>
      <c r="J12" s="49"/>
      <c r="K12" s="49"/>
      <c r="L12" s="49">
        <f>D12*L7</f>
        <v>34110.720000000001</v>
      </c>
      <c r="M12" s="49">
        <f>M7*$D$12</f>
        <v>47376</v>
      </c>
      <c r="N12" s="49">
        <f t="shared" ref="N12:BY12" si="70">N7*$D$12</f>
        <v>48323.520000000004</v>
      </c>
      <c r="O12" s="49">
        <f t="shared" si="70"/>
        <v>48323.520000000004</v>
      </c>
      <c r="P12" s="49">
        <f t="shared" si="70"/>
        <v>48323.520000000004</v>
      </c>
      <c r="Q12" s="49">
        <f t="shared" si="70"/>
        <v>48323.520000000004</v>
      </c>
      <c r="R12" s="49">
        <f t="shared" si="70"/>
        <v>49289.990400000002</v>
      </c>
      <c r="S12" s="49">
        <f t="shared" si="70"/>
        <v>49289.990400000002</v>
      </c>
      <c r="T12" s="49">
        <f t="shared" si="70"/>
        <v>49289.990400000002</v>
      </c>
      <c r="U12" s="49">
        <f t="shared" si="70"/>
        <v>49289.990400000002</v>
      </c>
      <c r="V12" s="49">
        <f t="shared" si="70"/>
        <v>50275.790207999999</v>
      </c>
      <c r="W12" s="49">
        <f t="shared" si="70"/>
        <v>50275.790207999999</v>
      </c>
      <c r="X12" s="49">
        <f t="shared" si="70"/>
        <v>50275.790207999999</v>
      </c>
      <c r="Y12" s="49">
        <f t="shared" si="70"/>
        <v>50275.790207999999</v>
      </c>
      <c r="Z12" s="49">
        <f t="shared" si="70"/>
        <v>51281.306012160007</v>
      </c>
      <c r="AA12" s="49">
        <f t="shared" si="70"/>
        <v>51281.306012160007</v>
      </c>
      <c r="AB12" s="49">
        <f t="shared" si="70"/>
        <v>51281.306012160007</v>
      </c>
      <c r="AC12" s="49">
        <f t="shared" si="70"/>
        <v>51281.306012160007</v>
      </c>
      <c r="AD12" s="49">
        <f t="shared" si="70"/>
        <v>52306.932132403206</v>
      </c>
      <c r="AE12" s="49">
        <f t="shared" si="70"/>
        <v>52306.932132403206</v>
      </c>
      <c r="AF12" s="49">
        <f t="shared" si="70"/>
        <v>52306.932132403206</v>
      </c>
      <c r="AG12" s="49">
        <f t="shared" si="70"/>
        <v>52306.932132403206</v>
      </c>
      <c r="AH12" s="49">
        <f t="shared" si="70"/>
        <v>52306.932132403206</v>
      </c>
      <c r="AI12" s="49">
        <f t="shared" si="70"/>
        <v>52306.932132403206</v>
      </c>
      <c r="AJ12" s="49">
        <f t="shared" si="70"/>
        <v>52306.932132403206</v>
      </c>
      <c r="AK12" s="49">
        <f t="shared" si="70"/>
        <v>52306.932132403206</v>
      </c>
      <c r="AL12" s="49">
        <f t="shared" si="70"/>
        <v>52306.932132403206</v>
      </c>
      <c r="AM12" s="49">
        <f t="shared" si="70"/>
        <v>52306.932132403206</v>
      </c>
      <c r="AN12" s="49">
        <f t="shared" si="70"/>
        <v>52306.932132403206</v>
      </c>
      <c r="AO12" s="49">
        <f t="shared" si="70"/>
        <v>52306.932132403206</v>
      </c>
      <c r="AP12" s="49">
        <f t="shared" si="70"/>
        <v>52306.932132403206</v>
      </c>
      <c r="AQ12" s="49">
        <f t="shared" si="70"/>
        <v>52306.932132403206</v>
      </c>
      <c r="AR12" s="49">
        <f t="shared" si="70"/>
        <v>52306.932132403206</v>
      </c>
      <c r="AS12" s="49">
        <f t="shared" si="70"/>
        <v>52306.932132403206</v>
      </c>
      <c r="AT12" s="49">
        <f t="shared" si="70"/>
        <v>52306.932132403206</v>
      </c>
      <c r="AU12" s="49">
        <f t="shared" si="70"/>
        <v>52306.932132403206</v>
      </c>
      <c r="AV12" s="49">
        <f t="shared" si="70"/>
        <v>52306.932132403206</v>
      </c>
      <c r="AW12" s="49">
        <f t="shared" si="70"/>
        <v>52306.932132403206</v>
      </c>
      <c r="AX12" s="49">
        <f t="shared" si="70"/>
        <v>52306.932132403206</v>
      </c>
      <c r="AY12" s="49">
        <f t="shared" si="70"/>
        <v>52306.932132403206</v>
      </c>
      <c r="AZ12" s="49">
        <f t="shared" si="70"/>
        <v>52306.932132403206</v>
      </c>
      <c r="BA12" s="49">
        <f t="shared" si="70"/>
        <v>52306.932132403206</v>
      </c>
      <c r="BB12" s="49">
        <f t="shared" si="70"/>
        <v>52306.932132403206</v>
      </c>
      <c r="BC12" s="49">
        <f t="shared" si="70"/>
        <v>52306.932132403206</v>
      </c>
      <c r="BD12" s="49">
        <f t="shared" si="70"/>
        <v>52306.932132403206</v>
      </c>
      <c r="BE12" s="49">
        <f t="shared" si="70"/>
        <v>52306.932132403206</v>
      </c>
      <c r="BF12" s="49">
        <f t="shared" si="70"/>
        <v>52306.932132403206</v>
      </c>
      <c r="BG12" s="49">
        <f t="shared" si="70"/>
        <v>52306.932132403206</v>
      </c>
      <c r="BH12" s="49">
        <f t="shared" si="70"/>
        <v>52306.932132403206</v>
      </c>
      <c r="BI12" s="49">
        <f t="shared" si="70"/>
        <v>52306.932132403206</v>
      </c>
      <c r="BJ12" s="49">
        <f t="shared" si="70"/>
        <v>52306.932132403206</v>
      </c>
      <c r="BK12" s="49">
        <f t="shared" si="70"/>
        <v>52306.932132403206</v>
      </c>
      <c r="BL12" s="49">
        <f t="shared" si="70"/>
        <v>52306.932132403206</v>
      </c>
      <c r="BM12" s="49">
        <f t="shared" si="70"/>
        <v>52306.932132403206</v>
      </c>
      <c r="BN12" s="49">
        <f t="shared" si="70"/>
        <v>52306.932132403206</v>
      </c>
      <c r="BO12" s="49">
        <f t="shared" si="70"/>
        <v>52306.932132403206</v>
      </c>
      <c r="BP12" s="49">
        <f t="shared" si="70"/>
        <v>52306.932132403206</v>
      </c>
      <c r="BQ12" s="49">
        <f t="shared" si="70"/>
        <v>52306.932132403206</v>
      </c>
      <c r="BR12" s="49">
        <f t="shared" si="70"/>
        <v>52306.932132403206</v>
      </c>
      <c r="BS12" s="49">
        <f t="shared" si="70"/>
        <v>52306.932132403206</v>
      </c>
      <c r="BT12" s="49">
        <f t="shared" si="70"/>
        <v>52306.932132403206</v>
      </c>
      <c r="BU12" s="49">
        <f t="shared" si="70"/>
        <v>52306.932132403206</v>
      </c>
      <c r="BV12" s="49">
        <f t="shared" si="70"/>
        <v>52306.932132403206</v>
      </c>
      <c r="BW12" s="49">
        <f t="shared" si="70"/>
        <v>52306.932132403206</v>
      </c>
      <c r="BX12" s="49">
        <f t="shared" si="70"/>
        <v>52306.932132403206</v>
      </c>
      <c r="BY12" s="49">
        <f t="shared" si="70"/>
        <v>52306.932132403206</v>
      </c>
      <c r="BZ12" s="49">
        <f t="shared" ref="BZ12:ED12" si="71">BZ7*$D$12</f>
        <v>52306.932132403206</v>
      </c>
      <c r="CA12" s="49">
        <f t="shared" si="71"/>
        <v>52306.932132403206</v>
      </c>
      <c r="CB12" s="49">
        <f t="shared" si="71"/>
        <v>52306.932132403206</v>
      </c>
      <c r="CC12" s="49">
        <f t="shared" si="71"/>
        <v>52306.932132403206</v>
      </c>
      <c r="CD12" s="49">
        <f t="shared" si="71"/>
        <v>52306.932132403206</v>
      </c>
      <c r="CE12" s="49">
        <f t="shared" si="71"/>
        <v>52306.932132403206</v>
      </c>
      <c r="CF12" s="49">
        <f t="shared" si="71"/>
        <v>52306.932132403206</v>
      </c>
      <c r="CG12" s="49">
        <f t="shared" si="71"/>
        <v>52306.932132403206</v>
      </c>
      <c r="CH12" s="49">
        <f t="shared" si="71"/>
        <v>52306.932132403206</v>
      </c>
      <c r="CI12" s="49">
        <f t="shared" si="71"/>
        <v>52306.932132403206</v>
      </c>
      <c r="CJ12" s="49">
        <f t="shared" si="71"/>
        <v>52306.932132403206</v>
      </c>
      <c r="CK12" s="49">
        <f t="shared" si="71"/>
        <v>52306.932132403206</v>
      </c>
      <c r="CL12" s="49">
        <f t="shared" si="71"/>
        <v>52306.932132403206</v>
      </c>
      <c r="CM12" s="49">
        <f t="shared" si="71"/>
        <v>52306.932132403206</v>
      </c>
      <c r="CN12" s="49">
        <f t="shared" si="71"/>
        <v>52306.932132403206</v>
      </c>
      <c r="CO12" s="49">
        <f t="shared" si="71"/>
        <v>52306.932132403206</v>
      </c>
      <c r="CP12" s="49">
        <f t="shared" si="71"/>
        <v>52306.932132403206</v>
      </c>
      <c r="CQ12" s="49">
        <f t="shared" si="71"/>
        <v>52306.932132403206</v>
      </c>
      <c r="CR12" s="49">
        <f t="shared" si="71"/>
        <v>52306.932132403206</v>
      </c>
      <c r="CS12" s="49">
        <f t="shared" si="71"/>
        <v>52306.932132403206</v>
      </c>
      <c r="CT12" s="49">
        <f t="shared" si="71"/>
        <v>52306.932132403206</v>
      </c>
      <c r="CU12" s="49">
        <f t="shared" si="71"/>
        <v>52306.932132403206</v>
      </c>
      <c r="CV12" s="49">
        <f t="shared" si="71"/>
        <v>52306.932132403206</v>
      </c>
      <c r="CW12" s="49">
        <f t="shared" si="71"/>
        <v>52306.932132403206</v>
      </c>
      <c r="CX12" s="49">
        <f t="shared" si="71"/>
        <v>52306.932132403206</v>
      </c>
      <c r="CY12" s="49">
        <f t="shared" si="71"/>
        <v>52306.932132403206</v>
      </c>
      <c r="CZ12" s="49">
        <f t="shared" si="71"/>
        <v>52306.932132403206</v>
      </c>
      <c r="DA12" s="49">
        <f t="shared" si="71"/>
        <v>52306.932132403206</v>
      </c>
      <c r="DB12" s="49">
        <f t="shared" si="71"/>
        <v>52306.932132403206</v>
      </c>
      <c r="DC12" s="49">
        <f t="shared" si="71"/>
        <v>52306.932132403206</v>
      </c>
      <c r="DD12" s="49">
        <f t="shared" si="71"/>
        <v>52306.932132403206</v>
      </c>
      <c r="DE12" s="49">
        <f t="shared" si="71"/>
        <v>52306.932132403206</v>
      </c>
      <c r="DF12" s="49">
        <f t="shared" si="71"/>
        <v>52306.932132403206</v>
      </c>
      <c r="DG12" s="49">
        <f t="shared" si="71"/>
        <v>52306.932132403206</v>
      </c>
      <c r="DH12" s="49">
        <f t="shared" si="71"/>
        <v>52306.932132403206</v>
      </c>
      <c r="DI12" s="49">
        <f t="shared" si="71"/>
        <v>52306.932132403206</v>
      </c>
      <c r="DJ12" s="49">
        <f t="shared" si="71"/>
        <v>52306.932132403206</v>
      </c>
      <c r="DK12" s="49">
        <f t="shared" si="71"/>
        <v>52306.932132403206</v>
      </c>
      <c r="DL12" s="49">
        <f t="shared" si="71"/>
        <v>52306.932132403206</v>
      </c>
      <c r="DM12" s="49">
        <f t="shared" si="71"/>
        <v>52306.932132403206</v>
      </c>
      <c r="DN12" s="49">
        <f t="shared" si="71"/>
        <v>52306.932132403206</v>
      </c>
      <c r="DO12" s="49">
        <f t="shared" si="71"/>
        <v>52306.932132403206</v>
      </c>
      <c r="DP12" s="49">
        <f t="shared" si="71"/>
        <v>52306.932132403206</v>
      </c>
      <c r="DQ12" s="49">
        <f t="shared" si="71"/>
        <v>52306.932132403206</v>
      </c>
      <c r="DR12" s="49">
        <f t="shared" si="71"/>
        <v>52306.932132403206</v>
      </c>
      <c r="DS12" s="49">
        <f t="shared" si="71"/>
        <v>52306.932132403206</v>
      </c>
      <c r="DT12" s="49">
        <f t="shared" si="71"/>
        <v>52306.932132403206</v>
      </c>
      <c r="DU12" s="49">
        <f t="shared" si="71"/>
        <v>52306.932132403206</v>
      </c>
      <c r="DV12" s="49">
        <f t="shared" si="71"/>
        <v>52306.932132403206</v>
      </c>
      <c r="DW12" s="49">
        <f t="shared" si="71"/>
        <v>52306.932132403206</v>
      </c>
      <c r="DX12" s="49">
        <f t="shared" si="71"/>
        <v>52306.932132403206</v>
      </c>
      <c r="DY12" s="49">
        <f t="shared" si="71"/>
        <v>52306.932132403206</v>
      </c>
      <c r="DZ12" s="49">
        <f t="shared" si="71"/>
        <v>52306.932132403206</v>
      </c>
      <c r="EA12" s="49">
        <f t="shared" si="71"/>
        <v>52306.932132403206</v>
      </c>
      <c r="EB12" s="49">
        <f t="shared" si="71"/>
        <v>52306.932132403206</v>
      </c>
      <c r="EC12" s="49">
        <f t="shared" si="71"/>
        <v>52306.932132403206</v>
      </c>
      <c r="ED12" s="49">
        <f t="shared" si="71"/>
        <v>52306.932132403206</v>
      </c>
      <c r="EE12" s="139">
        <f t="shared" si="67"/>
        <v>6370397.0203829883</v>
      </c>
    </row>
    <row r="13" spans="1:135" s="28" customFormat="1" ht="12.75">
      <c r="C13" s="89" t="s">
        <v>312</v>
      </c>
      <c r="D13" s="105">
        <f>商业现金流!D57</f>
        <v>7.0000000000000007E-2</v>
      </c>
      <c r="E13" s="49"/>
      <c r="F13" s="49"/>
      <c r="G13" s="49"/>
      <c r="H13" s="79"/>
      <c r="I13" s="49"/>
      <c r="J13" s="49"/>
      <c r="K13" s="49"/>
      <c r="L13" s="49">
        <f>D13*L7</f>
        <v>59693.760000000009</v>
      </c>
      <c r="M13" s="49">
        <f>M8*$D$13</f>
        <v>82908.000000000015</v>
      </c>
      <c r="N13" s="49">
        <f t="shared" ref="N13:BY13" si="72">N8*$D$13</f>
        <v>84566.16</v>
      </c>
      <c r="O13" s="49">
        <f t="shared" si="72"/>
        <v>84566.16</v>
      </c>
      <c r="P13" s="49">
        <f t="shared" si="72"/>
        <v>84566.16</v>
      </c>
      <c r="Q13" s="49">
        <f t="shared" si="72"/>
        <v>84566.16</v>
      </c>
      <c r="R13" s="49">
        <f t="shared" si="72"/>
        <v>86257.483200000002</v>
      </c>
      <c r="S13" s="49">
        <f t="shared" si="72"/>
        <v>86257.483200000002</v>
      </c>
      <c r="T13" s="49">
        <f t="shared" si="72"/>
        <v>86257.483200000002</v>
      </c>
      <c r="U13" s="49">
        <f t="shared" si="72"/>
        <v>86257.483200000002</v>
      </c>
      <c r="V13" s="49">
        <f t="shared" si="72"/>
        <v>87982.632864000014</v>
      </c>
      <c r="W13" s="49">
        <f t="shared" si="72"/>
        <v>87982.632864000014</v>
      </c>
      <c r="X13" s="49">
        <f t="shared" si="72"/>
        <v>87982.632864000014</v>
      </c>
      <c r="Y13" s="49">
        <f t="shared" si="72"/>
        <v>87982.632864000014</v>
      </c>
      <c r="Z13" s="49">
        <f t="shared" si="72"/>
        <v>89742.28552128002</v>
      </c>
      <c r="AA13" s="49">
        <f t="shared" si="72"/>
        <v>89742.28552128002</v>
      </c>
      <c r="AB13" s="49">
        <f t="shared" si="72"/>
        <v>89742.28552128002</v>
      </c>
      <c r="AC13" s="49">
        <f t="shared" si="72"/>
        <v>89742.28552128002</v>
      </c>
      <c r="AD13" s="49">
        <f t="shared" si="72"/>
        <v>91537.131231705629</v>
      </c>
      <c r="AE13" s="49">
        <f t="shared" si="72"/>
        <v>91537.131231705629</v>
      </c>
      <c r="AF13" s="49">
        <f t="shared" si="72"/>
        <v>91537.131231705629</v>
      </c>
      <c r="AG13" s="49">
        <f t="shared" si="72"/>
        <v>91537.131231705629</v>
      </c>
      <c r="AH13" s="49">
        <f t="shared" si="72"/>
        <v>91537.131231705629</v>
      </c>
      <c r="AI13" s="49">
        <f t="shared" si="72"/>
        <v>91537.131231705629</v>
      </c>
      <c r="AJ13" s="49">
        <f t="shared" si="72"/>
        <v>91537.131231705629</v>
      </c>
      <c r="AK13" s="49">
        <f t="shared" si="72"/>
        <v>91537.131231705629</v>
      </c>
      <c r="AL13" s="49">
        <f t="shared" si="72"/>
        <v>91537.131231705629</v>
      </c>
      <c r="AM13" s="49">
        <f t="shared" si="72"/>
        <v>91537.131231705629</v>
      </c>
      <c r="AN13" s="49">
        <f t="shared" si="72"/>
        <v>91537.131231705629</v>
      </c>
      <c r="AO13" s="49">
        <f t="shared" si="72"/>
        <v>91537.131231705629</v>
      </c>
      <c r="AP13" s="49">
        <f t="shared" si="72"/>
        <v>91537.131231705629</v>
      </c>
      <c r="AQ13" s="49">
        <f t="shared" si="72"/>
        <v>91537.131231705629</v>
      </c>
      <c r="AR13" s="49">
        <f t="shared" si="72"/>
        <v>91537.131231705629</v>
      </c>
      <c r="AS13" s="49">
        <f t="shared" si="72"/>
        <v>91537.131231705629</v>
      </c>
      <c r="AT13" s="49">
        <f t="shared" si="72"/>
        <v>91537.131231705629</v>
      </c>
      <c r="AU13" s="49">
        <f t="shared" si="72"/>
        <v>91537.131231705629</v>
      </c>
      <c r="AV13" s="49">
        <f t="shared" si="72"/>
        <v>91537.131231705629</v>
      </c>
      <c r="AW13" s="49">
        <f t="shared" si="72"/>
        <v>91537.131231705629</v>
      </c>
      <c r="AX13" s="49">
        <f t="shared" si="72"/>
        <v>91537.131231705629</v>
      </c>
      <c r="AY13" s="49">
        <f t="shared" si="72"/>
        <v>91537.131231705629</v>
      </c>
      <c r="AZ13" s="49">
        <f t="shared" si="72"/>
        <v>91537.131231705629</v>
      </c>
      <c r="BA13" s="49">
        <f t="shared" si="72"/>
        <v>91537.131231705629</v>
      </c>
      <c r="BB13" s="49">
        <f t="shared" si="72"/>
        <v>91537.131231705629</v>
      </c>
      <c r="BC13" s="49">
        <f t="shared" si="72"/>
        <v>91537.131231705629</v>
      </c>
      <c r="BD13" s="49">
        <f t="shared" si="72"/>
        <v>91537.131231705629</v>
      </c>
      <c r="BE13" s="49">
        <f t="shared" si="72"/>
        <v>91537.131231705629</v>
      </c>
      <c r="BF13" s="49">
        <f t="shared" si="72"/>
        <v>91537.131231705629</v>
      </c>
      <c r="BG13" s="49">
        <f t="shared" si="72"/>
        <v>91537.131231705629</v>
      </c>
      <c r="BH13" s="49">
        <f t="shared" si="72"/>
        <v>91537.131231705629</v>
      </c>
      <c r="BI13" s="49">
        <f t="shared" si="72"/>
        <v>91537.131231705629</v>
      </c>
      <c r="BJ13" s="49">
        <f t="shared" si="72"/>
        <v>91537.131231705629</v>
      </c>
      <c r="BK13" s="49">
        <f t="shared" si="72"/>
        <v>91537.131231705629</v>
      </c>
      <c r="BL13" s="49">
        <f t="shared" si="72"/>
        <v>91537.131231705629</v>
      </c>
      <c r="BM13" s="49">
        <f t="shared" si="72"/>
        <v>91537.131231705629</v>
      </c>
      <c r="BN13" s="49">
        <f t="shared" si="72"/>
        <v>91537.131231705629</v>
      </c>
      <c r="BO13" s="49">
        <f t="shared" si="72"/>
        <v>91537.131231705629</v>
      </c>
      <c r="BP13" s="49">
        <f t="shared" si="72"/>
        <v>91537.131231705629</v>
      </c>
      <c r="BQ13" s="49">
        <f t="shared" si="72"/>
        <v>91537.131231705629</v>
      </c>
      <c r="BR13" s="49">
        <f t="shared" si="72"/>
        <v>91537.131231705629</v>
      </c>
      <c r="BS13" s="49">
        <f t="shared" si="72"/>
        <v>91537.131231705629</v>
      </c>
      <c r="BT13" s="49">
        <f t="shared" si="72"/>
        <v>91537.131231705629</v>
      </c>
      <c r="BU13" s="49">
        <f t="shared" si="72"/>
        <v>91537.131231705629</v>
      </c>
      <c r="BV13" s="49">
        <f t="shared" si="72"/>
        <v>91537.131231705629</v>
      </c>
      <c r="BW13" s="49">
        <f t="shared" si="72"/>
        <v>91537.131231705629</v>
      </c>
      <c r="BX13" s="49">
        <f t="shared" si="72"/>
        <v>91537.131231705629</v>
      </c>
      <c r="BY13" s="49">
        <f t="shared" si="72"/>
        <v>91537.131231705629</v>
      </c>
      <c r="BZ13" s="49">
        <f t="shared" ref="BZ13:ED13" si="73">BZ8*$D$13</f>
        <v>91537.131231705629</v>
      </c>
      <c r="CA13" s="49">
        <f t="shared" si="73"/>
        <v>91537.131231705629</v>
      </c>
      <c r="CB13" s="49">
        <f t="shared" si="73"/>
        <v>91537.131231705629</v>
      </c>
      <c r="CC13" s="49">
        <f t="shared" si="73"/>
        <v>91537.131231705629</v>
      </c>
      <c r="CD13" s="49">
        <f t="shared" si="73"/>
        <v>91537.131231705629</v>
      </c>
      <c r="CE13" s="49">
        <f t="shared" si="73"/>
        <v>91537.131231705629</v>
      </c>
      <c r="CF13" s="49">
        <f t="shared" si="73"/>
        <v>91537.131231705629</v>
      </c>
      <c r="CG13" s="49">
        <f t="shared" si="73"/>
        <v>91537.131231705629</v>
      </c>
      <c r="CH13" s="49">
        <f t="shared" si="73"/>
        <v>91537.131231705629</v>
      </c>
      <c r="CI13" s="49">
        <f t="shared" si="73"/>
        <v>91537.131231705629</v>
      </c>
      <c r="CJ13" s="49">
        <f t="shared" si="73"/>
        <v>91537.131231705629</v>
      </c>
      <c r="CK13" s="49">
        <f t="shared" si="73"/>
        <v>91537.131231705629</v>
      </c>
      <c r="CL13" s="49">
        <f t="shared" si="73"/>
        <v>91537.131231705629</v>
      </c>
      <c r="CM13" s="49">
        <f t="shared" si="73"/>
        <v>91537.131231705629</v>
      </c>
      <c r="CN13" s="49">
        <f t="shared" si="73"/>
        <v>91537.131231705629</v>
      </c>
      <c r="CO13" s="49">
        <f t="shared" si="73"/>
        <v>91537.131231705629</v>
      </c>
      <c r="CP13" s="49">
        <f t="shared" si="73"/>
        <v>91537.131231705629</v>
      </c>
      <c r="CQ13" s="49">
        <f t="shared" si="73"/>
        <v>91537.131231705629</v>
      </c>
      <c r="CR13" s="49">
        <f t="shared" si="73"/>
        <v>91537.131231705629</v>
      </c>
      <c r="CS13" s="49">
        <f t="shared" si="73"/>
        <v>91537.131231705629</v>
      </c>
      <c r="CT13" s="49">
        <f t="shared" si="73"/>
        <v>91537.131231705629</v>
      </c>
      <c r="CU13" s="49">
        <f t="shared" si="73"/>
        <v>91537.131231705629</v>
      </c>
      <c r="CV13" s="49">
        <f t="shared" si="73"/>
        <v>91537.131231705629</v>
      </c>
      <c r="CW13" s="49">
        <f t="shared" si="73"/>
        <v>91537.131231705629</v>
      </c>
      <c r="CX13" s="49">
        <f t="shared" si="73"/>
        <v>91537.131231705629</v>
      </c>
      <c r="CY13" s="49">
        <f t="shared" si="73"/>
        <v>91537.131231705629</v>
      </c>
      <c r="CZ13" s="49">
        <f t="shared" si="73"/>
        <v>91537.131231705629</v>
      </c>
      <c r="DA13" s="49">
        <f t="shared" si="73"/>
        <v>91537.131231705629</v>
      </c>
      <c r="DB13" s="49">
        <f t="shared" si="73"/>
        <v>91537.131231705629</v>
      </c>
      <c r="DC13" s="49">
        <f t="shared" si="73"/>
        <v>91537.131231705629</v>
      </c>
      <c r="DD13" s="49">
        <f t="shared" si="73"/>
        <v>91537.131231705629</v>
      </c>
      <c r="DE13" s="49">
        <f t="shared" si="73"/>
        <v>91537.131231705629</v>
      </c>
      <c r="DF13" s="49">
        <f t="shared" si="73"/>
        <v>91537.131231705629</v>
      </c>
      <c r="DG13" s="49">
        <f t="shared" si="73"/>
        <v>91537.131231705629</v>
      </c>
      <c r="DH13" s="49">
        <f t="shared" si="73"/>
        <v>91537.131231705629</v>
      </c>
      <c r="DI13" s="49">
        <f t="shared" si="73"/>
        <v>91537.131231705629</v>
      </c>
      <c r="DJ13" s="49">
        <f t="shared" si="73"/>
        <v>91537.131231705629</v>
      </c>
      <c r="DK13" s="49">
        <f t="shared" si="73"/>
        <v>91537.131231705629</v>
      </c>
      <c r="DL13" s="49">
        <f t="shared" si="73"/>
        <v>91537.131231705629</v>
      </c>
      <c r="DM13" s="49">
        <f t="shared" si="73"/>
        <v>91537.131231705629</v>
      </c>
      <c r="DN13" s="49">
        <f t="shared" si="73"/>
        <v>91537.131231705629</v>
      </c>
      <c r="DO13" s="49">
        <f t="shared" si="73"/>
        <v>91537.131231705629</v>
      </c>
      <c r="DP13" s="49">
        <f t="shared" si="73"/>
        <v>91537.131231705629</v>
      </c>
      <c r="DQ13" s="49">
        <f t="shared" si="73"/>
        <v>91537.131231705629</v>
      </c>
      <c r="DR13" s="49">
        <f t="shared" si="73"/>
        <v>91537.131231705629</v>
      </c>
      <c r="DS13" s="49">
        <f t="shared" si="73"/>
        <v>91537.131231705629</v>
      </c>
      <c r="DT13" s="49">
        <f t="shared" si="73"/>
        <v>91537.131231705629</v>
      </c>
      <c r="DU13" s="49">
        <f t="shared" si="73"/>
        <v>91537.131231705629</v>
      </c>
      <c r="DV13" s="49">
        <f t="shared" si="73"/>
        <v>91537.131231705629</v>
      </c>
      <c r="DW13" s="49">
        <f t="shared" si="73"/>
        <v>91537.131231705629</v>
      </c>
      <c r="DX13" s="49">
        <f t="shared" si="73"/>
        <v>91537.131231705629</v>
      </c>
      <c r="DY13" s="49">
        <f t="shared" si="73"/>
        <v>91537.131231705629</v>
      </c>
      <c r="DZ13" s="49">
        <f t="shared" si="73"/>
        <v>91537.131231705629</v>
      </c>
      <c r="EA13" s="49">
        <f t="shared" si="73"/>
        <v>91537.131231705629</v>
      </c>
      <c r="EB13" s="49">
        <f t="shared" si="73"/>
        <v>91537.131231705629</v>
      </c>
      <c r="EC13" s="49">
        <f t="shared" si="73"/>
        <v>91537.131231705629</v>
      </c>
      <c r="ED13" s="49">
        <f t="shared" si="73"/>
        <v>91537.131231705629</v>
      </c>
      <c r="EE13" s="139">
        <f t="shared" si="67"/>
        <v>11148194.785670185</v>
      </c>
    </row>
    <row r="14" spans="1:135" s="28" customFormat="1" ht="12.75">
      <c r="C14" s="102" t="s">
        <v>34</v>
      </c>
      <c r="D14" s="105"/>
      <c r="E14" s="49"/>
      <c r="F14" s="49"/>
      <c r="G14" s="49"/>
      <c r="H14" s="7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139">
        <f t="shared" si="67"/>
        <v>0</v>
      </c>
    </row>
    <row r="15" spans="1:135" s="28" customFormat="1" ht="12.75">
      <c r="C15" s="102" t="s">
        <v>35</v>
      </c>
      <c r="D15" s="105"/>
      <c r="E15" s="49"/>
      <c r="F15" s="49"/>
      <c r="G15" s="49"/>
      <c r="H15" s="7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139">
        <f t="shared" si="67"/>
        <v>0</v>
      </c>
    </row>
    <row r="16" spans="1:135" s="28" customFormat="1" ht="12.75">
      <c r="C16" s="102" t="s">
        <v>36</v>
      </c>
      <c r="D16" s="105"/>
      <c r="E16" s="49"/>
      <c r="F16" s="49"/>
      <c r="G16" s="49"/>
      <c r="H16" s="7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139">
        <f t="shared" si="67"/>
        <v>0</v>
      </c>
    </row>
    <row r="17" spans="1:135" s="28" customFormat="1" ht="12.75">
      <c r="C17" s="102" t="s">
        <v>37</v>
      </c>
      <c r="D17" s="105"/>
      <c r="E17" s="49"/>
      <c r="F17" s="49"/>
      <c r="G17" s="49"/>
      <c r="H17" s="7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139">
        <f t="shared" si="67"/>
        <v>0</v>
      </c>
    </row>
    <row r="18" spans="1:135" s="108" customFormat="1" ht="12.75">
      <c r="A18" s="235">
        <f>D19+D20</f>
        <v>0.17599999999999999</v>
      </c>
      <c r="B18" s="236"/>
      <c r="C18" s="89" t="s">
        <v>309</v>
      </c>
      <c r="D18" s="105"/>
      <c r="E18" s="106"/>
      <c r="F18" s="106"/>
      <c r="G18" s="106"/>
      <c r="H18" s="107"/>
      <c r="I18" s="106"/>
      <c r="J18" s="106"/>
      <c r="K18" s="106"/>
      <c r="L18" s="106">
        <f>L19+L20+L21</f>
        <v>150007</v>
      </c>
      <c r="M18" s="106">
        <f t="shared" ref="M18:BX18" si="74">M19+M20+M21</f>
        <v>208343</v>
      </c>
      <c r="N18" s="106">
        <f t="shared" si="74"/>
        <v>212449</v>
      </c>
      <c r="O18" s="106">
        <f t="shared" si="74"/>
        <v>212449</v>
      </c>
      <c r="P18" s="106">
        <f t="shared" si="74"/>
        <v>212449</v>
      </c>
      <c r="Q18" s="106">
        <f t="shared" si="74"/>
        <v>212449</v>
      </c>
      <c r="R18" s="106">
        <f t="shared" si="74"/>
        <v>216637</v>
      </c>
      <c r="S18" s="106">
        <f t="shared" si="74"/>
        <v>216637</v>
      </c>
      <c r="T18" s="106">
        <f t="shared" si="74"/>
        <v>216637</v>
      </c>
      <c r="U18" s="106">
        <f t="shared" si="74"/>
        <v>216637</v>
      </c>
      <c r="V18" s="106">
        <f t="shared" si="74"/>
        <v>220908</v>
      </c>
      <c r="W18" s="106">
        <f t="shared" si="74"/>
        <v>220908</v>
      </c>
      <c r="X18" s="106">
        <f t="shared" si="74"/>
        <v>220908</v>
      </c>
      <c r="Y18" s="106">
        <f t="shared" si="74"/>
        <v>220908</v>
      </c>
      <c r="Z18" s="106">
        <f t="shared" si="74"/>
        <v>225266</v>
      </c>
      <c r="AA18" s="106">
        <f t="shared" si="74"/>
        <v>225266</v>
      </c>
      <c r="AB18" s="106">
        <f t="shared" si="74"/>
        <v>225266</v>
      </c>
      <c r="AC18" s="106">
        <f t="shared" si="74"/>
        <v>225266</v>
      </c>
      <c r="AD18" s="106">
        <f t="shared" si="74"/>
        <v>229711</v>
      </c>
      <c r="AE18" s="106">
        <f t="shared" si="74"/>
        <v>229711</v>
      </c>
      <c r="AF18" s="106">
        <f t="shared" si="74"/>
        <v>229711</v>
      </c>
      <c r="AG18" s="106">
        <f t="shared" si="74"/>
        <v>229711</v>
      </c>
      <c r="AH18" s="106">
        <f t="shared" si="74"/>
        <v>229711</v>
      </c>
      <c r="AI18" s="106">
        <f t="shared" si="74"/>
        <v>229711</v>
      </c>
      <c r="AJ18" s="106">
        <f t="shared" si="74"/>
        <v>229711</v>
      </c>
      <c r="AK18" s="106">
        <f t="shared" si="74"/>
        <v>229711</v>
      </c>
      <c r="AL18" s="106">
        <f t="shared" si="74"/>
        <v>229711</v>
      </c>
      <c r="AM18" s="106">
        <f t="shared" si="74"/>
        <v>229711</v>
      </c>
      <c r="AN18" s="106">
        <f t="shared" si="74"/>
        <v>229711</v>
      </c>
      <c r="AO18" s="106">
        <f t="shared" si="74"/>
        <v>229711</v>
      </c>
      <c r="AP18" s="106">
        <f t="shared" si="74"/>
        <v>229711</v>
      </c>
      <c r="AQ18" s="106">
        <f t="shared" si="74"/>
        <v>229711</v>
      </c>
      <c r="AR18" s="106">
        <f t="shared" si="74"/>
        <v>229711</v>
      </c>
      <c r="AS18" s="106">
        <f t="shared" si="74"/>
        <v>229711</v>
      </c>
      <c r="AT18" s="106">
        <f t="shared" si="74"/>
        <v>229711</v>
      </c>
      <c r="AU18" s="106">
        <f t="shared" si="74"/>
        <v>229711</v>
      </c>
      <c r="AV18" s="106">
        <f t="shared" si="74"/>
        <v>229711</v>
      </c>
      <c r="AW18" s="106">
        <f t="shared" si="74"/>
        <v>229711</v>
      </c>
      <c r="AX18" s="106">
        <f t="shared" si="74"/>
        <v>229711</v>
      </c>
      <c r="AY18" s="106">
        <f t="shared" si="74"/>
        <v>229711</v>
      </c>
      <c r="AZ18" s="106">
        <f t="shared" si="74"/>
        <v>229711</v>
      </c>
      <c r="BA18" s="106">
        <f t="shared" si="74"/>
        <v>229711</v>
      </c>
      <c r="BB18" s="106">
        <f t="shared" si="74"/>
        <v>229711</v>
      </c>
      <c r="BC18" s="106">
        <f t="shared" si="74"/>
        <v>229711</v>
      </c>
      <c r="BD18" s="106">
        <f t="shared" si="74"/>
        <v>229711</v>
      </c>
      <c r="BE18" s="106">
        <f t="shared" si="74"/>
        <v>229711</v>
      </c>
      <c r="BF18" s="106">
        <f t="shared" si="74"/>
        <v>229711</v>
      </c>
      <c r="BG18" s="106">
        <f t="shared" si="74"/>
        <v>229711</v>
      </c>
      <c r="BH18" s="106">
        <f t="shared" si="74"/>
        <v>229711</v>
      </c>
      <c r="BI18" s="106">
        <f t="shared" si="74"/>
        <v>229711</v>
      </c>
      <c r="BJ18" s="106">
        <f t="shared" si="74"/>
        <v>229711</v>
      </c>
      <c r="BK18" s="106">
        <f t="shared" si="74"/>
        <v>229711</v>
      </c>
      <c r="BL18" s="106">
        <f t="shared" si="74"/>
        <v>229711</v>
      </c>
      <c r="BM18" s="106">
        <f t="shared" si="74"/>
        <v>229711</v>
      </c>
      <c r="BN18" s="106">
        <f t="shared" si="74"/>
        <v>229711</v>
      </c>
      <c r="BO18" s="106">
        <f t="shared" si="74"/>
        <v>229711</v>
      </c>
      <c r="BP18" s="106">
        <f t="shared" si="74"/>
        <v>229711</v>
      </c>
      <c r="BQ18" s="106">
        <f t="shared" si="74"/>
        <v>229711</v>
      </c>
      <c r="BR18" s="106">
        <f t="shared" si="74"/>
        <v>229711</v>
      </c>
      <c r="BS18" s="106">
        <f t="shared" si="74"/>
        <v>229711</v>
      </c>
      <c r="BT18" s="106">
        <f t="shared" si="74"/>
        <v>229711</v>
      </c>
      <c r="BU18" s="106">
        <f t="shared" si="74"/>
        <v>229711</v>
      </c>
      <c r="BV18" s="106">
        <f t="shared" si="74"/>
        <v>229711</v>
      </c>
      <c r="BW18" s="106">
        <f t="shared" si="74"/>
        <v>229711</v>
      </c>
      <c r="BX18" s="106">
        <f t="shared" si="74"/>
        <v>229711</v>
      </c>
      <c r="BY18" s="106">
        <f t="shared" ref="BY18:ED18" si="75">BY19+BY20+BY21</f>
        <v>229711</v>
      </c>
      <c r="BZ18" s="106">
        <f t="shared" si="75"/>
        <v>229711</v>
      </c>
      <c r="CA18" s="106">
        <f t="shared" si="75"/>
        <v>229711</v>
      </c>
      <c r="CB18" s="106">
        <f t="shared" si="75"/>
        <v>229711</v>
      </c>
      <c r="CC18" s="106">
        <f t="shared" si="75"/>
        <v>229711</v>
      </c>
      <c r="CD18" s="106">
        <f t="shared" si="75"/>
        <v>229711</v>
      </c>
      <c r="CE18" s="106">
        <f t="shared" si="75"/>
        <v>229711</v>
      </c>
      <c r="CF18" s="106">
        <f t="shared" si="75"/>
        <v>229711</v>
      </c>
      <c r="CG18" s="106">
        <f t="shared" si="75"/>
        <v>229711</v>
      </c>
      <c r="CH18" s="106">
        <f t="shared" si="75"/>
        <v>229711</v>
      </c>
      <c r="CI18" s="106">
        <f t="shared" si="75"/>
        <v>229711</v>
      </c>
      <c r="CJ18" s="106">
        <f t="shared" si="75"/>
        <v>229711</v>
      </c>
      <c r="CK18" s="106">
        <f t="shared" si="75"/>
        <v>229711</v>
      </c>
      <c r="CL18" s="106">
        <f t="shared" si="75"/>
        <v>229711</v>
      </c>
      <c r="CM18" s="106">
        <f t="shared" si="75"/>
        <v>229711</v>
      </c>
      <c r="CN18" s="106">
        <f t="shared" si="75"/>
        <v>229711</v>
      </c>
      <c r="CO18" s="106">
        <f t="shared" si="75"/>
        <v>229711</v>
      </c>
      <c r="CP18" s="106">
        <f t="shared" si="75"/>
        <v>229711</v>
      </c>
      <c r="CQ18" s="106">
        <f t="shared" si="75"/>
        <v>229711</v>
      </c>
      <c r="CR18" s="106">
        <f t="shared" si="75"/>
        <v>229711</v>
      </c>
      <c r="CS18" s="106">
        <f t="shared" si="75"/>
        <v>229711</v>
      </c>
      <c r="CT18" s="106">
        <f t="shared" si="75"/>
        <v>229711</v>
      </c>
      <c r="CU18" s="106">
        <f t="shared" si="75"/>
        <v>229711</v>
      </c>
      <c r="CV18" s="106">
        <f t="shared" si="75"/>
        <v>229711</v>
      </c>
      <c r="CW18" s="106">
        <f t="shared" si="75"/>
        <v>229711</v>
      </c>
      <c r="CX18" s="106">
        <f t="shared" si="75"/>
        <v>229711</v>
      </c>
      <c r="CY18" s="106">
        <f t="shared" si="75"/>
        <v>229711</v>
      </c>
      <c r="CZ18" s="106">
        <f t="shared" si="75"/>
        <v>229711</v>
      </c>
      <c r="DA18" s="106">
        <f t="shared" si="75"/>
        <v>229711</v>
      </c>
      <c r="DB18" s="106">
        <f t="shared" si="75"/>
        <v>229711</v>
      </c>
      <c r="DC18" s="106">
        <f t="shared" si="75"/>
        <v>229711</v>
      </c>
      <c r="DD18" s="106">
        <f t="shared" si="75"/>
        <v>229711</v>
      </c>
      <c r="DE18" s="106">
        <f t="shared" si="75"/>
        <v>229711</v>
      </c>
      <c r="DF18" s="106">
        <f t="shared" si="75"/>
        <v>229711</v>
      </c>
      <c r="DG18" s="106">
        <f t="shared" si="75"/>
        <v>229711</v>
      </c>
      <c r="DH18" s="106">
        <f t="shared" si="75"/>
        <v>229711</v>
      </c>
      <c r="DI18" s="106">
        <f t="shared" si="75"/>
        <v>229711</v>
      </c>
      <c r="DJ18" s="106">
        <f t="shared" si="75"/>
        <v>229711</v>
      </c>
      <c r="DK18" s="106">
        <f t="shared" si="75"/>
        <v>229711</v>
      </c>
      <c r="DL18" s="106">
        <f t="shared" si="75"/>
        <v>229711</v>
      </c>
      <c r="DM18" s="106">
        <f t="shared" si="75"/>
        <v>229711</v>
      </c>
      <c r="DN18" s="106">
        <f t="shared" si="75"/>
        <v>229711</v>
      </c>
      <c r="DO18" s="106">
        <f t="shared" si="75"/>
        <v>229711</v>
      </c>
      <c r="DP18" s="106">
        <f t="shared" si="75"/>
        <v>229711</v>
      </c>
      <c r="DQ18" s="106">
        <f t="shared" si="75"/>
        <v>229711</v>
      </c>
      <c r="DR18" s="106">
        <f t="shared" si="75"/>
        <v>229711</v>
      </c>
      <c r="DS18" s="106">
        <f t="shared" si="75"/>
        <v>229711</v>
      </c>
      <c r="DT18" s="106">
        <f t="shared" si="75"/>
        <v>229711</v>
      </c>
      <c r="DU18" s="106">
        <f t="shared" si="75"/>
        <v>229711</v>
      </c>
      <c r="DV18" s="106">
        <f t="shared" si="75"/>
        <v>229711</v>
      </c>
      <c r="DW18" s="106">
        <f t="shared" si="75"/>
        <v>229711</v>
      </c>
      <c r="DX18" s="106">
        <f t="shared" si="75"/>
        <v>229711</v>
      </c>
      <c r="DY18" s="106">
        <f t="shared" si="75"/>
        <v>229711</v>
      </c>
      <c r="DZ18" s="106">
        <f t="shared" si="75"/>
        <v>229711</v>
      </c>
      <c r="EA18" s="106">
        <f t="shared" si="75"/>
        <v>229711</v>
      </c>
      <c r="EB18" s="106">
        <f t="shared" si="75"/>
        <v>229711</v>
      </c>
      <c r="EC18" s="106">
        <f t="shared" si="75"/>
        <v>229711</v>
      </c>
      <c r="ED18" s="106">
        <f t="shared" si="75"/>
        <v>229711</v>
      </c>
      <c r="EE18" s="139">
        <f t="shared" si="67"/>
        <v>27979045</v>
      </c>
    </row>
    <row r="19" spans="1:135" s="28" customFormat="1" ht="12.75">
      <c r="C19" s="88" t="s">
        <v>294</v>
      </c>
      <c r="D19" s="105">
        <v>0.12</v>
      </c>
      <c r="E19" s="49"/>
      <c r="F19" s="49"/>
      <c r="G19" s="49"/>
      <c r="H19" s="79"/>
      <c r="I19" s="49"/>
      <c r="J19" s="49"/>
      <c r="K19" s="49"/>
      <c r="L19" s="49">
        <f>ROUND(L7*$D$19,0)</f>
        <v>102332</v>
      </c>
      <c r="M19" s="49">
        <f t="shared" ref="M19:BX19" si="76">ROUND(M7*$D$19,0)</f>
        <v>142128</v>
      </c>
      <c r="N19" s="49">
        <f t="shared" si="76"/>
        <v>144971</v>
      </c>
      <c r="O19" s="49">
        <f t="shared" si="76"/>
        <v>144971</v>
      </c>
      <c r="P19" s="49">
        <f t="shared" si="76"/>
        <v>144971</v>
      </c>
      <c r="Q19" s="49">
        <f t="shared" si="76"/>
        <v>144971</v>
      </c>
      <c r="R19" s="49">
        <f t="shared" si="76"/>
        <v>147870</v>
      </c>
      <c r="S19" s="49">
        <f t="shared" si="76"/>
        <v>147870</v>
      </c>
      <c r="T19" s="49">
        <f t="shared" si="76"/>
        <v>147870</v>
      </c>
      <c r="U19" s="49">
        <f t="shared" si="76"/>
        <v>147870</v>
      </c>
      <c r="V19" s="49">
        <f t="shared" si="76"/>
        <v>150827</v>
      </c>
      <c r="W19" s="49">
        <f t="shared" si="76"/>
        <v>150827</v>
      </c>
      <c r="X19" s="49">
        <f t="shared" si="76"/>
        <v>150827</v>
      </c>
      <c r="Y19" s="49">
        <f t="shared" si="76"/>
        <v>150827</v>
      </c>
      <c r="Z19" s="49">
        <f t="shared" si="76"/>
        <v>153844</v>
      </c>
      <c r="AA19" s="49">
        <f t="shared" si="76"/>
        <v>153844</v>
      </c>
      <c r="AB19" s="49">
        <f t="shared" si="76"/>
        <v>153844</v>
      </c>
      <c r="AC19" s="49">
        <f t="shared" si="76"/>
        <v>153844</v>
      </c>
      <c r="AD19" s="49">
        <f t="shared" si="76"/>
        <v>156921</v>
      </c>
      <c r="AE19" s="49">
        <f t="shared" si="76"/>
        <v>156921</v>
      </c>
      <c r="AF19" s="49">
        <f t="shared" si="76"/>
        <v>156921</v>
      </c>
      <c r="AG19" s="49">
        <f t="shared" si="76"/>
        <v>156921</v>
      </c>
      <c r="AH19" s="49">
        <f t="shared" si="76"/>
        <v>156921</v>
      </c>
      <c r="AI19" s="49">
        <f t="shared" si="76"/>
        <v>156921</v>
      </c>
      <c r="AJ19" s="49">
        <f t="shared" si="76"/>
        <v>156921</v>
      </c>
      <c r="AK19" s="49">
        <f t="shared" si="76"/>
        <v>156921</v>
      </c>
      <c r="AL19" s="49">
        <f t="shared" si="76"/>
        <v>156921</v>
      </c>
      <c r="AM19" s="49">
        <f t="shared" si="76"/>
        <v>156921</v>
      </c>
      <c r="AN19" s="49">
        <f t="shared" si="76"/>
        <v>156921</v>
      </c>
      <c r="AO19" s="49">
        <f t="shared" si="76"/>
        <v>156921</v>
      </c>
      <c r="AP19" s="49">
        <f t="shared" si="76"/>
        <v>156921</v>
      </c>
      <c r="AQ19" s="49">
        <f t="shared" si="76"/>
        <v>156921</v>
      </c>
      <c r="AR19" s="49">
        <f t="shared" si="76"/>
        <v>156921</v>
      </c>
      <c r="AS19" s="49">
        <f t="shared" si="76"/>
        <v>156921</v>
      </c>
      <c r="AT19" s="49">
        <f t="shared" si="76"/>
        <v>156921</v>
      </c>
      <c r="AU19" s="49">
        <f t="shared" si="76"/>
        <v>156921</v>
      </c>
      <c r="AV19" s="49">
        <f t="shared" si="76"/>
        <v>156921</v>
      </c>
      <c r="AW19" s="49">
        <f t="shared" si="76"/>
        <v>156921</v>
      </c>
      <c r="AX19" s="49">
        <f t="shared" si="76"/>
        <v>156921</v>
      </c>
      <c r="AY19" s="49">
        <f t="shared" si="76"/>
        <v>156921</v>
      </c>
      <c r="AZ19" s="49">
        <f t="shared" si="76"/>
        <v>156921</v>
      </c>
      <c r="BA19" s="49">
        <f t="shared" si="76"/>
        <v>156921</v>
      </c>
      <c r="BB19" s="49">
        <f t="shared" si="76"/>
        <v>156921</v>
      </c>
      <c r="BC19" s="49">
        <f t="shared" si="76"/>
        <v>156921</v>
      </c>
      <c r="BD19" s="49">
        <f t="shared" si="76"/>
        <v>156921</v>
      </c>
      <c r="BE19" s="49">
        <f t="shared" si="76"/>
        <v>156921</v>
      </c>
      <c r="BF19" s="49">
        <f t="shared" si="76"/>
        <v>156921</v>
      </c>
      <c r="BG19" s="49">
        <f t="shared" si="76"/>
        <v>156921</v>
      </c>
      <c r="BH19" s="49">
        <f t="shared" si="76"/>
        <v>156921</v>
      </c>
      <c r="BI19" s="49">
        <f t="shared" si="76"/>
        <v>156921</v>
      </c>
      <c r="BJ19" s="49">
        <f t="shared" si="76"/>
        <v>156921</v>
      </c>
      <c r="BK19" s="49">
        <f t="shared" si="76"/>
        <v>156921</v>
      </c>
      <c r="BL19" s="49">
        <f t="shared" si="76"/>
        <v>156921</v>
      </c>
      <c r="BM19" s="49">
        <f t="shared" si="76"/>
        <v>156921</v>
      </c>
      <c r="BN19" s="49">
        <f t="shared" si="76"/>
        <v>156921</v>
      </c>
      <c r="BO19" s="49">
        <f t="shared" si="76"/>
        <v>156921</v>
      </c>
      <c r="BP19" s="49">
        <f t="shared" si="76"/>
        <v>156921</v>
      </c>
      <c r="BQ19" s="49">
        <f t="shared" si="76"/>
        <v>156921</v>
      </c>
      <c r="BR19" s="49">
        <f t="shared" si="76"/>
        <v>156921</v>
      </c>
      <c r="BS19" s="49">
        <f t="shared" si="76"/>
        <v>156921</v>
      </c>
      <c r="BT19" s="49">
        <f t="shared" si="76"/>
        <v>156921</v>
      </c>
      <c r="BU19" s="49">
        <f t="shared" si="76"/>
        <v>156921</v>
      </c>
      <c r="BV19" s="49">
        <f t="shared" si="76"/>
        <v>156921</v>
      </c>
      <c r="BW19" s="49">
        <f t="shared" si="76"/>
        <v>156921</v>
      </c>
      <c r="BX19" s="49">
        <f t="shared" si="76"/>
        <v>156921</v>
      </c>
      <c r="BY19" s="49">
        <f t="shared" ref="BY19:ED19" si="77">ROUND(BY7*$D$19,0)</f>
        <v>156921</v>
      </c>
      <c r="BZ19" s="49">
        <f t="shared" si="77"/>
        <v>156921</v>
      </c>
      <c r="CA19" s="49">
        <f t="shared" si="77"/>
        <v>156921</v>
      </c>
      <c r="CB19" s="49">
        <f t="shared" si="77"/>
        <v>156921</v>
      </c>
      <c r="CC19" s="49">
        <f t="shared" si="77"/>
        <v>156921</v>
      </c>
      <c r="CD19" s="49">
        <f t="shared" si="77"/>
        <v>156921</v>
      </c>
      <c r="CE19" s="49">
        <f t="shared" si="77"/>
        <v>156921</v>
      </c>
      <c r="CF19" s="49">
        <f t="shared" si="77"/>
        <v>156921</v>
      </c>
      <c r="CG19" s="49">
        <f t="shared" si="77"/>
        <v>156921</v>
      </c>
      <c r="CH19" s="49">
        <f t="shared" si="77"/>
        <v>156921</v>
      </c>
      <c r="CI19" s="49">
        <f t="shared" si="77"/>
        <v>156921</v>
      </c>
      <c r="CJ19" s="49">
        <f t="shared" si="77"/>
        <v>156921</v>
      </c>
      <c r="CK19" s="49">
        <f t="shared" si="77"/>
        <v>156921</v>
      </c>
      <c r="CL19" s="49">
        <f t="shared" si="77"/>
        <v>156921</v>
      </c>
      <c r="CM19" s="49">
        <f t="shared" si="77"/>
        <v>156921</v>
      </c>
      <c r="CN19" s="49">
        <f t="shared" si="77"/>
        <v>156921</v>
      </c>
      <c r="CO19" s="49">
        <f t="shared" si="77"/>
        <v>156921</v>
      </c>
      <c r="CP19" s="49">
        <f t="shared" si="77"/>
        <v>156921</v>
      </c>
      <c r="CQ19" s="49">
        <f t="shared" si="77"/>
        <v>156921</v>
      </c>
      <c r="CR19" s="49">
        <f t="shared" si="77"/>
        <v>156921</v>
      </c>
      <c r="CS19" s="49">
        <f t="shared" si="77"/>
        <v>156921</v>
      </c>
      <c r="CT19" s="49">
        <f t="shared" si="77"/>
        <v>156921</v>
      </c>
      <c r="CU19" s="49">
        <f t="shared" si="77"/>
        <v>156921</v>
      </c>
      <c r="CV19" s="49">
        <f t="shared" si="77"/>
        <v>156921</v>
      </c>
      <c r="CW19" s="49">
        <f t="shared" si="77"/>
        <v>156921</v>
      </c>
      <c r="CX19" s="49">
        <f t="shared" si="77"/>
        <v>156921</v>
      </c>
      <c r="CY19" s="49">
        <f t="shared" si="77"/>
        <v>156921</v>
      </c>
      <c r="CZ19" s="49">
        <f t="shared" si="77"/>
        <v>156921</v>
      </c>
      <c r="DA19" s="49">
        <f t="shared" si="77"/>
        <v>156921</v>
      </c>
      <c r="DB19" s="49">
        <f t="shared" si="77"/>
        <v>156921</v>
      </c>
      <c r="DC19" s="49">
        <f t="shared" si="77"/>
        <v>156921</v>
      </c>
      <c r="DD19" s="49">
        <f t="shared" si="77"/>
        <v>156921</v>
      </c>
      <c r="DE19" s="49">
        <f t="shared" si="77"/>
        <v>156921</v>
      </c>
      <c r="DF19" s="49">
        <f t="shared" si="77"/>
        <v>156921</v>
      </c>
      <c r="DG19" s="49">
        <f t="shared" si="77"/>
        <v>156921</v>
      </c>
      <c r="DH19" s="49">
        <f t="shared" si="77"/>
        <v>156921</v>
      </c>
      <c r="DI19" s="49">
        <f t="shared" si="77"/>
        <v>156921</v>
      </c>
      <c r="DJ19" s="49">
        <f t="shared" si="77"/>
        <v>156921</v>
      </c>
      <c r="DK19" s="49">
        <f t="shared" si="77"/>
        <v>156921</v>
      </c>
      <c r="DL19" s="49">
        <f t="shared" si="77"/>
        <v>156921</v>
      </c>
      <c r="DM19" s="49">
        <f t="shared" si="77"/>
        <v>156921</v>
      </c>
      <c r="DN19" s="49">
        <f t="shared" si="77"/>
        <v>156921</v>
      </c>
      <c r="DO19" s="49">
        <f t="shared" si="77"/>
        <v>156921</v>
      </c>
      <c r="DP19" s="49">
        <f t="shared" si="77"/>
        <v>156921</v>
      </c>
      <c r="DQ19" s="49">
        <f t="shared" si="77"/>
        <v>156921</v>
      </c>
      <c r="DR19" s="49">
        <f t="shared" si="77"/>
        <v>156921</v>
      </c>
      <c r="DS19" s="49">
        <f t="shared" si="77"/>
        <v>156921</v>
      </c>
      <c r="DT19" s="49">
        <f t="shared" si="77"/>
        <v>156921</v>
      </c>
      <c r="DU19" s="49">
        <f t="shared" si="77"/>
        <v>156921</v>
      </c>
      <c r="DV19" s="49">
        <f t="shared" si="77"/>
        <v>156921</v>
      </c>
      <c r="DW19" s="49">
        <f t="shared" si="77"/>
        <v>156921</v>
      </c>
      <c r="DX19" s="49">
        <f t="shared" si="77"/>
        <v>156921</v>
      </c>
      <c r="DY19" s="49">
        <f t="shared" si="77"/>
        <v>156921</v>
      </c>
      <c r="DZ19" s="49">
        <f t="shared" si="77"/>
        <v>156921</v>
      </c>
      <c r="EA19" s="49">
        <f t="shared" si="77"/>
        <v>156921</v>
      </c>
      <c r="EB19" s="49">
        <f t="shared" si="77"/>
        <v>156921</v>
      </c>
      <c r="EC19" s="49">
        <f t="shared" si="77"/>
        <v>156921</v>
      </c>
      <c r="ED19" s="49">
        <f t="shared" si="77"/>
        <v>156921</v>
      </c>
      <c r="EE19" s="139">
        <f t="shared" si="67"/>
        <v>19111213</v>
      </c>
    </row>
    <row r="20" spans="1:135" s="28" customFormat="1" ht="12.75">
      <c r="C20" s="88" t="s">
        <v>295</v>
      </c>
      <c r="D20" s="105">
        <v>5.6000000000000001E-2</v>
      </c>
      <c r="E20" s="49"/>
      <c r="F20" s="49"/>
      <c r="G20" s="49"/>
      <c r="H20" s="79"/>
      <c r="I20" s="49"/>
      <c r="J20" s="49"/>
      <c r="K20" s="49"/>
      <c r="L20" s="49">
        <f>ROUND(L7*$D$20/(1+5%),0)</f>
        <v>45481</v>
      </c>
      <c r="M20" s="49">
        <f t="shared" ref="M20:BX20" si="78">ROUND(M7*$D$20/(1+5%),0)</f>
        <v>63168</v>
      </c>
      <c r="N20" s="49">
        <f t="shared" si="78"/>
        <v>64431</v>
      </c>
      <c r="O20" s="49">
        <f t="shared" si="78"/>
        <v>64431</v>
      </c>
      <c r="P20" s="49">
        <f t="shared" si="78"/>
        <v>64431</v>
      </c>
      <c r="Q20" s="49">
        <f t="shared" si="78"/>
        <v>64431</v>
      </c>
      <c r="R20" s="49">
        <f t="shared" si="78"/>
        <v>65720</v>
      </c>
      <c r="S20" s="49">
        <f t="shared" si="78"/>
        <v>65720</v>
      </c>
      <c r="T20" s="49">
        <f t="shared" si="78"/>
        <v>65720</v>
      </c>
      <c r="U20" s="49">
        <f t="shared" si="78"/>
        <v>65720</v>
      </c>
      <c r="V20" s="49">
        <f t="shared" si="78"/>
        <v>67034</v>
      </c>
      <c r="W20" s="49">
        <f t="shared" si="78"/>
        <v>67034</v>
      </c>
      <c r="X20" s="49">
        <f t="shared" si="78"/>
        <v>67034</v>
      </c>
      <c r="Y20" s="49">
        <f t="shared" si="78"/>
        <v>67034</v>
      </c>
      <c r="Z20" s="49">
        <f t="shared" si="78"/>
        <v>68375</v>
      </c>
      <c r="AA20" s="49">
        <f t="shared" si="78"/>
        <v>68375</v>
      </c>
      <c r="AB20" s="49">
        <f t="shared" si="78"/>
        <v>68375</v>
      </c>
      <c r="AC20" s="49">
        <f t="shared" si="78"/>
        <v>68375</v>
      </c>
      <c r="AD20" s="49">
        <f t="shared" si="78"/>
        <v>69743</v>
      </c>
      <c r="AE20" s="49">
        <f t="shared" si="78"/>
        <v>69743</v>
      </c>
      <c r="AF20" s="49">
        <f t="shared" si="78"/>
        <v>69743</v>
      </c>
      <c r="AG20" s="49">
        <f t="shared" si="78"/>
        <v>69743</v>
      </c>
      <c r="AH20" s="49">
        <f t="shared" si="78"/>
        <v>69743</v>
      </c>
      <c r="AI20" s="49">
        <f t="shared" si="78"/>
        <v>69743</v>
      </c>
      <c r="AJ20" s="49">
        <f t="shared" si="78"/>
        <v>69743</v>
      </c>
      <c r="AK20" s="49">
        <f t="shared" si="78"/>
        <v>69743</v>
      </c>
      <c r="AL20" s="49">
        <f t="shared" si="78"/>
        <v>69743</v>
      </c>
      <c r="AM20" s="49">
        <f t="shared" si="78"/>
        <v>69743</v>
      </c>
      <c r="AN20" s="49">
        <f t="shared" si="78"/>
        <v>69743</v>
      </c>
      <c r="AO20" s="49">
        <f t="shared" si="78"/>
        <v>69743</v>
      </c>
      <c r="AP20" s="49">
        <f t="shared" si="78"/>
        <v>69743</v>
      </c>
      <c r="AQ20" s="49">
        <f t="shared" si="78"/>
        <v>69743</v>
      </c>
      <c r="AR20" s="49">
        <f t="shared" si="78"/>
        <v>69743</v>
      </c>
      <c r="AS20" s="49">
        <f t="shared" si="78"/>
        <v>69743</v>
      </c>
      <c r="AT20" s="49">
        <f t="shared" si="78"/>
        <v>69743</v>
      </c>
      <c r="AU20" s="49">
        <f t="shared" si="78"/>
        <v>69743</v>
      </c>
      <c r="AV20" s="49">
        <f t="shared" si="78"/>
        <v>69743</v>
      </c>
      <c r="AW20" s="49">
        <f t="shared" si="78"/>
        <v>69743</v>
      </c>
      <c r="AX20" s="49">
        <f t="shared" si="78"/>
        <v>69743</v>
      </c>
      <c r="AY20" s="49">
        <f t="shared" si="78"/>
        <v>69743</v>
      </c>
      <c r="AZ20" s="49">
        <f t="shared" si="78"/>
        <v>69743</v>
      </c>
      <c r="BA20" s="49">
        <f t="shared" si="78"/>
        <v>69743</v>
      </c>
      <c r="BB20" s="49">
        <f t="shared" si="78"/>
        <v>69743</v>
      </c>
      <c r="BC20" s="49">
        <f t="shared" si="78"/>
        <v>69743</v>
      </c>
      <c r="BD20" s="49">
        <f t="shared" si="78"/>
        <v>69743</v>
      </c>
      <c r="BE20" s="49">
        <f t="shared" si="78"/>
        <v>69743</v>
      </c>
      <c r="BF20" s="49">
        <f t="shared" si="78"/>
        <v>69743</v>
      </c>
      <c r="BG20" s="49">
        <f t="shared" si="78"/>
        <v>69743</v>
      </c>
      <c r="BH20" s="49">
        <f t="shared" si="78"/>
        <v>69743</v>
      </c>
      <c r="BI20" s="49">
        <f t="shared" si="78"/>
        <v>69743</v>
      </c>
      <c r="BJ20" s="49">
        <f t="shared" si="78"/>
        <v>69743</v>
      </c>
      <c r="BK20" s="49">
        <f t="shared" si="78"/>
        <v>69743</v>
      </c>
      <c r="BL20" s="49">
        <f t="shared" si="78"/>
        <v>69743</v>
      </c>
      <c r="BM20" s="49">
        <f t="shared" si="78"/>
        <v>69743</v>
      </c>
      <c r="BN20" s="49">
        <f t="shared" si="78"/>
        <v>69743</v>
      </c>
      <c r="BO20" s="49">
        <f t="shared" si="78"/>
        <v>69743</v>
      </c>
      <c r="BP20" s="49">
        <f t="shared" si="78"/>
        <v>69743</v>
      </c>
      <c r="BQ20" s="49">
        <f t="shared" si="78"/>
        <v>69743</v>
      </c>
      <c r="BR20" s="49">
        <f t="shared" si="78"/>
        <v>69743</v>
      </c>
      <c r="BS20" s="49">
        <f t="shared" si="78"/>
        <v>69743</v>
      </c>
      <c r="BT20" s="49">
        <f t="shared" si="78"/>
        <v>69743</v>
      </c>
      <c r="BU20" s="49">
        <f t="shared" si="78"/>
        <v>69743</v>
      </c>
      <c r="BV20" s="49">
        <f t="shared" si="78"/>
        <v>69743</v>
      </c>
      <c r="BW20" s="49">
        <f t="shared" si="78"/>
        <v>69743</v>
      </c>
      <c r="BX20" s="49">
        <f t="shared" si="78"/>
        <v>69743</v>
      </c>
      <c r="BY20" s="49">
        <f t="shared" ref="BY20:ED20" si="79">ROUND(BY7*$D$20/(1+5%),0)</f>
        <v>69743</v>
      </c>
      <c r="BZ20" s="49">
        <f t="shared" si="79"/>
        <v>69743</v>
      </c>
      <c r="CA20" s="49">
        <f t="shared" si="79"/>
        <v>69743</v>
      </c>
      <c r="CB20" s="49">
        <f t="shared" si="79"/>
        <v>69743</v>
      </c>
      <c r="CC20" s="49">
        <f t="shared" si="79"/>
        <v>69743</v>
      </c>
      <c r="CD20" s="49">
        <f t="shared" si="79"/>
        <v>69743</v>
      </c>
      <c r="CE20" s="49">
        <f t="shared" si="79"/>
        <v>69743</v>
      </c>
      <c r="CF20" s="49">
        <f t="shared" si="79"/>
        <v>69743</v>
      </c>
      <c r="CG20" s="49">
        <f t="shared" si="79"/>
        <v>69743</v>
      </c>
      <c r="CH20" s="49">
        <f t="shared" si="79"/>
        <v>69743</v>
      </c>
      <c r="CI20" s="49">
        <f t="shared" si="79"/>
        <v>69743</v>
      </c>
      <c r="CJ20" s="49">
        <f t="shared" si="79"/>
        <v>69743</v>
      </c>
      <c r="CK20" s="49">
        <f t="shared" si="79"/>
        <v>69743</v>
      </c>
      <c r="CL20" s="49">
        <f t="shared" si="79"/>
        <v>69743</v>
      </c>
      <c r="CM20" s="49">
        <f t="shared" si="79"/>
        <v>69743</v>
      </c>
      <c r="CN20" s="49">
        <f t="shared" si="79"/>
        <v>69743</v>
      </c>
      <c r="CO20" s="49">
        <f t="shared" si="79"/>
        <v>69743</v>
      </c>
      <c r="CP20" s="49">
        <f t="shared" si="79"/>
        <v>69743</v>
      </c>
      <c r="CQ20" s="49">
        <f t="shared" si="79"/>
        <v>69743</v>
      </c>
      <c r="CR20" s="49">
        <f t="shared" si="79"/>
        <v>69743</v>
      </c>
      <c r="CS20" s="49">
        <f t="shared" si="79"/>
        <v>69743</v>
      </c>
      <c r="CT20" s="49">
        <f t="shared" si="79"/>
        <v>69743</v>
      </c>
      <c r="CU20" s="49">
        <f t="shared" si="79"/>
        <v>69743</v>
      </c>
      <c r="CV20" s="49">
        <f t="shared" si="79"/>
        <v>69743</v>
      </c>
      <c r="CW20" s="49">
        <f t="shared" si="79"/>
        <v>69743</v>
      </c>
      <c r="CX20" s="49">
        <f t="shared" si="79"/>
        <v>69743</v>
      </c>
      <c r="CY20" s="49">
        <f t="shared" si="79"/>
        <v>69743</v>
      </c>
      <c r="CZ20" s="49">
        <f t="shared" si="79"/>
        <v>69743</v>
      </c>
      <c r="DA20" s="49">
        <f t="shared" si="79"/>
        <v>69743</v>
      </c>
      <c r="DB20" s="49">
        <f t="shared" si="79"/>
        <v>69743</v>
      </c>
      <c r="DC20" s="49">
        <f t="shared" si="79"/>
        <v>69743</v>
      </c>
      <c r="DD20" s="49">
        <f t="shared" si="79"/>
        <v>69743</v>
      </c>
      <c r="DE20" s="49">
        <f t="shared" si="79"/>
        <v>69743</v>
      </c>
      <c r="DF20" s="49">
        <f t="shared" si="79"/>
        <v>69743</v>
      </c>
      <c r="DG20" s="49">
        <f t="shared" si="79"/>
        <v>69743</v>
      </c>
      <c r="DH20" s="49">
        <f t="shared" si="79"/>
        <v>69743</v>
      </c>
      <c r="DI20" s="49">
        <f t="shared" si="79"/>
        <v>69743</v>
      </c>
      <c r="DJ20" s="49">
        <f t="shared" si="79"/>
        <v>69743</v>
      </c>
      <c r="DK20" s="49">
        <f t="shared" si="79"/>
        <v>69743</v>
      </c>
      <c r="DL20" s="49">
        <f t="shared" si="79"/>
        <v>69743</v>
      </c>
      <c r="DM20" s="49">
        <f t="shared" si="79"/>
        <v>69743</v>
      </c>
      <c r="DN20" s="49">
        <f t="shared" si="79"/>
        <v>69743</v>
      </c>
      <c r="DO20" s="49">
        <f t="shared" si="79"/>
        <v>69743</v>
      </c>
      <c r="DP20" s="49">
        <f t="shared" si="79"/>
        <v>69743</v>
      </c>
      <c r="DQ20" s="49">
        <f t="shared" si="79"/>
        <v>69743</v>
      </c>
      <c r="DR20" s="49">
        <f t="shared" si="79"/>
        <v>69743</v>
      </c>
      <c r="DS20" s="49">
        <f t="shared" si="79"/>
        <v>69743</v>
      </c>
      <c r="DT20" s="49">
        <f t="shared" si="79"/>
        <v>69743</v>
      </c>
      <c r="DU20" s="49">
        <f t="shared" si="79"/>
        <v>69743</v>
      </c>
      <c r="DV20" s="49">
        <f t="shared" si="79"/>
        <v>69743</v>
      </c>
      <c r="DW20" s="49">
        <f t="shared" si="79"/>
        <v>69743</v>
      </c>
      <c r="DX20" s="49">
        <f t="shared" si="79"/>
        <v>69743</v>
      </c>
      <c r="DY20" s="49">
        <f t="shared" si="79"/>
        <v>69743</v>
      </c>
      <c r="DZ20" s="49">
        <f t="shared" si="79"/>
        <v>69743</v>
      </c>
      <c r="EA20" s="49">
        <f t="shared" si="79"/>
        <v>69743</v>
      </c>
      <c r="EB20" s="49">
        <f t="shared" si="79"/>
        <v>69743</v>
      </c>
      <c r="EC20" s="49">
        <f t="shared" si="79"/>
        <v>69743</v>
      </c>
      <c r="ED20" s="49">
        <f t="shared" si="79"/>
        <v>69743</v>
      </c>
      <c r="EE20" s="139">
        <f t="shared" si="67"/>
        <v>8493904</v>
      </c>
    </row>
    <row r="21" spans="1:135" s="28" customFormat="1" ht="12.75">
      <c r="C21" s="88" t="s">
        <v>308</v>
      </c>
      <c r="D21" s="49">
        <v>12</v>
      </c>
      <c r="E21" s="49">
        <f>基础数据!H8</f>
        <v>1015.79</v>
      </c>
      <c r="F21" s="49"/>
      <c r="G21" s="49"/>
      <c r="H21" s="79"/>
      <c r="I21" s="49"/>
      <c r="J21" s="49"/>
      <c r="K21" s="49"/>
      <c r="L21" s="49">
        <f>ROUND(E21*D21*取费表!B2,0)</f>
        <v>2194</v>
      </c>
      <c r="M21" s="103">
        <f>ROUND(E21*D21/4,0)</f>
        <v>3047</v>
      </c>
      <c r="N21" s="103">
        <f>M21</f>
        <v>3047</v>
      </c>
      <c r="O21" s="49">
        <f>N21</f>
        <v>3047</v>
      </c>
      <c r="P21" s="49">
        <f>O21</f>
        <v>3047</v>
      </c>
      <c r="Q21" s="49">
        <f>P21</f>
        <v>3047</v>
      </c>
      <c r="R21" s="49">
        <f t="shared" ref="R21:CC21" si="80">Q21</f>
        <v>3047</v>
      </c>
      <c r="S21" s="49">
        <f t="shared" si="80"/>
        <v>3047</v>
      </c>
      <c r="T21" s="49">
        <f t="shared" si="80"/>
        <v>3047</v>
      </c>
      <c r="U21" s="49">
        <f t="shared" si="80"/>
        <v>3047</v>
      </c>
      <c r="V21" s="49">
        <f t="shared" si="80"/>
        <v>3047</v>
      </c>
      <c r="W21" s="49">
        <f t="shared" si="80"/>
        <v>3047</v>
      </c>
      <c r="X21" s="49">
        <f t="shared" si="80"/>
        <v>3047</v>
      </c>
      <c r="Y21" s="49">
        <f t="shared" si="80"/>
        <v>3047</v>
      </c>
      <c r="Z21" s="49">
        <f t="shared" si="80"/>
        <v>3047</v>
      </c>
      <c r="AA21" s="49">
        <f t="shared" si="80"/>
        <v>3047</v>
      </c>
      <c r="AB21" s="49">
        <f t="shared" si="80"/>
        <v>3047</v>
      </c>
      <c r="AC21" s="49">
        <f t="shared" si="80"/>
        <v>3047</v>
      </c>
      <c r="AD21" s="49">
        <f t="shared" si="80"/>
        <v>3047</v>
      </c>
      <c r="AE21" s="49">
        <f t="shared" si="80"/>
        <v>3047</v>
      </c>
      <c r="AF21" s="49">
        <f t="shared" si="80"/>
        <v>3047</v>
      </c>
      <c r="AG21" s="49">
        <f t="shared" si="80"/>
        <v>3047</v>
      </c>
      <c r="AH21" s="49">
        <f t="shared" si="80"/>
        <v>3047</v>
      </c>
      <c r="AI21" s="49">
        <f t="shared" si="80"/>
        <v>3047</v>
      </c>
      <c r="AJ21" s="49">
        <f t="shared" si="80"/>
        <v>3047</v>
      </c>
      <c r="AK21" s="49">
        <f t="shared" si="80"/>
        <v>3047</v>
      </c>
      <c r="AL21" s="49">
        <f t="shared" si="80"/>
        <v>3047</v>
      </c>
      <c r="AM21" s="49">
        <f t="shared" si="80"/>
        <v>3047</v>
      </c>
      <c r="AN21" s="49">
        <f t="shared" si="80"/>
        <v>3047</v>
      </c>
      <c r="AO21" s="49">
        <f t="shared" si="80"/>
        <v>3047</v>
      </c>
      <c r="AP21" s="49">
        <f t="shared" si="80"/>
        <v>3047</v>
      </c>
      <c r="AQ21" s="49">
        <f t="shared" si="80"/>
        <v>3047</v>
      </c>
      <c r="AR21" s="49">
        <f t="shared" si="80"/>
        <v>3047</v>
      </c>
      <c r="AS21" s="49">
        <f t="shared" si="80"/>
        <v>3047</v>
      </c>
      <c r="AT21" s="49">
        <f t="shared" si="80"/>
        <v>3047</v>
      </c>
      <c r="AU21" s="49">
        <f t="shared" si="80"/>
        <v>3047</v>
      </c>
      <c r="AV21" s="49">
        <f t="shared" si="80"/>
        <v>3047</v>
      </c>
      <c r="AW21" s="49">
        <f t="shared" si="80"/>
        <v>3047</v>
      </c>
      <c r="AX21" s="49">
        <f t="shared" si="80"/>
        <v>3047</v>
      </c>
      <c r="AY21" s="49">
        <f t="shared" si="80"/>
        <v>3047</v>
      </c>
      <c r="AZ21" s="49">
        <f t="shared" si="80"/>
        <v>3047</v>
      </c>
      <c r="BA21" s="49">
        <f t="shared" si="80"/>
        <v>3047</v>
      </c>
      <c r="BB21" s="49">
        <f t="shared" si="80"/>
        <v>3047</v>
      </c>
      <c r="BC21" s="49">
        <f t="shared" si="80"/>
        <v>3047</v>
      </c>
      <c r="BD21" s="49">
        <f t="shared" si="80"/>
        <v>3047</v>
      </c>
      <c r="BE21" s="49">
        <f t="shared" si="80"/>
        <v>3047</v>
      </c>
      <c r="BF21" s="49">
        <f t="shared" si="80"/>
        <v>3047</v>
      </c>
      <c r="BG21" s="49">
        <f t="shared" si="80"/>
        <v>3047</v>
      </c>
      <c r="BH21" s="49">
        <f t="shared" si="80"/>
        <v>3047</v>
      </c>
      <c r="BI21" s="49">
        <f t="shared" si="80"/>
        <v>3047</v>
      </c>
      <c r="BJ21" s="49">
        <f t="shared" si="80"/>
        <v>3047</v>
      </c>
      <c r="BK21" s="49">
        <f t="shared" si="80"/>
        <v>3047</v>
      </c>
      <c r="BL21" s="49">
        <f t="shared" si="80"/>
        <v>3047</v>
      </c>
      <c r="BM21" s="49">
        <f t="shared" si="80"/>
        <v>3047</v>
      </c>
      <c r="BN21" s="49">
        <f t="shared" si="80"/>
        <v>3047</v>
      </c>
      <c r="BO21" s="49">
        <f t="shared" si="80"/>
        <v>3047</v>
      </c>
      <c r="BP21" s="49">
        <f t="shared" si="80"/>
        <v>3047</v>
      </c>
      <c r="BQ21" s="49">
        <f t="shared" si="80"/>
        <v>3047</v>
      </c>
      <c r="BR21" s="49">
        <f t="shared" si="80"/>
        <v>3047</v>
      </c>
      <c r="BS21" s="49">
        <f t="shared" si="80"/>
        <v>3047</v>
      </c>
      <c r="BT21" s="49">
        <f t="shared" si="80"/>
        <v>3047</v>
      </c>
      <c r="BU21" s="49">
        <f t="shared" si="80"/>
        <v>3047</v>
      </c>
      <c r="BV21" s="49">
        <f t="shared" si="80"/>
        <v>3047</v>
      </c>
      <c r="BW21" s="49">
        <f t="shared" si="80"/>
        <v>3047</v>
      </c>
      <c r="BX21" s="49">
        <f t="shared" si="80"/>
        <v>3047</v>
      </c>
      <c r="BY21" s="49">
        <f t="shared" si="80"/>
        <v>3047</v>
      </c>
      <c r="BZ21" s="49">
        <f t="shared" si="80"/>
        <v>3047</v>
      </c>
      <c r="CA21" s="49">
        <f t="shared" si="80"/>
        <v>3047</v>
      </c>
      <c r="CB21" s="49">
        <f t="shared" si="80"/>
        <v>3047</v>
      </c>
      <c r="CC21" s="49">
        <f t="shared" si="80"/>
        <v>3047</v>
      </c>
      <c r="CD21" s="49">
        <f t="shared" ref="CD21:ED21" si="81">CC21</f>
        <v>3047</v>
      </c>
      <c r="CE21" s="49">
        <f t="shared" si="81"/>
        <v>3047</v>
      </c>
      <c r="CF21" s="49">
        <f t="shared" si="81"/>
        <v>3047</v>
      </c>
      <c r="CG21" s="49">
        <f t="shared" si="81"/>
        <v>3047</v>
      </c>
      <c r="CH21" s="49">
        <f t="shared" si="81"/>
        <v>3047</v>
      </c>
      <c r="CI21" s="49">
        <f t="shared" si="81"/>
        <v>3047</v>
      </c>
      <c r="CJ21" s="49">
        <f t="shared" si="81"/>
        <v>3047</v>
      </c>
      <c r="CK21" s="49">
        <f t="shared" si="81"/>
        <v>3047</v>
      </c>
      <c r="CL21" s="49">
        <f t="shared" si="81"/>
        <v>3047</v>
      </c>
      <c r="CM21" s="49">
        <f t="shared" si="81"/>
        <v>3047</v>
      </c>
      <c r="CN21" s="49">
        <f t="shared" si="81"/>
        <v>3047</v>
      </c>
      <c r="CO21" s="49">
        <f t="shared" si="81"/>
        <v>3047</v>
      </c>
      <c r="CP21" s="49">
        <f t="shared" si="81"/>
        <v>3047</v>
      </c>
      <c r="CQ21" s="49">
        <f t="shared" si="81"/>
        <v>3047</v>
      </c>
      <c r="CR21" s="49">
        <f t="shared" si="81"/>
        <v>3047</v>
      </c>
      <c r="CS21" s="49">
        <f t="shared" si="81"/>
        <v>3047</v>
      </c>
      <c r="CT21" s="49">
        <f t="shared" si="81"/>
        <v>3047</v>
      </c>
      <c r="CU21" s="49">
        <f t="shared" si="81"/>
        <v>3047</v>
      </c>
      <c r="CV21" s="49">
        <f t="shared" si="81"/>
        <v>3047</v>
      </c>
      <c r="CW21" s="49">
        <f t="shared" si="81"/>
        <v>3047</v>
      </c>
      <c r="CX21" s="49">
        <f t="shared" si="81"/>
        <v>3047</v>
      </c>
      <c r="CY21" s="49">
        <f t="shared" si="81"/>
        <v>3047</v>
      </c>
      <c r="CZ21" s="49">
        <f t="shared" si="81"/>
        <v>3047</v>
      </c>
      <c r="DA21" s="49">
        <f t="shared" si="81"/>
        <v>3047</v>
      </c>
      <c r="DB21" s="49">
        <f t="shared" si="81"/>
        <v>3047</v>
      </c>
      <c r="DC21" s="49">
        <f t="shared" si="81"/>
        <v>3047</v>
      </c>
      <c r="DD21" s="49">
        <f t="shared" si="81"/>
        <v>3047</v>
      </c>
      <c r="DE21" s="49">
        <f t="shared" si="81"/>
        <v>3047</v>
      </c>
      <c r="DF21" s="49">
        <f t="shared" si="81"/>
        <v>3047</v>
      </c>
      <c r="DG21" s="49">
        <f t="shared" si="81"/>
        <v>3047</v>
      </c>
      <c r="DH21" s="49">
        <f t="shared" si="81"/>
        <v>3047</v>
      </c>
      <c r="DI21" s="49">
        <f t="shared" si="81"/>
        <v>3047</v>
      </c>
      <c r="DJ21" s="49">
        <f t="shared" si="81"/>
        <v>3047</v>
      </c>
      <c r="DK21" s="49">
        <f t="shared" si="81"/>
        <v>3047</v>
      </c>
      <c r="DL21" s="49">
        <f t="shared" si="81"/>
        <v>3047</v>
      </c>
      <c r="DM21" s="49">
        <f t="shared" si="81"/>
        <v>3047</v>
      </c>
      <c r="DN21" s="49">
        <f t="shared" si="81"/>
        <v>3047</v>
      </c>
      <c r="DO21" s="49">
        <f t="shared" si="81"/>
        <v>3047</v>
      </c>
      <c r="DP21" s="49">
        <f t="shared" si="81"/>
        <v>3047</v>
      </c>
      <c r="DQ21" s="49">
        <f t="shared" si="81"/>
        <v>3047</v>
      </c>
      <c r="DR21" s="49">
        <f t="shared" si="81"/>
        <v>3047</v>
      </c>
      <c r="DS21" s="49">
        <f t="shared" si="81"/>
        <v>3047</v>
      </c>
      <c r="DT21" s="49">
        <f t="shared" si="81"/>
        <v>3047</v>
      </c>
      <c r="DU21" s="49">
        <f t="shared" si="81"/>
        <v>3047</v>
      </c>
      <c r="DV21" s="49">
        <f t="shared" si="81"/>
        <v>3047</v>
      </c>
      <c r="DW21" s="49">
        <f t="shared" si="81"/>
        <v>3047</v>
      </c>
      <c r="DX21" s="49">
        <f t="shared" si="81"/>
        <v>3047</v>
      </c>
      <c r="DY21" s="49">
        <f t="shared" si="81"/>
        <v>3047</v>
      </c>
      <c r="DZ21" s="49">
        <f t="shared" si="81"/>
        <v>3047</v>
      </c>
      <c r="EA21" s="49">
        <f t="shared" si="81"/>
        <v>3047</v>
      </c>
      <c r="EB21" s="49">
        <f t="shared" si="81"/>
        <v>3047</v>
      </c>
      <c r="EC21" s="49">
        <f t="shared" si="81"/>
        <v>3047</v>
      </c>
      <c r="ED21" s="49">
        <f t="shared" si="81"/>
        <v>3047</v>
      </c>
      <c r="EE21" s="139">
        <f t="shared" si="67"/>
        <v>373928</v>
      </c>
    </row>
    <row r="22" spans="1:135" s="28" customFormat="1" ht="22.5">
      <c r="C22" s="101" t="s">
        <v>307</v>
      </c>
      <c r="D22" s="49"/>
      <c r="E22" s="49"/>
      <c r="F22" s="49"/>
      <c r="G22" s="49"/>
      <c r="H22" s="79"/>
      <c r="I22" s="49"/>
      <c r="J22" s="49"/>
      <c r="K22" s="49"/>
      <c r="L22" s="49">
        <f>L7-L11-L18</f>
        <v>608956.52</v>
      </c>
      <c r="M22" s="49">
        <f t="shared" ref="M22:BX22" si="82">M7-M11-M18</f>
        <v>845773</v>
      </c>
      <c r="N22" s="49">
        <f t="shared" si="82"/>
        <v>862749.32000000007</v>
      </c>
      <c r="O22" s="49">
        <f t="shared" si="82"/>
        <v>862749.32000000007</v>
      </c>
      <c r="P22" s="49">
        <f t="shared" si="82"/>
        <v>862749.32000000007</v>
      </c>
      <c r="Q22" s="49">
        <f t="shared" si="82"/>
        <v>862749.32000000007</v>
      </c>
      <c r="R22" s="49">
        <f t="shared" si="82"/>
        <v>880065.2864000001</v>
      </c>
      <c r="S22" s="49">
        <f t="shared" si="82"/>
        <v>880065.2864000001</v>
      </c>
      <c r="T22" s="49">
        <f t="shared" si="82"/>
        <v>880065.2864000001</v>
      </c>
      <c r="U22" s="49">
        <f t="shared" si="82"/>
        <v>880065.2864000001</v>
      </c>
      <c r="V22" s="49">
        <f t="shared" si="82"/>
        <v>897728.33212799998</v>
      </c>
      <c r="W22" s="49">
        <f t="shared" si="82"/>
        <v>897728.33212799998</v>
      </c>
      <c r="X22" s="49">
        <f t="shared" si="82"/>
        <v>897728.33212799998</v>
      </c>
      <c r="Y22" s="49">
        <f t="shared" si="82"/>
        <v>897728.33212799998</v>
      </c>
      <c r="Z22" s="49">
        <f t="shared" si="82"/>
        <v>915743.05877056019</v>
      </c>
      <c r="AA22" s="49">
        <f t="shared" si="82"/>
        <v>915743.05877056019</v>
      </c>
      <c r="AB22" s="49">
        <f t="shared" si="82"/>
        <v>915743.05877056019</v>
      </c>
      <c r="AC22" s="49">
        <f t="shared" si="82"/>
        <v>915743.05877056019</v>
      </c>
      <c r="AD22" s="49">
        <f t="shared" si="82"/>
        <v>934118.23994597141</v>
      </c>
      <c r="AE22" s="49">
        <f t="shared" si="82"/>
        <v>934118.23994597141</v>
      </c>
      <c r="AF22" s="49">
        <f t="shared" si="82"/>
        <v>934118.23994597141</v>
      </c>
      <c r="AG22" s="49">
        <f t="shared" si="82"/>
        <v>934118.23994597141</v>
      </c>
      <c r="AH22" s="49">
        <f t="shared" si="82"/>
        <v>934118.23994597141</v>
      </c>
      <c r="AI22" s="49">
        <f t="shared" si="82"/>
        <v>934118.23994597141</v>
      </c>
      <c r="AJ22" s="49">
        <f t="shared" si="82"/>
        <v>934118.23994597141</v>
      </c>
      <c r="AK22" s="49">
        <f t="shared" si="82"/>
        <v>934118.23994597141</v>
      </c>
      <c r="AL22" s="49">
        <f t="shared" si="82"/>
        <v>934118.23994597141</v>
      </c>
      <c r="AM22" s="49">
        <f t="shared" si="82"/>
        <v>934118.23994597141</v>
      </c>
      <c r="AN22" s="49">
        <f t="shared" si="82"/>
        <v>934118.23994597141</v>
      </c>
      <c r="AO22" s="49">
        <f t="shared" si="82"/>
        <v>934118.23994597141</v>
      </c>
      <c r="AP22" s="49">
        <f t="shared" si="82"/>
        <v>934118.23994597141</v>
      </c>
      <c r="AQ22" s="49">
        <f t="shared" si="82"/>
        <v>934118.23994597141</v>
      </c>
      <c r="AR22" s="49">
        <f t="shared" si="82"/>
        <v>934118.23994597141</v>
      </c>
      <c r="AS22" s="49">
        <f t="shared" si="82"/>
        <v>934118.23994597141</v>
      </c>
      <c r="AT22" s="49">
        <f t="shared" si="82"/>
        <v>934118.23994597141</v>
      </c>
      <c r="AU22" s="49">
        <f t="shared" si="82"/>
        <v>934118.23994597141</v>
      </c>
      <c r="AV22" s="49">
        <f t="shared" si="82"/>
        <v>934118.23994597141</v>
      </c>
      <c r="AW22" s="49">
        <f t="shared" si="82"/>
        <v>934118.23994597141</v>
      </c>
      <c r="AX22" s="49">
        <f t="shared" si="82"/>
        <v>934118.23994597141</v>
      </c>
      <c r="AY22" s="49">
        <f t="shared" si="82"/>
        <v>934118.23994597141</v>
      </c>
      <c r="AZ22" s="49">
        <f t="shared" si="82"/>
        <v>934118.23994597141</v>
      </c>
      <c r="BA22" s="49">
        <f t="shared" si="82"/>
        <v>934118.23994597141</v>
      </c>
      <c r="BB22" s="49">
        <f t="shared" si="82"/>
        <v>934118.23994597141</v>
      </c>
      <c r="BC22" s="49">
        <f t="shared" si="82"/>
        <v>934118.23994597141</v>
      </c>
      <c r="BD22" s="49">
        <f t="shared" si="82"/>
        <v>934118.23994597141</v>
      </c>
      <c r="BE22" s="49">
        <f t="shared" si="82"/>
        <v>934118.23994597141</v>
      </c>
      <c r="BF22" s="49">
        <f t="shared" si="82"/>
        <v>934118.23994597141</v>
      </c>
      <c r="BG22" s="49">
        <f t="shared" si="82"/>
        <v>934118.23994597141</v>
      </c>
      <c r="BH22" s="49">
        <f t="shared" si="82"/>
        <v>934118.23994597141</v>
      </c>
      <c r="BI22" s="49">
        <f t="shared" si="82"/>
        <v>934118.23994597141</v>
      </c>
      <c r="BJ22" s="49">
        <f t="shared" si="82"/>
        <v>934118.23994597141</v>
      </c>
      <c r="BK22" s="49">
        <f t="shared" si="82"/>
        <v>934118.23994597141</v>
      </c>
      <c r="BL22" s="49">
        <f t="shared" si="82"/>
        <v>934118.23994597141</v>
      </c>
      <c r="BM22" s="49">
        <f t="shared" si="82"/>
        <v>934118.23994597141</v>
      </c>
      <c r="BN22" s="49">
        <f t="shared" si="82"/>
        <v>934118.23994597141</v>
      </c>
      <c r="BO22" s="49">
        <f t="shared" si="82"/>
        <v>934118.23994597141</v>
      </c>
      <c r="BP22" s="49">
        <f t="shared" si="82"/>
        <v>934118.23994597141</v>
      </c>
      <c r="BQ22" s="49">
        <f t="shared" si="82"/>
        <v>934118.23994597141</v>
      </c>
      <c r="BR22" s="49">
        <f t="shared" si="82"/>
        <v>934118.23994597141</v>
      </c>
      <c r="BS22" s="49">
        <f t="shared" si="82"/>
        <v>934118.23994597141</v>
      </c>
      <c r="BT22" s="49">
        <f t="shared" si="82"/>
        <v>934118.23994597141</v>
      </c>
      <c r="BU22" s="49">
        <f t="shared" si="82"/>
        <v>934118.23994597141</v>
      </c>
      <c r="BV22" s="49">
        <f t="shared" si="82"/>
        <v>934118.23994597141</v>
      </c>
      <c r="BW22" s="49">
        <f t="shared" si="82"/>
        <v>934118.23994597141</v>
      </c>
      <c r="BX22" s="49">
        <f t="shared" si="82"/>
        <v>934118.23994597141</v>
      </c>
      <c r="BY22" s="49">
        <f t="shared" ref="BY22:ED22" si="83">BY7-BY11-BY18</f>
        <v>934118.23994597141</v>
      </c>
      <c r="BZ22" s="49">
        <f t="shared" si="83"/>
        <v>934118.23994597141</v>
      </c>
      <c r="CA22" s="49">
        <f t="shared" si="83"/>
        <v>934118.23994597141</v>
      </c>
      <c r="CB22" s="49">
        <f t="shared" si="83"/>
        <v>934118.23994597141</v>
      </c>
      <c r="CC22" s="49">
        <f t="shared" si="83"/>
        <v>934118.23994597141</v>
      </c>
      <c r="CD22" s="49">
        <f t="shared" si="83"/>
        <v>934118.23994597141</v>
      </c>
      <c r="CE22" s="49">
        <f t="shared" si="83"/>
        <v>934118.23994597141</v>
      </c>
      <c r="CF22" s="49">
        <f t="shared" si="83"/>
        <v>934118.23994597141</v>
      </c>
      <c r="CG22" s="49">
        <f t="shared" si="83"/>
        <v>934118.23994597141</v>
      </c>
      <c r="CH22" s="49">
        <f t="shared" si="83"/>
        <v>934118.23994597141</v>
      </c>
      <c r="CI22" s="49">
        <f t="shared" si="83"/>
        <v>934118.23994597141</v>
      </c>
      <c r="CJ22" s="49">
        <f t="shared" si="83"/>
        <v>934118.23994597141</v>
      </c>
      <c r="CK22" s="49">
        <f t="shared" si="83"/>
        <v>934118.23994597141</v>
      </c>
      <c r="CL22" s="49">
        <f t="shared" si="83"/>
        <v>934118.23994597141</v>
      </c>
      <c r="CM22" s="49">
        <f t="shared" si="83"/>
        <v>934118.23994597141</v>
      </c>
      <c r="CN22" s="49">
        <f t="shared" si="83"/>
        <v>934118.23994597141</v>
      </c>
      <c r="CO22" s="49">
        <f t="shared" si="83"/>
        <v>934118.23994597141</v>
      </c>
      <c r="CP22" s="49">
        <f t="shared" si="83"/>
        <v>934118.23994597141</v>
      </c>
      <c r="CQ22" s="49">
        <f t="shared" si="83"/>
        <v>934118.23994597141</v>
      </c>
      <c r="CR22" s="49">
        <f t="shared" si="83"/>
        <v>934118.23994597141</v>
      </c>
      <c r="CS22" s="49">
        <f t="shared" si="83"/>
        <v>934118.23994597141</v>
      </c>
      <c r="CT22" s="49">
        <f t="shared" si="83"/>
        <v>934118.23994597141</v>
      </c>
      <c r="CU22" s="49">
        <f t="shared" si="83"/>
        <v>934118.23994597141</v>
      </c>
      <c r="CV22" s="49">
        <f t="shared" si="83"/>
        <v>934118.23994597141</v>
      </c>
      <c r="CW22" s="49">
        <f t="shared" si="83"/>
        <v>934118.23994597141</v>
      </c>
      <c r="CX22" s="49">
        <f t="shared" si="83"/>
        <v>934118.23994597141</v>
      </c>
      <c r="CY22" s="49">
        <f t="shared" si="83"/>
        <v>934118.23994597141</v>
      </c>
      <c r="CZ22" s="49">
        <f t="shared" si="83"/>
        <v>934118.23994597141</v>
      </c>
      <c r="DA22" s="49">
        <f t="shared" si="83"/>
        <v>934118.23994597141</v>
      </c>
      <c r="DB22" s="49">
        <f t="shared" si="83"/>
        <v>934118.23994597141</v>
      </c>
      <c r="DC22" s="49">
        <f t="shared" si="83"/>
        <v>934118.23994597141</v>
      </c>
      <c r="DD22" s="49">
        <f t="shared" si="83"/>
        <v>934118.23994597141</v>
      </c>
      <c r="DE22" s="49">
        <f t="shared" si="83"/>
        <v>934118.23994597141</v>
      </c>
      <c r="DF22" s="49">
        <f t="shared" si="83"/>
        <v>934118.23994597141</v>
      </c>
      <c r="DG22" s="49">
        <f t="shared" si="83"/>
        <v>934118.23994597141</v>
      </c>
      <c r="DH22" s="49">
        <f t="shared" si="83"/>
        <v>934118.23994597141</v>
      </c>
      <c r="DI22" s="49">
        <f t="shared" si="83"/>
        <v>934118.23994597141</v>
      </c>
      <c r="DJ22" s="49">
        <f t="shared" si="83"/>
        <v>934118.23994597141</v>
      </c>
      <c r="DK22" s="49">
        <f t="shared" si="83"/>
        <v>934118.23994597141</v>
      </c>
      <c r="DL22" s="49">
        <f t="shared" si="83"/>
        <v>934118.23994597141</v>
      </c>
      <c r="DM22" s="49">
        <f t="shared" si="83"/>
        <v>934118.23994597141</v>
      </c>
      <c r="DN22" s="49">
        <f t="shared" si="83"/>
        <v>934118.23994597141</v>
      </c>
      <c r="DO22" s="49">
        <f t="shared" si="83"/>
        <v>934118.23994597141</v>
      </c>
      <c r="DP22" s="49">
        <f t="shared" si="83"/>
        <v>934118.23994597141</v>
      </c>
      <c r="DQ22" s="49">
        <f t="shared" si="83"/>
        <v>934118.23994597141</v>
      </c>
      <c r="DR22" s="49">
        <f t="shared" si="83"/>
        <v>934118.23994597141</v>
      </c>
      <c r="DS22" s="49">
        <f t="shared" si="83"/>
        <v>934118.23994597141</v>
      </c>
      <c r="DT22" s="49">
        <f t="shared" si="83"/>
        <v>934118.23994597141</v>
      </c>
      <c r="DU22" s="49">
        <f t="shared" si="83"/>
        <v>934118.23994597141</v>
      </c>
      <c r="DV22" s="49">
        <f t="shared" si="83"/>
        <v>934118.23994597141</v>
      </c>
      <c r="DW22" s="49">
        <f t="shared" si="83"/>
        <v>934118.23994597141</v>
      </c>
      <c r="DX22" s="49">
        <f t="shared" si="83"/>
        <v>934118.23994597141</v>
      </c>
      <c r="DY22" s="49">
        <f t="shared" si="83"/>
        <v>934118.23994597141</v>
      </c>
      <c r="DZ22" s="49">
        <f t="shared" si="83"/>
        <v>934118.23994597141</v>
      </c>
      <c r="EA22" s="49">
        <f t="shared" si="83"/>
        <v>934118.23994597141</v>
      </c>
      <c r="EB22" s="49">
        <f t="shared" si="83"/>
        <v>934118.23994597141</v>
      </c>
      <c r="EC22" s="49">
        <f t="shared" si="83"/>
        <v>934118.23994597141</v>
      </c>
      <c r="ED22" s="49">
        <f t="shared" si="83"/>
        <v>934118.23994597141</v>
      </c>
      <c r="EE22" s="139">
        <f t="shared" si="67"/>
        <v>113762288.7035215</v>
      </c>
    </row>
    <row r="23" spans="1:135" s="28" customFormat="1" ht="12.75">
      <c r="C23" s="88" t="s">
        <v>296</v>
      </c>
      <c r="D23" s="49"/>
      <c r="E23" s="49"/>
      <c r="F23" s="49"/>
      <c r="G23" s="49"/>
      <c r="H23" s="79"/>
      <c r="I23" s="49"/>
      <c r="J23" s="49"/>
      <c r="K23" s="49"/>
      <c r="L23" s="49">
        <f>L22</f>
        <v>608956.52</v>
      </c>
      <c r="M23" s="225">
        <f>M22+N22+O22+P22</f>
        <v>3434020.96</v>
      </c>
      <c r="N23" s="226"/>
      <c r="O23" s="226"/>
      <c r="P23" s="227"/>
      <c r="Q23" s="225">
        <f>Q22+R22+S22+T22</f>
        <v>3502945.1792000006</v>
      </c>
      <c r="R23" s="226"/>
      <c r="S23" s="226"/>
      <c r="T23" s="227"/>
      <c r="U23" s="225">
        <f>U22+V22+W22+X22</f>
        <v>3573250.282784</v>
      </c>
      <c r="V23" s="226"/>
      <c r="W23" s="226"/>
      <c r="X23" s="227"/>
      <c r="Y23" s="225">
        <f t="shared" ref="Y23" si="84">Y22+Z22+AA22+AB22</f>
        <v>3644957.5084396806</v>
      </c>
      <c r="Z23" s="226"/>
      <c r="AA23" s="226"/>
      <c r="AB23" s="227"/>
      <c r="AC23" s="225">
        <f t="shared" ref="AC23" si="85">AC22+AD22+AE22+AF22</f>
        <v>3718097.7786084744</v>
      </c>
      <c r="AD23" s="226"/>
      <c r="AE23" s="226"/>
      <c r="AF23" s="227"/>
      <c r="AG23" s="225">
        <f t="shared" ref="AG23" si="86">AG22+AH22+AI22+AJ22</f>
        <v>3736472.9597838856</v>
      </c>
      <c r="AH23" s="226"/>
      <c r="AI23" s="226"/>
      <c r="AJ23" s="227"/>
      <c r="AK23" s="225">
        <f t="shared" ref="AK23" si="87">AK22+AL22+AM22+AN22</f>
        <v>3736472.9597838856</v>
      </c>
      <c r="AL23" s="226"/>
      <c r="AM23" s="226"/>
      <c r="AN23" s="227"/>
      <c r="AO23" s="225">
        <f t="shared" ref="AO23" si="88">AO22+AP22+AQ22+AR22</f>
        <v>3736472.9597838856</v>
      </c>
      <c r="AP23" s="226"/>
      <c r="AQ23" s="226"/>
      <c r="AR23" s="227"/>
      <c r="AS23" s="225">
        <f t="shared" ref="AS23" si="89">AS22+AT22+AU22+AV22</f>
        <v>3736472.9597838856</v>
      </c>
      <c r="AT23" s="226"/>
      <c r="AU23" s="226"/>
      <c r="AV23" s="227"/>
      <c r="AW23" s="225">
        <f t="shared" ref="AW23" si="90">AW22+AX22+AY22+AZ22</f>
        <v>3736472.9597838856</v>
      </c>
      <c r="AX23" s="226"/>
      <c r="AY23" s="226"/>
      <c r="AZ23" s="227"/>
      <c r="BA23" s="225">
        <f t="shared" ref="BA23" si="91">BA22+BB22+BC22+BD22</f>
        <v>3736472.9597838856</v>
      </c>
      <c r="BB23" s="226"/>
      <c r="BC23" s="226"/>
      <c r="BD23" s="227"/>
      <c r="BE23" s="225">
        <f t="shared" ref="BE23" si="92">BE22+BF22+BG22+BH22</f>
        <v>3736472.9597838856</v>
      </c>
      <c r="BF23" s="226"/>
      <c r="BG23" s="226"/>
      <c r="BH23" s="227"/>
      <c r="BI23" s="225">
        <f t="shared" ref="BI23" si="93">BI22+BJ22+BK22+BL22</f>
        <v>3736472.9597838856</v>
      </c>
      <c r="BJ23" s="226"/>
      <c r="BK23" s="226"/>
      <c r="BL23" s="227"/>
      <c r="BM23" s="225">
        <f t="shared" ref="BM23" si="94">BM22+BN22+BO22+BP22</f>
        <v>3736472.9597838856</v>
      </c>
      <c r="BN23" s="226"/>
      <c r="BO23" s="226"/>
      <c r="BP23" s="227"/>
      <c r="BQ23" s="225">
        <f t="shared" ref="BQ23" si="95">BQ22+BR22+BS22+BT22</f>
        <v>3736472.9597838856</v>
      </c>
      <c r="BR23" s="226"/>
      <c r="BS23" s="226"/>
      <c r="BT23" s="227"/>
      <c r="BU23" s="225">
        <f t="shared" ref="BU23" si="96">BU22+BV22+BW22+BX22</f>
        <v>3736472.9597838856</v>
      </c>
      <c r="BV23" s="226"/>
      <c r="BW23" s="226"/>
      <c r="BX23" s="227"/>
      <c r="BY23" s="225">
        <f t="shared" ref="BY23" si="97">BY22+BZ22+CA22+CB22</f>
        <v>3736472.9597838856</v>
      </c>
      <c r="BZ23" s="226"/>
      <c r="CA23" s="226"/>
      <c r="CB23" s="227"/>
      <c r="CC23" s="225">
        <f t="shared" ref="CC23" si="98">CC22+CD22+CE22+CF22</f>
        <v>3736472.9597838856</v>
      </c>
      <c r="CD23" s="226"/>
      <c r="CE23" s="226"/>
      <c r="CF23" s="227"/>
      <c r="CG23" s="225">
        <f t="shared" ref="CG23" si="99">CG22+CH22+CI22+CJ22</f>
        <v>3736472.9597838856</v>
      </c>
      <c r="CH23" s="226"/>
      <c r="CI23" s="226"/>
      <c r="CJ23" s="227"/>
      <c r="CK23" s="225">
        <f t="shared" ref="CK23" si="100">CK22+CL22+CM22+CN22</f>
        <v>3736472.9597838856</v>
      </c>
      <c r="CL23" s="226"/>
      <c r="CM23" s="226"/>
      <c r="CN23" s="227"/>
      <c r="CO23" s="225">
        <f t="shared" ref="CO23" si="101">CO22+CP22+CQ22+CR22</f>
        <v>3736472.9597838856</v>
      </c>
      <c r="CP23" s="226"/>
      <c r="CQ23" s="226"/>
      <c r="CR23" s="227"/>
      <c r="CS23" s="225">
        <f t="shared" ref="CS23" si="102">CS22+CT22+CU22+CV22</f>
        <v>3736472.9597838856</v>
      </c>
      <c r="CT23" s="226"/>
      <c r="CU23" s="226"/>
      <c r="CV23" s="227"/>
      <c r="CW23" s="225">
        <f t="shared" ref="CW23" si="103">CW22+CX22+CY22+CZ22</f>
        <v>3736472.9597838856</v>
      </c>
      <c r="CX23" s="226"/>
      <c r="CY23" s="226"/>
      <c r="CZ23" s="227"/>
      <c r="DA23" s="225">
        <f t="shared" ref="DA23" si="104">DA22+DB22+DC22+DD22</f>
        <v>3736472.9597838856</v>
      </c>
      <c r="DB23" s="226"/>
      <c r="DC23" s="226"/>
      <c r="DD23" s="227"/>
      <c r="DE23" s="225">
        <f t="shared" ref="DE23" si="105">DE22+DF22+DG22+DH22</f>
        <v>3736472.9597838856</v>
      </c>
      <c r="DF23" s="226"/>
      <c r="DG23" s="226"/>
      <c r="DH23" s="227"/>
      <c r="DI23" s="225">
        <f t="shared" ref="DI23" si="106">DI22+DJ22+DK22+DL22</f>
        <v>3736472.9597838856</v>
      </c>
      <c r="DJ23" s="226"/>
      <c r="DK23" s="226"/>
      <c r="DL23" s="227"/>
      <c r="DM23" s="225">
        <f t="shared" ref="DM23" si="107">DM22+DN22+DO22+DP22</f>
        <v>3736472.9597838856</v>
      </c>
      <c r="DN23" s="226"/>
      <c r="DO23" s="226"/>
      <c r="DP23" s="227"/>
      <c r="DQ23" s="225">
        <f t="shared" ref="DQ23" si="108">DQ22+DR22+DS22+DT22</f>
        <v>3736472.9597838856</v>
      </c>
      <c r="DR23" s="226"/>
      <c r="DS23" s="226"/>
      <c r="DT23" s="227"/>
      <c r="DU23" s="225">
        <f t="shared" ref="DU23" si="109">DU22+DV22+DW22+DX22</f>
        <v>3736472.9597838856</v>
      </c>
      <c r="DV23" s="226"/>
      <c r="DW23" s="226"/>
      <c r="DX23" s="227"/>
      <c r="DY23" s="225">
        <f t="shared" ref="DY23" si="110">DY22+DZ22+EA22+EB22</f>
        <v>3736472.9597838856</v>
      </c>
      <c r="DZ23" s="226"/>
      <c r="EA23" s="226"/>
      <c r="EB23" s="227"/>
      <c r="EC23" s="241">
        <f>EC22+ED22</f>
        <v>1868236.4798919428</v>
      </c>
      <c r="ED23" s="242"/>
      <c r="EE23" s="139">
        <f t="shared" si="67"/>
        <v>113762288.70352116</v>
      </c>
    </row>
    <row r="24" spans="1:135" s="28" customFormat="1" ht="12.75">
      <c r="C24" s="49" t="s">
        <v>322</v>
      </c>
      <c r="D24" s="111">
        <v>0.04</v>
      </c>
      <c r="E24" s="49"/>
      <c r="F24" s="49"/>
      <c r="G24" s="49"/>
      <c r="H24" s="79"/>
      <c r="I24" s="49"/>
      <c r="J24" s="49"/>
      <c r="K24" s="49"/>
      <c r="L24" s="49">
        <f>ROUND(L23/(1+D24)^L1,0)</f>
        <v>604673</v>
      </c>
      <c r="M24" s="225">
        <f>ROUND(M23/(1+$D$24)^(M1+$L$1),0)</f>
        <v>3278714</v>
      </c>
      <c r="N24" s="226"/>
      <c r="O24" s="226"/>
      <c r="P24" s="227"/>
      <c r="Q24" s="225">
        <f t="shared" ref="Q24" si="111">ROUND(Q23/(1+$D$24)^(Q1+$L$1),0)</f>
        <v>3215886</v>
      </c>
      <c r="R24" s="226"/>
      <c r="S24" s="226"/>
      <c r="T24" s="227"/>
      <c r="U24" s="225">
        <f t="shared" ref="U24" si="112">ROUND(U23/(1+$D$24)^(U1+$L$1),0)</f>
        <v>3154259</v>
      </c>
      <c r="V24" s="226"/>
      <c r="W24" s="226"/>
      <c r="X24" s="227"/>
      <c r="Y24" s="225">
        <f t="shared" ref="Y24" si="113">ROUND(Y23/(1+$D$24)^(Y1+$L$1),0)</f>
        <v>3093806</v>
      </c>
      <c r="Z24" s="226"/>
      <c r="AA24" s="226"/>
      <c r="AB24" s="227"/>
      <c r="AC24" s="225">
        <f t="shared" ref="AC24" si="114">ROUND(AC23/(1+$D$24)^(AC1+$L$1),0)</f>
        <v>3034507</v>
      </c>
      <c r="AD24" s="226"/>
      <c r="AE24" s="226"/>
      <c r="AF24" s="227"/>
      <c r="AG24" s="225">
        <f t="shared" ref="AG24" si="115">ROUND(AG23/(1+$D$24)^(AG1+$L$1),0)</f>
        <v>2932215</v>
      </c>
      <c r="AH24" s="226"/>
      <c r="AI24" s="226"/>
      <c r="AJ24" s="227"/>
      <c r="AK24" s="225">
        <f t="shared" ref="AK24" si="116">ROUND(AK23/(1+$D$24)^(AK1+$L$1),0)</f>
        <v>2819437</v>
      </c>
      <c r="AL24" s="226"/>
      <c r="AM24" s="226"/>
      <c r="AN24" s="227"/>
      <c r="AO24" s="225">
        <f t="shared" ref="AO24" si="117">ROUND(AO23/(1+$D$24)^(AO1+$L$1),0)</f>
        <v>2710998</v>
      </c>
      <c r="AP24" s="226"/>
      <c r="AQ24" s="226"/>
      <c r="AR24" s="227"/>
      <c r="AS24" s="225">
        <f t="shared" ref="AS24" si="118">ROUND(AS23/(1+$D$24)^(AS1+$L$1),0)</f>
        <v>2606728</v>
      </c>
      <c r="AT24" s="226"/>
      <c r="AU24" s="226"/>
      <c r="AV24" s="227"/>
      <c r="AW24" s="225">
        <f t="shared" ref="AW24" si="119">ROUND(AW23/(1+$D$24)^(AW1+$L$1),0)</f>
        <v>2506470</v>
      </c>
      <c r="AX24" s="226"/>
      <c r="AY24" s="226"/>
      <c r="AZ24" s="227"/>
      <c r="BA24" s="225">
        <f t="shared" ref="BA24" si="120">ROUND(BA23/(1+$D$24)^(BA1+$L$1),0)</f>
        <v>2410067</v>
      </c>
      <c r="BB24" s="226"/>
      <c r="BC24" s="226"/>
      <c r="BD24" s="227"/>
      <c r="BE24" s="225">
        <f t="shared" ref="BE24" si="121">ROUND(BE23/(1+$D$24)^(BE1+$L$1),0)</f>
        <v>2317372</v>
      </c>
      <c r="BF24" s="226"/>
      <c r="BG24" s="226"/>
      <c r="BH24" s="227"/>
      <c r="BI24" s="225">
        <f t="shared" ref="BI24" si="122">ROUND(BI23/(1+$D$24)^(BI1+$L$1),0)</f>
        <v>2228242</v>
      </c>
      <c r="BJ24" s="226"/>
      <c r="BK24" s="226"/>
      <c r="BL24" s="227"/>
      <c r="BM24" s="225">
        <f t="shared" ref="BM24" si="123">ROUND(BM23/(1+$D$24)^(BM1+$L$1),0)</f>
        <v>2142541</v>
      </c>
      <c r="BN24" s="226"/>
      <c r="BO24" s="226"/>
      <c r="BP24" s="227"/>
      <c r="BQ24" s="225">
        <f t="shared" ref="BQ24" si="124">ROUND(BQ23/(1+$D$24)^(BQ1+$L$1),0)</f>
        <v>2060135</v>
      </c>
      <c r="BR24" s="226"/>
      <c r="BS24" s="226"/>
      <c r="BT24" s="227"/>
      <c r="BU24" s="225">
        <f t="shared" ref="BU24" si="125">ROUND(BU23/(1+$D$24)^(BU1+$L$1),0)</f>
        <v>1980899</v>
      </c>
      <c r="BV24" s="226"/>
      <c r="BW24" s="226"/>
      <c r="BX24" s="227"/>
      <c r="BY24" s="225">
        <f t="shared" ref="BY24" si="126">ROUND(BY23/(1+$D$24)^(BY1+$L$1),0)</f>
        <v>1904711</v>
      </c>
      <c r="BZ24" s="226"/>
      <c r="CA24" s="226"/>
      <c r="CB24" s="227"/>
      <c r="CC24" s="225">
        <f t="shared" ref="CC24" si="127">ROUND(CC23/(1+$D$24)^(CC1+$L$1),0)</f>
        <v>1831453</v>
      </c>
      <c r="CD24" s="226"/>
      <c r="CE24" s="226"/>
      <c r="CF24" s="227"/>
      <c r="CG24" s="225">
        <f t="shared" ref="CG24" si="128">ROUND(CG23/(1+$D$24)^(CG1+$L$1),0)</f>
        <v>1761012</v>
      </c>
      <c r="CH24" s="226"/>
      <c r="CI24" s="226"/>
      <c r="CJ24" s="227"/>
      <c r="CK24" s="225">
        <f t="shared" ref="CK24" si="129">ROUND(CK23/(1+$D$24)^(CK1+$L$1),0)</f>
        <v>1693281</v>
      </c>
      <c r="CL24" s="226"/>
      <c r="CM24" s="226"/>
      <c r="CN24" s="227"/>
      <c r="CO24" s="225">
        <f t="shared" ref="CO24" si="130">ROUND(CO23/(1+$D$24)^(CO1+$L$1),0)</f>
        <v>1628155</v>
      </c>
      <c r="CP24" s="226"/>
      <c r="CQ24" s="226"/>
      <c r="CR24" s="227"/>
      <c r="CS24" s="225">
        <f t="shared" ref="CS24" si="131">ROUND(CS23/(1+$D$24)^(CS1+$L$1),0)</f>
        <v>1565534</v>
      </c>
      <c r="CT24" s="226"/>
      <c r="CU24" s="226"/>
      <c r="CV24" s="227"/>
      <c r="CW24" s="225">
        <f t="shared" ref="CW24" si="132">ROUND(CW23/(1+$D$24)^(CW1+$L$1),0)</f>
        <v>1505321</v>
      </c>
      <c r="CX24" s="226"/>
      <c r="CY24" s="226"/>
      <c r="CZ24" s="227"/>
      <c r="DA24" s="225">
        <f t="shared" ref="DA24" si="133">ROUND(DA23/(1+$D$24)^(DA1+$L$1),0)</f>
        <v>1447424</v>
      </c>
      <c r="DB24" s="226"/>
      <c r="DC24" s="226"/>
      <c r="DD24" s="227"/>
      <c r="DE24" s="225">
        <f t="shared" ref="DE24" si="134">ROUND(DE23/(1+$D$24)^(DE1+$L$1),0)</f>
        <v>1391754</v>
      </c>
      <c r="DF24" s="226"/>
      <c r="DG24" s="226"/>
      <c r="DH24" s="227"/>
      <c r="DI24" s="225">
        <f t="shared" ref="DI24" si="135">ROUND(DI23/(1+$D$24)^(DI1+$L$1),0)</f>
        <v>1338225</v>
      </c>
      <c r="DJ24" s="226"/>
      <c r="DK24" s="226"/>
      <c r="DL24" s="227"/>
      <c r="DM24" s="225">
        <f t="shared" ref="DM24" si="136">ROUND(DM23/(1+$D$24)^(DM1+$L$1),0)</f>
        <v>1286754</v>
      </c>
      <c r="DN24" s="226"/>
      <c r="DO24" s="226"/>
      <c r="DP24" s="227"/>
      <c r="DQ24" s="225">
        <f t="shared" ref="DQ24" si="137">ROUND(DQ23/(1+$D$24)^(DQ1+$L$1),0)</f>
        <v>1237264</v>
      </c>
      <c r="DR24" s="226"/>
      <c r="DS24" s="226"/>
      <c r="DT24" s="227"/>
      <c r="DU24" s="225">
        <f t="shared" ref="DU24" si="138">ROUND(DU23/(1+$D$24)^(DU1+$L$1),0)</f>
        <v>1189677</v>
      </c>
      <c r="DV24" s="226"/>
      <c r="DW24" s="226"/>
      <c r="DX24" s="227"/>
      <c r="DY24" s="225">
        <f t="shared" ref="DY24" si="139">ROUND(DY23/(1+$D$24)^(DY1+$L$1),0)</f>
        <v>1143920</v>
      </c>
      <c r="DZ24" s="226"/>
      <c r="EA24" s="226"/>
      <c r="EB24" s="227"/>
      <c r="EC24" s="243">
        <f>ROUND(EC23/(1+$D$148)^(EC1+$L$1),0)</f>
        <v>1868236</v>
      </c>
      <c r="ED24" s="244"/>
      <c r="EE24" s="139">
        <f>SUM(L24:ED24)</f>
        <v>65889670</v>
      </c>
    </row>
    <row r="25" spans="1:135" s="28" customFormat="1" ht="12.75">
      <c r="F25" s="28" t="s">
        <v>323</v>
      </c>
      <c r="G25" s="115">
        <f>ROUND(EE24/10000,0)</f>
        <v>6589</v>
      </c>
      <c r="H25" s="115"/>
      <c r="I25" s="115"/>
      <c r="J25" s="115"/>
      <c r="M25" s="47"/>
      <c r="N25" s="47"/>
    </row>
    <row r="26" spans="1:135" s="28" customFormat="1" ht="18.75" customHeight="1">
      <c r="G26" s="116"/>
      <c r="H26" s="116"/>
      <c r="I26" s="116"/>
      <c r="J26" s="116"/>
    </row>
    <row r="27" spans="1:135" s="28" customFormat="1" ht="18.75" customHeight="1">
      <c r="G27" s="116"/>
      <c r="H27" s="116"/>
      <c r="I27" s="116"/>
      <c r="J27" s="116"/>
      <c r="L27" s="28" t="str">
        <f>L6</f>
        <v>2018年2季度</v>
      </c>
      <c r="M27" s="28" t="str">
        <f t="shared" ref="M27" si="140">M6</f>
        <v>2018年3季度</v>
      </c>
      <c r="N27" s="28" t="str">
        <f t="shared" ref="N27" si="141">N6</f>
        <v>2018年4季度</v>
      </c>
      <c r="O27" s="28" t="str">
        <f t="shared" ref="O27" si="142">O6</f>
        <v>2019年1季度</v>
      </c>
      <c r="P27" s="28" t="str">
        <f t="shared" ref="P27" si="143">P6</f>
        <v>2019年2季度</v>
      </c>
      <c r="Q27" s="28" t="str">
        <f t="shared" ref="Q27" si="144">Q6</f>
        <v>2019年3季度</v>
      </c>
      <c r="R27" s="28" t="str">
        <f t="shared" ref="R27" si="145">R6</f>
        <v>2019年4季度</v>
      </c>
      <c r="S27" s="28" t="str">
        <f t="shared" ref="S27" si="146">S6</f>
        <v>2020年1季度</v>
      </c>
      <c r="T27" s="28" t="str">
        <f t="shared" ref="T27" si="147">T6</f>
        <v>2020年2季度</v>
      </c>
      <c r="U27" s="28" t="str">
        <f t="shared" ref="U27" si="148">U6</f>
        <v>2020年3季度</v>
      </c>
      <c r="V27" s="28" t="str">
        <f t="shared" ref="V27" si="149">V6</f>
        <v>2020年4季度</v>
      </c>
      <c r="W27" s="28" t="str">
        <f t="shared" ref="W27" si="150">W6</f>
        <v>2021年1季度</v>
      </c>
      <c r="X27" s="28" t="str">
        <f t="shared" ref="X27" si="151">X6</f>
        <v>2021年2季度</v>
      </c>
      <c r="Y27" s="28" t="str">
        <f t="shared" ref="Y27" si="152">Y6</f>
        <v>2021年3季度</v>
      </c>
      <c r="Z27" s="28" t="str">
        <f t="shared" ref="Z27" si="153">Z6</f>
        <v>2021年4季度</v>
      </c>
      <c r="AA27" s="28" t="str">
        <f t="shared" ref="AA27" si="154">AA6</f>
        <v>2022年1季度</v>
      </c>
      <c r="AB27" s="28" t="str">
        <f t="shared" ref="AB27" si="155">AB6</f>
        <v>2022年2季度</v>
      </c>
      <c r="AC27" s="28" t="str">
        <f t="shared" ref="AC27" si="156">AC6</f>
        <v>2022年3季度</v>
      </c>
      <c r="AD27" s="28" t="str">
        <f t="shared" ref="AD27" si="157">AD6</f>
        <v>2022年4季度</v>
      </c>
      <c r="AE27" s="28" t="str">
        <f t="shared" ref="AE27" si="158">AE6</f>
        <v>2023年1季度</v>
      </c>
      <c r="AF27" s="28" t="str">
        <f t="shared" ref="AF27" si="159">AF6</f>
        <v>2023年2季度</v>
      </c>
      <c r="AG27" s="28" t="str">
        <f t="shared" ref="AG27" si="160">AG6</f>
        <v>2023年3季度</v>
      </c>
      <c r="AH27" s="28" t="str">
        <f t="shared" ref="AH27" si="161">AH6</f>
        <v>2023年4季度</v>
      </c>
      <c r="AI27" s="28" t="str">
        <f t="shared" ref="AI27" si="162">AI6</f>
        <v>2024年1季度</v>
      </c>
      <c r="AJ27" s="28" t="str">
        <f t="shared" ref="AJ27" si="163">AJ6</f>
        <v>2024年2季度</v>
      </c>
      <c r="AK27" s="28" t="str">
        <f t="shared" ref="AK27" si="164">AK6</f>
        <v>2024年3季度</v>
      </c>
      <c r="AL27" s="28" t="str">
        <f t="shared" ref="AL27" si="165">AL6</f>
        <v>2024年4季度</v>
      </c>
      <c r="AM27" s="28" t="str">
        <f t="shared" ref="AM27" si="166">AM6</f>
        <v>2025年1季度</v>
      </c>
      <c r="AN27" s="28" t="str">
        <f t="shared" ref="AN27" si="167">AN6</f>
        <v>2025年2季度</v>
      </c>
      <c r="AO27" s="28" t="str">
        <f t="shared" ref="AO27" si="168">AO6</f>
        <v>2025年3季度</v>
      </c>
      <c r="AP27" s="28" t="str">
        <f t="shared" ref="AP27" si="169">AP6</f>
        <v>2025年4季度</v>
      </c>
      <c r="AQ27" s="28" t="str">
        <f t="shared" ref="AQ27" si="170">AQ6</f>
        <v>2026年1季度</v>
      </c>
      <c r="AR27" s="28" t="str">
        <f t="shared" ref="AR27" si="171">AR6</f>
        <v>2026年2季度</v>
      </c>
      <c r="AS27" s="28" t="str">
        <f t="shared" ref="AS27" si="172">AS6</f>
        <v>2026年3季度</v>
      </c>
      <c r="AT27" s="28" t="str">
        <f t="shared" ref="AT27" si="173">AT6</f>
        <v>2026年4季度</v>
      </c>
      <c r="AU27" s="28" t="str">
        <f t="shared" ref="AU27" si="174">AU6</f>
        <v>2027年1季度</v>
      </c>
      <c r="AV27" s="28" t="str">
        <f t="shared" ref="AV27:CP27" si="175">AV6</f>
        <v>2027年2季度</v>
      </c>
      <c r="AW27" s="28" t="str">
        <f t="shared" si="175"/>
        <v>2027年3季度</v>
      </c>
      <c r="AX27" s="28" t="str">
        <f t="shared" si="175"/>
        <v>2027年4季度</v>
      </c>
      <c r="AY27" s="28" t="str">
        <f t="shared" si="175"/>
        <v>2028年1季度</v>
      </c>
      <c r="AZ27" s="28" t="str">
        <f t="shared" si="175"/>
        <v>2028年2季度</v>
      </c>
      <c r="BA27" s="28" t="str">
        <f t="shared" si="175"/>
        <v>2028年3季度</v>
      </c>
      <c r="BB27" s="28" t="str">
        <f t="shared" si="175"/>
        <v>2028年4季度</v>
      </c>
      <c r="BC27" s="28" t="str">
        <f t="shared" si="175"/>
        <v>2029年1季度</v>
      </c>
      <c r="BD27" s="28" t="str">
        <f t="shared" si="175"/>
        <v>2029年2季度</v>
      </c>
      <c r="BE27" s="28" t="str">
        <f t="shared" si="175"/>
        <v>2029年3季度</v>
      </c>
      <c r="BF27" s="28" t="str">
        <f t="shared" si="175"/>
        <v>2029年4季度</v>
      </c>
      <c r="BG27" s="28" t="str">
        <f t="shared" si="175"/>
        <v>2030年1季度</v>
      </c>
      <c r="BH27" s="28" t="str">
        <f t="shared" si="175"/>
        <v>2030年2季度</v>
      </c>
      <c r="BI27" s="28" t="str">
        <f t="shared" si="175"/>
        <v>2030年3季度</v>
      </c>
      <c r="BJ27" s="28" t="str">
        <f t="shared" si="175"/>
        <v>2030年4季度</v>
      </c>
      <c r="BK27" s="28" t="str">
        <f t="shared" si="175"/>
        <v>2031年1季度</v>
      </c>
      <c r="BL27" s="28" t="str">
        <f t="shared" si="175"/>
        <v>2031年2季度</v>
      </c>
      <c r="BM27" s="28" t="str">
        <f t="shared" si="175"/>
        <v>2031年3季度</v>
      </c>
      <c r="BN27" s="28" t="str">
        <f t="shared" si="175"/>
        <v>2031年4季度</v>
      </c>
      <c r="BO27" s="28" t="str">
        <f t="shared" si="175"/>
        <v>2032年1季度</v>
      </c>
      <c r="BP27" s="28" t="str">
        <f t="shared" si="175"/>
        <v>2032年2季度</v>
      </c>
      <c r="BQ27" s="28" t="str">
        <f t="shared" si="175"/>
        <v>2032年3季度</v>
      </c>
      <c r="BR27" s="28" t="str">
        <f t="shared" si="175"/>
        <v>2032年4季度</v>
      </c>
      <c r="BS27" s="28" t="str">
        <f t="shared" si="175"/>
        <v>2033年1季度</v>
      </c>
      <c r="BT27" s="28" t="str">
        <f t="shared" si="175"/>
        <v>2033年2季度</v>
      </c>
      <c r="BU27" s="28" t="str">
        <f t="shared" si="175"/>
        <v>2033年3季度</v>
      </c>
      <c r="BV27" s="28" t="str">
        <f t="shared" si="175"/>
        <v>2033年4季度</v>
      </c>
      <c r="BW27" s="28" t="str">
        <f t="shared" si="175"/>
        <v>2034年1季度</v>
      </c>
      <c r="BX27" s="28" t="str">
        <f t="shared" si="175"/>
        <v>2034年2季度</v>
      </c>
      <c r="BY27" s="28" t="str">
        <f t="shared" si="175"/>
        <v>2034年3季度</v>
      </c>
      <c r="BZ27" s="28" t="str">
        <f t="shared" si="175"/>
        <v>2034年4季度</v>
      </c>
      <c r="CA27" s="28" t="str">
        <f t="shared" si="175"/>
        <v>2035年1季度</v>
      </c>
      <c r="CB27" s="28" t="str">
        <f t="shared" si="175"/>
        <v>2035年2季度</v>
      </c>
      <c r="CC27" s="28" t="str">
        <f t="shared" si="175"/>
        <v>2035年3季度</v>
      </c>
      <c r="CD27" s="28" t="str">
        <f t="shared" si="175"/>
        <v>2035年4季度</v>
      </c>
      <c r="CE27" s="28" t="str">
        <f t="shared" si="175"/>
        <v>2036年1季度</v>
      </c>
      <c r="CF27" s="28" t="str">
        <f t="shared" si="175"/>
        <v>2036年2季度</v>
      </c>
      <c r="CG27" s="28" t="str">
        <f t="shared" si="175"/>
        <v>2036年3季度</v>
      </c>
      <c r="CH27" s="28" t="str">
        <f t="shared" si="175"/>
        <v>2036年4季度</v>
      </c>
      <c r="CI27" s="28" t="str">
        <f t="shared" si="175"/>
        <v>2037年1季度</v>
      </c>
      <c r="CJ27" s="28" t="str">
        <f t="shared" si="175"/>
        <v>2037年2季度</v>
      </c>
      <c r="CK27" s="28" t="str">
        <f t="shared" si="175"/>
        <v>2037年3季度</v>
      </c>
      <c r="CL27" s="28" t="str">
        <f t="shared" si="175"/>
        <v>2037年4季度</v>
      </c>
      <c r="CM27" s="28" t="str">
        <f t="shared" si="175"/>
        <v>2038年1季度</v>
      </c>
      <c r="CN27" s="28" t="str">
        <f t="shared" si="175"/>
        <v>2038年2季度</v>
      </c>
      <c r="CO27" s="28" t="str">
        <f t="shared" si="175"/>
        <v>2038年3季度</v>
      </c>
      <c r="CP27" s="28" t="str">
        <f t="shared" si="175"/>
        <v>2038年4季度</v>
      </c>
    </row>
    <row r="28" spans="1:135" s="28" customFormat="1" ht="12.75">
      <c r="G28" s="116"/>
      <c r="H28" s="116"/>
      <c r="I28" s="116"/>
      <c r="J28" s="116"/>
      <c r="K28" s="28" t="s">
        <v>631</v>
      </c>
      <c r="L28" s="28">
        <f>(L7+M7+N7+O7)/10000</f>
        <v>445.33440000000002</v>
      </c>
      <c r="N28" s="47"/>
      <c r="P28" s="28">
        <f>(P7+Q7+R7+S7)/10000</f>
        <v>488.06755199999998</v>
      </c>
      <c r="T28" s="28">
        <f>(T7+U7+V7+W7)/10000</f>
        <v>497.82890304000006</v>
      </c>
      <c r="X28" s="28">
        <f>(X7+Y7+Z7+AA7)/10000</f>
        <v>507.78548110079998</v>
      </c>
      <c r="AB28" s="28">
        <f>(AB7+AC7+AD7+AE7)/10000</f>
        <v>517.94119072281603</v>
      </c>
      <c r="AF28" s="28">
        <f>(AF7+AG7+AH7+AI7)/10000</f>
        <v>523.0693213240321</v>
      </c>
      <c r="AJ28" s="28">
        <f>(AJ7+AK7+AL7+AM7)/10000</f>
        <v>523.0693213240321</v>
      </c>
      <c r="AN28" s="28">
        <f>(AN7+AO7+AP7+AQ7)/10000</f>
        <v>523.0693213240321</v>
      </c>
      <c r="AR28" s="28">
        <f>(AR7+AS7+AT7+AU7)/10000</f>
        <v>523.0693213240321</v>
      </c>
      <c r="AV28" s="28">
        <f>(AV7+AW7+AX7+AY7)/10000</f>
        <v>523.0693213240321</v>
      </c>
      <c r="AZ28" s="28">
        <f>(AZ7+BA7+BB7+BC7)/10000</f>
        <v>523.0693213240321</v>
      </c>
      <c r="BD28" s="28">
        <f>(BD7+BE7+BF7+BG7)/10000</f>
        <v>523.0693213240321</v>
      </c>
      <c r="BH28" s="28">
        <f>(BH7+BI7+BJ7+BK7)/10000</f>
        <v>523.0693213240321</v>
      </c>
      <c r="BL28" s="28">
        <f>(BL7+BM7+BN7+BO7)/10000</f>
        <v>523.0693213240321</v>
      </c>
      <c r="BP28" s="28">
        <f>(BP7+BQ7+BR7+BS7)/10000</f>
        <v>523.0693213240321</v>
      </c>
      <c r="BT28" s="28">
        <f>(BT7+BU7+BV7+BW7)/10000</f>
        <v>523.0693213240321</v>
      </c>
      <c r="BX28" s="28">
        <f>(BX7+BY7+BZ7+CA7)/10000</f>
        <v>523.0693213240321</v>
      </c>
      <c r="CB28" s="28">
        <f>(CB7+CC7+CD7+CE7)/10000</f>
        <v>523.0693213240321</v>
      </c>
      <c r="CF28" s="28">
        <f>(CF7+CG7+CH7+CI7)/10000</f>
        <v>523.0693213240321</v>
      </c>
      <c r="CJ28" s="28">
        <f>(CJ7+CK7+CL7+CM7)/10000</f>
        <v>523.0693213240321</v>
      </c>
      <c r="CN28" s="28">
        <f>(CN7+CO7+CP7+CQ7)/10000</f>
        <v>523.0693213240321</v>
      </c>
    </row>
    <row r="29" spans="1:135" s="28" customFormat="1" ht="12.75">
      <c r="G29" s="116"/>
      <c r="H29" s="116"/>
      <c r="I29" s="116"/>
      <c r="J29" s="116"/>
      <c r="K29" s="28" t="s">
        <v>633</v>
      </c>
      <c r="L29" s="28">
        <f>(L11+M11+N11+O11)/10000</f>
        <v>48.986784</v>
      </c>
      <c r="M29" s="47"/>
      <c r="N29" s="47"/>
      <c r="P29" s="28">
        <f>(P11+Q11+R11+S11)/10000</f>
        <v>53.687430720000002</v>
      </c>
      <c r="T29" s="28">
        <f>(T11+U11+V11+W11)/10000</f>
        <v>54.761179334399998</v>
      </c>
      <c r="X29" s="28">
        <f>(X11+Y11+Z11+AA11)/10000</f>
        <v>55.856402921088005</v>
      </c>
      <c r="AB29" s="28">
        <f>(AB11+AC11+AD11+AE11)/10000</f>
        <v>56.973530979509768</v>
      </c>
      <c r="AF29" s="28">
        <f>(AF11+AG11+AH11+AI11)/10000</f>
        <v>57.537625345643541</v>
      </c>
      <c r="AJ29" s="28">
        <f>(AJ11+AK11+AL11+AM11)/10000</f>
        <v>57.537625345643541</v>
      </c>
      <c r="AN29" s="28">
        <f>(AN11+AO11+AP11+AQ11)/10000</f>
        <v>57.537625345643541</v>
      </c>
      <c r="AR29" s="28">
        <f>(AR11+AS11+AT11+AU11)/10000</f>
        <v>57.537625345643541</v>
      </c>
      <c r="AV29" s="28">
        <f>(AV11+AW11+AX11+AY11)/10000</f>
        <v>57.537625345643541</v>
      </c>
      <c r="AZ29" s="28">
        <f>(AZ11+BA11+BB11+BC11)/10000</f>
        <v>57.537625345643541</v>
      </c>
      <c r="BD29" s="28">
        <f>(BD11+BE11+BF11+BG11)/10000</f>
        <v>57.537625345643541</v>
      </c>
      <c r="BH29" s="28">
        <f>(BH11+BI11+BJ11+BK11)/10000</f>
        <v>57.537625345643541</v>
      </c>
      <c r="BL29" s="28">
        <f>(BL11+BM11+BN11+BO11)/10000</f>
        <v>57.537625345643541</v>
      </c>
      <c r="BP29" s="28">
        <f>(BP11+BQ11+BR11+BS11)/10000</f>
        <v>57.537625345643541</v>
      </c>
      <c r="BT29" s="28">
        <f>(BT11+BU11+BV11+BW11)/10000</f>
        <v>57.537625345643541</v>
      </c>
      <c r="BX29" s="28">
        <f>(BX11+BY11+BZ11+CA11)/10000</f>
        <v>57.537625345643541</v>
      </c>
      <c r="CB29" s="28">
        <f>(CB11+CC11+CD11+CE11)/10000</f>
        <v>57.537625345643541</v>
      </c>
      <c r="CF29" s="28">
        <f>(CF11+CG11+CH11+CI11)/10000</f>
        <v>57.537625345643541</v>
      </c>
      <c r="CJ29" s="28">
        <f>(CJ11+CK11+CL11+CM11)/10000</f>
        <v>57.537625345643541</v>
      </c>
      <c r="CN29" s="28">
        <f>(CN11+CO11+CP11+CQ11)/10000</f>
        <v>57.537625345643541</v>
      </c>
    </row>
    <row r="30" spans="1:135" s="28" customFormat="1" ht="12.75">
      <c r="G30" s="116"/>
      <c r="H30" s="116"/>
      <c r="I30" s="116"/>
      <c r="J30" s="116"/>
      <c r="K30" s="28" t="s">
        <v>639</v>
      </c>
      <c r="L30" s="28">
        <f>(L18+M18+N18+O18)/10000</f>
        <v>78.324799999999996</v>
      </c>
      <c r="M30" s="47"/>
      <c r="N30" s="47"/>
      <c r="P30" s="28">
        <f>(P18+Q18+R18+S18)/10000</f>
        <v>85.8172</v>
      </c>
      <c r="T30" s="28">
        <f>(T18+U18+V18+W18)/10000</f>
        <v>87.509</v>
      </c>
      <c r="X30" s="28">
        <f>(X18+Y18+Z18+AA18)/10000</f>
        <v>89.234800000000007</v>
      </c>
      <c r="AB30" s="28">
        <f>(AB18+AC18+AD18+AE18)/10000</f>
        <v>90.995400000000004</v>
      </c>
      <c r="AF30" s="28">
        <f>(AF18+AG18+AH18+AI18)/10000</f>
        <v>91.884399999999999</v>
      </c>
      <c r="AJ30" s="28">
        <f>(AJ18+AK18+AL18+AM18)/10000</f>
        <v>91.884399999999999</v>
      </c>
      <c r="AN30" s="28">
        <f>(AN18+AO18+AP18+AQ18)/10000</f>
        <v>91.884399999999999</v>
      </c>
      <c r="AR30" s="28">
        <f>(AR18+AS18+AT18+AU18)/10000</f>
        <v>91.884399999999999</v>
      </c>
      <c r="AV30" s="28">
        <f>(AV18+AW18+AX18+AY18)/10000</f>
        <v>91.884399999999999</v>
      </c>
      <c r="AZ30" s="28">
        <f>(AZ18+BA18+BB18+BC18)/10000</f>
        <v>91.884399999999999</v>
      </c>
      <c r="BD30" s="28">
        <f>(BD18+BE18+BF18+BG18)/10000</f>
        <v>91.884399999999999</v>
      </c>
      <c r="BH30" s="28">
        <f>(BH18+BI18+BJ18+BK18)/10000</f>
        <v>91.884399999999999</v>
      </c>
      <c r="BL30" s="28">
        <f>(BL18+BM18+BN18+BO18)/10000</f>
        <v>91.884399999999999</v>
      </c>
      <c r="BP30" s="28">
        <f>(BP18+BQ18+BR18+BS18)/10000</f>
        <v>91.884399999999999</v>
      </c>
      <c r="BT30" s="28">
        <f>(BT18+BU18+BV18+BW18)/10000</f>
        <v>91.884399999999999</v>
      </c>
      <c r="BX30" s="28">
        <f>(BX18+BY18+BZ18+CA18)/10000</f>
        <v>91.884399999999999</v>
      </c>
      <c r="CB30" s="28">
        <f>(CB18+CC18+CD18+CE18)/10000</f>
        <v>91.884399999999999</v>
      </c>
      <c r="CF30" s="28">
        <f>(CF18+CG18+CH18+CI18)/10000</f>
        <v>91.884399999999999</v>
      </c>
      <c r="CJ30" s="28">
        <f>(CJ18+CK18+CL18+CM18)/10000</f>
        <v>91.884399999999999</v>
      </c>
      <c r="CN30" s="28">
        <f>(CN18+CO18+CP18+CQ18)/10000</f>
        <v>91.884399999999999</v>
      </c>
    </row>
    <row r="31" spans="1:135" s="28" customFormat="1" ht="12.75">
      <c r="G31" s="116"/>
      <c r="H31" s="116"/>
      <c r="I31" s="116"/>
      <c r="J31" s="116"/>
      <c r="K31" s="28" t="s">
        <v>635</v>
      </c>
      <c r="L31" s="28">
        <f>L28-L29-L30</f>
        <v>318.02281600000003</v>
      </c>
      <c r="M31" s="47"/>
      <c r="N31" s="47"/>
      <c r="P31" s="28">
        <f>P28-P29-P30</f>
        <v>348.56292127999996</v>
      </c>
      <c r="T31" s="28">
        <f>T28-T29-T30</f>
        <v>355.55872370560007</v>
      </c>
      <c r="X31" s="28">
        <f>X28-X29-X30</f>
        <v>362.69427817971194</v>
      </c>
      <c r="AB31" s="28">
        <f>AB28-AB29-AB30</f>
        <v>369.97225974330627</v>
      </c>
      <c r="AF31" s="28">
        <f>AF28-AF29-AF30</f>
        <v>373.64729597838857</v>
      </c>
      <c r="AJ31" s="28">
        <f>AJ28-AJ29-AJ30</f>
        <v>373.64729597838857</v>
      </c>
      <c r="AN31" s="28">
        <f>AN28-AN29-AN30</f>
        <v>373.64729597838857</v>
      </c>
      <c r="AR31" s="28">
        <f>AR28-AR29-AR30</f>
        <v>373.64729597838857</v>
      </c>
      <c r="AV31" s="28">
        <f>AV28-AV29-AV30</f>
        <v>373.64729597838857</v>
      </c>
      <c r="AZ31" s="28">
        <f>AZ28-AZ29-AZ30</f>
        <v>373.64729597838857</v>
      </c>
      <c r="BD31" s="28">
        <f>BD28-BD29-BD30</f>
        <v>373.64729597838857</v>
      </c>
      <c r="BH31" s="28">
        <f>BH28-BH29-BH30</f>
        <v>373.64729597838857</v>
      </c>
      <c r="BL31" s="28">
        <f>BL28-BL29-BL30</f>
        <v>373.64729597838857</v>
      </c>
      <c r="BP31" s="28">
        <f>BP28-BP29-BP30</f>
        <v>373.64729597838857</v>
      </c>
      <c r="BT31" s="28">
        <f>BT28-BT29-BT30</f>
        <v>373.64729597838857</v>
      </c>
      <c r="BX31" s="28">
        <f>BX28-BX29-BX30</f>
        <v>373.64729597838857</v>
      </c>
      <c r="CB31" s="28">
        <f>CB28-CB29-CB30</f>
        <v>373.64729597838857</v>
      </c>
      <c r="CF31" s="28">
        <f>CF28-CF29-CF30</f>
        <v>373.64729597838857</v>
      </c>
      <c r="CJ31" s="28">
        <f>CJ28-CJ29-CJ30</f>
        <v>373.64729597838857</v>
      </c>
      <c r="CN31" s="28">
        <f>CN28-CN29-CN30</f>
        <v>373.64729597838857</v>
      </c>
    </row>
    <row r="32" spans="1:135" s="28" customFormat="1" ht="12.75">
      <c r="G32" s="116"/>
      <c r="H32" s="116"/>
      <c r="I32" s="116"/>
      <c r="J32" s="116"/>
      <c r="M32" s="47"/>
      <c r="N32" s="47"/>
    </row>
    <row r="33" spans="7:92" s="28" customFormat="1" ht="12.75">
      <c r="G33" s="116"/>
      <c r="H33" s="116"/>
      <c r="I33" s="116"/>
      <c r="J33" s="116"/>
      <c r="K33" s="28" t="s">
        <v>637</v>
      </c>
      <c r="L33" s="28">
        <f>(L22+M22+N22+O22)/10000</f>
        <v>318.02281600000003</v>
      </c>
      <c r="M33" s="47"/>
      <c r="N33" s="47"/>
      <c r="P33" s="28">
        <f>(P22+Q22+R22+S22)/10000</f>
        <v>348.56292128000001</v>
      </c>
      <c r="T33" s="28">
        <f>(T22+U22+V22+W22)/10000</f>
        <v>355.55872370560002</v>
      </c>
      <c r="X33" s="28">
        <f>(X22+Y22+Z22+AA22)/10000</f>
        <v>362.69427817971206</v>
      </c>
      <c r="AB33" s="28">
        <f>(AB22+AC22+AD22+AE22)/10000</f>
        <v>369.97225974330632</v>
      </c>
      <c r="AF33" s="28">
        <f>(AF22+AG22+AH22+AI22)/10000</f>
        <v>373.64729597838857</v>
      </c>
      <c r="AJ33" s="28">
        <f>(AJ22+AK22+AL22+AM22)/10000</f>
        <v>373.64729597838857</v>
      </c>
      <c r="AN33" s="28">
        <f>(AN22+AO22+AP22+AQ22)/10000</f>
        <v>373.64729597838857</v>
      </c>
      <c r="AR33" s="28">
        <f>(AR22+AS22+AT22+AU22)/10000</f>
        <v>373.64729597838857</v>
      </c>
      <c r="AV33" s="28">
        <f>(AV22+AW22+AX22+AY22)/10000</f>
        <v>373.64729597838857</v>
      </c>
      <c r="AZ33" s="28">
        <f>(AZ22+BA22+BB22+BC22)/10000</f>
        <v>373.64729597838857</v>
      </c>
      <c r="BD33" s="28">
        <f>(BD22+BE22+BF22+BG22)/10000</f>
        <v>373.64729597838857</v>
      </c>
      <c r="BH33" s="28">
        <f>(BH22+BI22+BJ22+BK22)/10000</f>
        <v>373.64729597838857</v>
      </c>
      <c r="BL33" s="28">
        <f>(BL22+BM22+BN22+BO22)/10000</f>
        <v>373.64729597838857</v>
      </c>
      <c r="BP33" s="28">
        <f>(BP22+BQ22+BR22+BS22)/10000</f>
        <v>373.64729597838857</v>
      </c>
      <c r="BT33" s="28">
        <f>(BT22+BU22+BV22+BW22)/10000</f>
        <v>373.64729597838857</v>
      </c>
      <c r="BX33" s="28">
        <f>(BX22+BY22+BZ22+CA22)/10000</f>
        <v>373.64729597838857</v>
      </c>
      <c r="CB33" s="28">
        <f>(CB22+CC22+CD22+CE22)/10000</f>
        <v>373.64729597838857</v>
      </c>
      <c r="CF33" s="28">
        <f>(CF22+CG22+CH22+CI22)/10000</f>
        <v>373.64729597838857</v>
      </c>
      <c r="CJ33" s="28">
        <f>(CJ22+CK22+CL22+CM22)/10000</f>
        <v>373.64729597838857</v>
      </c>
      <c r="CN33" s="28">
        <f>(CN22+CO22+CP22+CQ22)/10000</f>
        <v>373.64729597838857</v>
      </c>
    </row>
  </sheetData>
  <mergeCells count="126">
    <mergeCell ref="CI2:CL2"/>
    <mergeCell ref="CM2:CP2"/>
    <mergeCell ref="CQ2:CT2"/>
    <mergeCell ref="CU2:CX2"/>
    <mergeCell ref="CY2:DB2"/>
    <mergeCell ref="BG2:BJ2"/>
    <mergeCell ref="BK2:BN2"/>
    <mergeCell ref="L2:N2"/>
    <mergeCell ref="O2:R2"/>
    <mergeCell ref="S2:V2"/>
    <mergeCell ref="W2:Z2"/>
    <mergeCell ref="AA2:AD2"/>
    <mergeCell ref="AE2:AH2"/>
    <mergeCell ref="BO2:BR2"/>
    <mergeCell ref="BS2:BV2"/>
    <mergeCell ref="BW2:BZ2"/>
    <mergeCell ref="EA5:ED5"/>
    <mergeCell ref="A11:B11"/>
    <mergeCell ref="CA2:CD2"/>
    <mergeCell ref="AI2:AL2"/>
    <mergeCell ref="AM2:AP2"/>
    <mergeCell ref="AQ2:AT2"/>
    <mergeCell ref="AU2:AX2"/>
    <mergeCell ref="AY2:BB2"/>
    <mergeCell ref="BC2:BF2"/>
    <mergeCell ref="EA2:ED2"/>
    <mergeCell ref="L5:N5"/>
    <mergeCell ref="O5:R5"/>
    <mergeCell ref="S5:V5"/>
    <mergeCell ref="W5:Z5"/>
    <mergeCell ref="AA5:AD5"/>
    <mergeCell ref="AE5:AH5"/>
    <mergeCell ref="AI5:AL5"/>
    <mergeCell ref="DC2:DF2"/>
    <mergeCell ref="DG2:DJ2"/>
    <mergeCell ref="DK2:DN2"/>
    <mergeCell ref="DO2:DR2"/>
    <mergeCell ref="DS2:DV2"/>
    <mergeCell ref="DW2:DZ2"/>
    <mergeCell ref="CE2:CH2"/>
    <mergeCell ref="A18:B18"/>
    <mergeCell ref="CQ5:CT5"/>
    <mergeCell ref="CU5:CX5"/>
    <mergeCell ref="CY5:DB5"/>
    <mergeCell ref="DC5:DF5"/>
    <mergeCell ref="DG5:DJ5"/>
    <mergeCell ref="DK5:DN5"/>
    <mergeCell ref="BS5:BV5"/>
    <mergeCell ref="BW5:BZ5"/>
    <mergeCell ref="CA5:CD5"/>
    <mergeCell ref="CE5:CH5"/>
    <mergeCell ref="CI5:CL5"/>
    <mergeCell ref="CM5:CP5"/>
    <mergeCell ref="AU5:AX5"/>
    <mergeCell ref="AY5:BB5"/>
    <mergeCell ref="BC5:BF5"/>
    <mergeCell ref="BG5:BJ5"/>
    <mergeCell ref="BK5:BN5"/>
    <mergeCell ref="BO5:BR5"/>
    <mergeCell ref="AM5:AP5"/>
    <mergeCell ref="AQ5:AT5"/>
    <mergeCell ref="M23:P23"/>
    <mergeCell ref="Q23:T23"/>
    <mergeCell ref="U23:X23"/>
    <mergeCell ref="Y23:AB23"/>
    <mergeCell ref="AC23:AF23"/>
    <mergeCell ref="AG23:AJ23"/>
    <mergeCell ref="DO5:DR5"/>
    <mergeCell ref="DS5:DV5"/>
    <mergeCell ref="DW5:DZ5"/>
    <mergeCell ref="BQ23:BT23"/>
    <mergeCell ref="BU23:BX23"/>
    <mergeCell ref="BY23:CB23"/>
    <mergeCell ref="CC23:CF23"/>
    <mergeCell ref="AK23:AN23"/>
    <mergeCell ref="AO23:AR23"/>
    <mergeCell ref="AS23:AV23"/>
    <mergeCell ref="AW23:AZ23"/>
    <mergeCell ref="BA23:BD23"/>
    <mergeCell ref="BE23:BH23"/>
    <mergeCell ref="EC23:ED23"/>
    <mergeCell ref="M24:P24"/>
    <mergeCell ref="Q24:T24"/>
    <mergeCell ref="U24:X24"/>
    <mergeCell ref="Y24:AB24"/>
    <mergeCell ref="AC24:AF24"/>
    <mergeCell ref="AG24:AJ24"/>
    <mergeCell ref="AK24:AN24"/>
    <mergeCell ref="AO24:AR24"/>
    <mergeCell ref="AS24:AV24"/>
    <mergeCell ref="DE23:DH23"/>
    <mergeCell ref="DI23:DL23"/>
    <mergeCell ref="DM23:DP23"/>
    <mergeCell ref="DQ23:DT23"/>
    <mergeCell ref="DU23:DX23"/>
    <mergeCell ref="DY23:EB23"/>
    <mergeCell ref="CG23:CJ23"/>
    <mergeCell ref="CK23:CN23"/>
    <mergeCell ref="CO23:CR23"/>
    <mergeCell ref="CS23:CV23"/>
    <mergeCell ref="CW23:CZ23"/>
    <mergeCell ref="DA23:DD23"/>
    <mergeCell ref="BI23:BL23"/>
    <mergeCell ref="BM23:BP23"/>
    <mergeCell ref="BU24:BX24"/>
    <mergeCell ref="BY24:CB24"/>
    <mergeCell ref="CC24:CF24"/>
    <mergeCell ref="CG24:CJ24"/>
    <mergeCell ref="CK24:CN24"/>
    <mergeCell ref="CO24:CR24"/>
    <mergeCell ref="AW24:AZ24"/>
    <mergeCell ref="BA24:BD24"/>
    <mergeCell ref="BE24:BH24"/>
    <mergeCell ref="BI24:BL24"/>
    <mergeCell ref="BM24:BP24"/>
    <mergeCell ref="BQ24:BT24"/>
    <mergeCell ref="DQ24:DT24"/>
    <mergeCell ref="DU24:DX24"/>
    <mergeCell ref="DY24:EB24"/>
    <mergeCell ref="EC24:ED24"/>
    <mergeCell ref="CS24:CV24"/>
    <mergeCell ref="CW24:CZ24"/>
    <mergeCell ref="DA24:DD24"/>
    <mergeCell ref="DE24:DH24"/>
    <mergeCell ref="DI24:DL24"/>
    <mergeCell ref="DM24:DP2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E35"/>
  <sheetViews>
    <sheetView workbookViewId="0">
      <selection activeCell="H33" sqref="H33"/>
    </sheetView>
  </sheetViews>
  <sheetFormatPr defaultRowHeight="14.25"/>
  <cols>
    <col min="3" max="3" width="15.75" customWidth="1"/>
    <col min="13" max="13" width="9.5" bestFit="1" customWidth="1"/>
    <col min="95" max="95" width="9.5" bestFit="1" customWidth="1"/>
    <col min="135" max="135" width="10.5" bestFit="1" customWidth="1"/>
  </cols>
  <sheetData>
    <row r="1" spans="1:135" ht="17.25" customHeight="1">
      <c r="L1">
        <v>0.18</v>
      </c>
      <c r="M1">
        <v>1</v>
      </c>
      <c r="Q1">
        <v>2</v>
      </c>
      <c r="U1">
        <v>3</v>
      </c>
      <c r="Y1">
        <v>4</v>
      </c>
      <c r="AC1">
        <v>5</v>
      </c>
      <c r="AG1">
        <v>6</v>
      </c>
      <c r="AK1">
        <v>7</v>
      </c>
      <c r="AO1">
        <v>8</v>
      </c>
      <c r="AS1">
        <v>9</v>
      </c>
      <c r="AW1">
        <v>10</v>
      </c>
      <c r="BA1">
        <v>11</v>
      </c>
      <c r="BE1">
        <v>12</v>
      </c>
      <c r="BI1">
        <v>13</v>
      </c>
      <c r="BM1">
        <v>14</v>
      </c>
      <c r="BQ1">
        <v>15</v>
      </c>
      <c r="BU1">
        <v>16</v>
      </c>
      <c r="BY1">
        <v>17</v>
      </c>
      <c r="CC1">
        <v>18</v>
      </c>
      <c r="CG1">
        <v>19</v>
      </c>
      <c r="CK1">
        <v>20</v>
      </c>
      <c r="CO1">
        <v>21</v>
      </c>
      <c r="CS1">
        <v>22</v>
      </c>
      <c r="CW1">
        <v>23</v>
      </c>
      <c r="DA1">
        <v>24</v>
      </c>
      <c r="DE1">
        <v>25</v>
      </c>
      <c r="DI1">
        <v>26</v>
      </c>
      <c r="DM1">
        <v>27</v>
      </c>
      <c r="DQ1">
        <v>28</v>
      </c>
      <c r="DU1">
        <v>29</v>
      </c>
      <c r="DY1">
        <v>30</v>
      </c>
      <c r="EC1">
        <v>30.5</v>
      </c>
    </row>
    <row r="2" spans="1:135" s="28" customFormat="1" ht="20.25">
      <c r="A2" s="76" t="s">
        <v>606</v>
      </c>
      <c r="B2" s="30"/>
      <c r="C2" s="31"/>
      <c r="D2" s="29"/>
      <c r="E2" s="32"/>
      <c r="F2" s="29"/>
      <c r="G2" s="29"/>
      <c r="H2" s="30"/>
      <c r="I2" s="29"/>
      <c r="J2" s="29"/>
      <c r="K2" s="29"/>
      <c r="L2" s="224" t="s">
        <v>145</v>
      </c>
      <c r="M2" s="224"/>
      <c r="N2" s="224"/>
      <c r="O2" s="224" t="s">
        <v>221</v>
      </c>
      <c r="P2" s="224"/>
      <c r="Q2" s="224"/>
      <c r="R2" s="224"/>
      <c r="S2" s="224" t="s">
        <v>146</v>
      </c>
      <c r="T2" s="224"/>
      <c r="U2" s="224"/>
      <c r="V2" s="224"/>
      <c r="W2" s="224" t="s">
        <v>147</v>
      </c>
      <c r="X2" s="224"/>
      <c r="Y2" s="224"/>
      <c r="Z2" s="224"/>
      <c r="AA2" s="224" t="s">
        <v>148</v>
      </c>
      <c r="AB2" s="224"/>
      <c r="AC2" s="224"/>
      <c r="AD2" s="224"/>
      <c r="AE2" s="224" t="s">
        <v>149</v>
      </c>
      <c r="AF2" s="224"/>
      <c r="AG2" s="224"/>
      <c r="AH2" s="224"/>
      <c r="AI2" s="224" t="s">
        <v>150</v>
      </c>
      <c r="AJ2" s="224"/>
      <c r="AK2" s="224"/>
      <c r="AL2" s="224"/>
      <c r="AM2" s="224" t="s">
        <v>151</v>
      </c>
      <c r="AN2" s="224"/>
      <c r="AO2" s="224"/>
      <c r="AP2" s="224"/>
      <c r="AQ2" s="224" t="s">
        <v>152</v>
      </c>
      <c r="AR2" s="224"/>
      <c r="AS2" s="224"/>
      <c r="AT2" s="224"/>
      <c r="AU2" s="224" t="s">
        <v>153</v>
      </c>
      <c r="AV2" s="224"/>
      <c r="AW2" s="224"/>
      <c r="AX2" s="224"/>
      <c r="AY2" s="231" t="s">
        <v>154</v>
      </c>
      <c r="AZ2" s="231"/>
      <c r="BA2" s="231"/>
      <c r="BB2" s="231"/>
      <c r="BC2" s="224" t="s">
        <v>155</v>
      </c>
      <c r="BD2" s="224"/>
      <c r="BE2" s="224"/>
      <c r="BF2" s="224"/>
      <c r="BG2" s="224" t="s">
        <v>156</v>
      </c>
      <c r="BH2" s="224"/>
      <c r="BI2" s="224"/>
      <c r="BJ2" s="224"/>
      <c r="BK2" s="224" t="s">
        <v>157</v>
      </c>
      <c r="BL2" s="224"/>
      <c r="BM2" s="224"/>
      <c r="BN2" s="224"/>
      <c r="BO2" s="224" t="s">
        <v>158</v>
      </c>
      <c r="BP2" s="224"/>
      <c r="BQ2" s="224"/>
      <c r="BR2" s="224"/>
      <c r="BS2" s="224" t="s">
        <v>159</v>
      </c>
      <c r="BT2" s="224"/>
      <c r="BU2" s="224"/>
      <c r="BV2" s="224"/>
      <c r="BW2" s="224" t="s">
        <v>222</v>
      </c>
      <c r="BX2" s="224"/>
      <c r="BY2" s="224"/>
      <c r="BZ2" s="224"/>
      <c r="CA2" s="224" t="s">
        <v>223</v>
      </c>
      <c r="CB2" s="224"/>
      <c r="CC2" s="224"/>
      <c r="CD2" s="224"/>
      <c r="CE2" s="224" t="s">
        <v>160</v>
      </c>
      <c r="CF2" s="224"/>
      <c r="CG2" s="224"/>
      <c r="CH2" s="224"/>
      <c r="CI2" s="224" t="s">
        <v>161</v>
      </c>
      <c r="CJ2" s="224"/>
      <c r="CK2" s="224"/>
      <c r="CL2" s="224"/>
      <c r="CM2" s="224" t="s">
        <v>162</v>
      </c>
      <c r="CN2" s="224"/>
      <c r="CO2" s="224"/>
      <c r="CP2" s="224"/>
      <c r="CQ2" s="224" t="s">
        <v>594</v>
      </c>
      <c r="CR2" s="224"/>
      <c r="CS2" s="224"/>
      <c r="CT2" s="224"/>
      <c r="CU2" s="224" t="s">
        <v>595</v>
      </c>
      <c r="CV2" s="224"/>
      <c r="CW2" s="224"/>
      <c r="CX2" s="224"/>
      <c r="CY2" s="224" t="s">
        <v>596</v>
      </c>
      <c r="CZ2" s="224"/>
      <c r="DA2" s="224"/>
      <c r="DB2" s="224"/>
      <c r="DC2" s="224" t="s">
        <v>597</v>
      </c>
      <c r="DD2" s="224"/>
      <c r="DE2" s="224"/>
      <c r="DF2" s="224"/>
      <c r="DG2" s="224" t="s">
        <v>598</v>
      </c>
      <c r="DH2" s="224"/>
      <c r="DI2" s="224"/>
      <c r="DJ2" s="224"/>
      <c r="DK2" s="224" t="s">
        <v>599</v>
      </c>
      <c r="DL2" s="224"/>
      <c r="DM2" s="224"/>
      <c r="DN2" s="224"/>
      <c r="DO2" s="224" t="s">
        <v>600</v>
      </c>
      <c r="DP2" s="224"/>
      <c r="DQ2" s="224"/>
      <c r="DR2" s="224"/>
      <c r="DS2" s="224" t="s">
        <v>601</v>
      </c>
      <c r="DT2" s="224"/>
      <c r="DU2" s="224"/>
      <c r="DV2" s="224"/>
      <c r="DW2" s="224" t="s">
        <v>602</v>
      </c>
      <c r="DX2" s="224"/>
      <c r="DY2" s="224"/>
      <c r="DZ2" s="224"/>
      <c r="EA2" s="224" t="s">
        <v>603</v>
      </c>
      <c r="EB2" s="224"/>
      <c r="EC2" s="224"/>
      <c r="ED2" s="224"/>
    </row>
    <row r="3" spans="1:135" s="40" customFormat="1" ht="36">
      <c r="A3" s="140" t="s">
        <v>272</v>
      </c>
      <c r="B3" s="141" t="s">
        <v>136</v>
      </c>
      <c r="C3" s="142" t="s">
        <v>137</v>
      </c>
      <c r="D3" s="34" t="s">
        <v>138</v>
      </c>
      <c r="E3" s="34" t="s">
        <v>139</v>
      </c>
      <c r="F3" s="34" t="s">
        <v>313</v>
      </c>
      <c r="G3" s="34" t="s">
        <v>314</v>
      </c>
      <c r="H3" s="35" t="s">
        <v>315</v>
      </c>
      <c r="I3" s="34" t="s">
        <v>142</v>
      </c>
      <c r="J3" s="34" t="s">
        <v>143</v>
      </c>
      <c r="K3" s="34" t="s">
        <v>144</v>
      </c>
      <c r="L3" s="39" t="s">
        <v>224</v>
      </c>
      <c r="M3" s="68" t="s">
        <v>163</v>
      </c>
      <c r="N3" s="39" t="s">
        <v>225</v>
      </c>
      <c r="O3" s="39" t="s">
        <v>164</v>
      </c>
      <c r="P3" s="39" t="s">
        <v>226</v>
      </c>
      <c r="Q3" s="68" t="s">
        <v>227</v>
      </c>
      <c r="R3" s="39" t="s">
        <v>165</v>
      </c>
      <c r="S3" s="39" t="s">
        <v>228</v>
      </c>
      <c r="T3" s="39" t="s">
        <v>166</v>
      </c>
      <c r="U3" s="68" t="s">
        <v>167</v>
      </c>
      <c r="V3" s="39" t="s">
        <v>229</v>
      </c>
      <c r="W3" s="39" t="s">
        <v>230</v>
      </c>
      <c r="X3" s="39" t="s">
        <v>231</v>
      </c>
      <c r="Y3" s="68" t="s">
        <v>168</v>
      </c>
      <c r="Z3" s="39" t="s">
        <v>169</v>
      </c>
      <c r="AA3" s="39" t="s">
        <v>232</v>
      </c>
      <c r="AB3" s="39" t="s">
        <v>170</v>
      </c>
      <c r="AC3" s="68" t="s">
        <v>233</v>
      </c>
      <c r="AD3" s="39" t="s">
        <v>234</v>
      </c>
      <c r="AE3" s="39" t="s">
        <v>171</v>
      </c>
      <c r="AF3" s="39" t="s">
        <v>172</v>
      </c>
      <c r="AG3" s="68" t="s">
        <v>173</v>
      </c>
      <c r="AH3" s="39" t="s">
        <v>174</v>
      </c>
      <c r="AI3" s="39" t="s">
        <v>175</v>
      </c>
      <c r="AJ3" s="39" t="s">
        <v>235</v>
      </c>
      <c r="AK3" s="68" t="s">
        <v>176</v>
      </c>
      <c r="AL3" s="39" t="s">
        <v>177</v>
      </c>
      <c r="AM3" s="39" t="s">
        <v>178</v>
      </c>
      <c r="AN3" s="39" t="s">
        <v>179</v>
      </c>
      <c r="AO3" s="68" t="s">
        <v>180</v>
      </c>
      <c r="AP3" s="39" t="s">
        <v>181</v>
      </c>
      <c r="AQ3" s="39" t="s">
        <v>182</v>
      </c>
      <c r="AR3" s="39" t="s">
        <v>236</v>
      </c>
      <c r="AS3" s="68" t="s">
        <v>183</v>
      </c>
      <c r="AT3" s="39" t="s">
        <v>237</v>
      </c>
      <c r="AU3" s="39" t="s">
        <v>184</v>
      </c>
      <c r="AV3" s="39" t="s">
        <v>238</v>
      </c>
      <c r="AW3" s="68" t="s">
        <v>239</v>
      </c>
      <c r="AX3" s="39" t="s">
        <v>185</v>
      </c>
      <c r="AY3" s="39" t="s">
        <v>186</v>
      </c>
      <c r="AZ3" s="39" t="s">
        <v>240</v>
      </c>
      <c r="BA3" s="68" t="s">
        <v>187</v>
      </c>
      <c r="BB3" s="78" t="s">
        <v>188</v>
      </c>
      <c r="BC3" s="39" t="s">
        <v>241</v>
      </c>
      <c r="BD3" s="39" t="s">
        <v>189</v>
      </c>
      <c r="BE3" s="39" t="s">
        <v>190</v>
      </c>
      <c r="BF3" s="39" t="s">
        <v>242</v>
      </c>
      <c r="BG3" s="39" t="s">
        <v>243</v>
      </c>
      <c r="BH3" s="39" t="s">
        <v>191</v>
      </c>
      <c r="BI3" s="39" t="s">
        <v>192</v>
      </c>
      <c r="BJ3" s="39" t="s">
        <v>193</v>
      </c>
      <c r="BK3" s="39" t="s">
        <v>244</v>
      </c>
      <c r="BL3" s="39" t="s">
        <v>194</v>
      </c>
      <c r="BM3" s="39" t="s">
        <v>195</v>
      </c>
      <c r="BN3" s="39" t="s">
        <v>196</v>
      </c>
      <c r="BO3" s="39" t="s">
        <v>245</v>
      </c>
      <c r="BP3" s="39" t="s">
        <v>197</v>
      </c>
      <c r="BQ3" s="39" t="s">
        <v>198</v>
      </c>
      <c r="BR3" s="39" t="s">
        <v>199</v>
      </c>
      <c r="BS3" s="39" t="s">
        <v>200</v>
      </c>
      <c r="BT3" s="39" t="s">
        <v>201</v>
      </c>
      <c r="BU3" s="39" t="s">
        <v>202</v>
      </c>
      <c r="BV3" s="39" t="s">
        <v>246</v>
      </c>
      <c r="BW3" s="39" t="s">
        <v>203</v>
      </c>
      <c r="BX3" s="39" t="s">
        <v>204</v>
      </c>
      <c r="BY3" s="39" t="s">
        <v>247</v>
      </c>
      <c r="BZ3" s="39" t="s">
        <v>205</v>
      </c>
      <c r="CA3" s="39" t="s">
        <v>206</v>
      </c>
      <c r="CB3" s="39" t="s">
        <v>207</v>
      </c>
      <c r="CC3" s="39" t="s">
        <v>208</v>
      </c>
      <c r="CD3" s="39" t="s">
        <v>209</v>
      </c>
      <c r="CE3" s="39" t="s">
        <v>210</v>
      </c>
      <c r="CF3" s="39" t="s">
        <v>211</v>
      </c>
      <c r="CG3" s="39" t="s">
        <v>212</v>
      </c>
      <c r="CH3" s="39" t="s">
        <v>213</v>
      </c>
      <c r="CI3" s="39" t="s">
        <v>214</v>
      </c>
      <c r="CJ3" s="39" t="s">
        <v>215</v>
      </c>
      <c r="CK3" s="39" t="s">
        <v>216</v>
      </c>
      <c r="CL3" s="39" t="s">
        <v>217</v>
      </c>
      <c r="CM3" s="39" t="s">
        <v>248</v>
      </c>
      <c r="CN3" s="39" t="s">
        <v>218</v>
      </c>
      <c r="CO3" s="39" t="s">
        <v>219</v>
      </c>
      <c r="CP3" s="39" t="s">
        <v>220</v>
      </c>
      <c r="CQ3" s="160" t="str">
        <f>办公现金流!CQ116</f>
        <v>2039年1季度</v>
      </c>
      <c r="CR3" s="160" t="str">
        <f>办公现金流!CR116</f>
        <v>2039年2季度</v>
      </c>
      <c r="CS3" s="160" t="str">
        <f>办公现金流!CS116</f>
        <v>2039年3季度</v>
      </c>
      <c r="CT3" s="160" t="str">
        <f>办公现金流!CT116</f>
        <v>2039年4季度</v>
      </c>
      <c r="CU3" s="160" t="str">
        <f>办公现金流!CU116</f>
        <v>2040年1季度</v>
      </c>
      <c r="CV3" s="160" t="str">
        <f>办公现金流!CV116</f>
        <v>2040年2季度</v>
      </c>
      <c r="CW3" s="160" t="str">
        <f>办公现金流!CW116</f>
        <v>2040年3季度</v>
      </c>
      <c r="CX3" s="160" t="str">
        <f>办公现金流!CX116</f>
        <v>2040年4季度</v>
      </c>
      <c r="CY3" s="160" t="str">
        <f>办公现金流!CY116</f>
        <v>2041年1季度</v>
      </c>
      <c r="CZ3" s="160" t="str">
        <f>办公现金流!CZ116</f>
        <v>2041年2季度</v>
      </c>
      <c r="DA3" s="160" t="str">
        <f>办公现金流!DA116</f>
        <v>2041年3季度</v>
      </c>
      <c r="DB3" s="160" t="str">
        <f>办公现金流!DB116</f>
        <v>2041年4季度</v>
      </c>
      <c r="DC3" s="160" t="str">
        <f>办公现金流!DC116</f>
        <v>2042年1季度</v>
      </c>
      <c r="DD3" s="160" t="str">
        <f>办公现金流!DD116</f>
        <v>2042年2季度</v>
      </c>
      <c r="DE3" s="160" t="str">
        <f>办公现金流!DE116</f>
        <v>2042年3季度</v>
      </c>
      <c r="DF3" s="160" t="str">
        <f>办公现金流!DF116</f>
        <v>2042年4季度</v>
      </c>
      <c r="DG3" s="160" t="str">
        <f>办公现金流!DG116</f>
        <v>2043年1季度</v>
      </c>
      <c r="DH3" s="160" t="str">
        <f>办公现金流!DH116</f>
        <v>2043年2季度</v>
      </c>
      <c r="DI3" s="160" t="str">
        <f>办公现金流!DI116</f>
        <v>2043年3季度</v>
      </c>
      <c r="DJ3" s="160" t="str">
        <f>办公现金流!DJ116</f>
        <v>2043年4季度</v>
      </c>
      <c r="DK3" s="160" t="str">
        <f>办公现金流!DK116</f>
        <v>2044年1季度</v>
      </c>
      <c r="DL3" s="160" t="str">
        <f>办公现金流!DL116</f>
        <v>2044年2季度</v>
      </c>
      <c r="DM3" s="160" t="str">
        <f>办公现金流!DM116</f>
        <v>2044年3季度</v>
      </c>
      <c r="DN3" s="160" t="str">
        <f>办公现金流!DN116</f>
        <v>2044年4季度</v>
      </c>
      <c r="DO3" s="160" t="str">
        <f>办公现金流!DO116</f>
        <v>2045年1季度</v>
      </c>
      <c r="DP3" s="160" t="str">
        <f>办公现金流!DP116</f>
        <v>2045年2季度</v>
      </c>
      <c r="DQ3" s="160" t="str">
        <f>办公现金流!DQ116</f>
        <v>2045年3季度</v>
      </c>
      <c r="DR3" s="160" t="str">
        <f>办公现金流!DR116</f>
        <v>2045年4季度</v>
      </c>
      <c r="DS3" s="160" t="str">
        <f>办公现金流!DS116</f>
        <v>2046年1季度</v>
      </c>
      <c r="DT3" s="160" t="str">
        <f>办公现金流!DT116</f>
        <v>2046年2季度</v>
      </c>
      <c r="DU3" s="160" t="str">
        <f>办公现金流!DU116</f>
        <v>2046年3季度</v>
      </c>
      <c r="DV3" s="160" t="str">
        <f>办公现金流!DV116</f>
        <v>2046年4季度</v>
      </c>
      <c r="DW3" s="160" t="str">
        <f>办公现金流!DW116</f>
        <v>2047年1季度</v>
      </c>
      <c r="DX3" s="160" t="str">
        <f>办公现金流!DX116</f>
        <v>2047年2季度</v>
      </c>
      <c r="DY3" s="160" t="str">
        <f>办公现金流!DY116</f>
        <v>2047年3季度</v>
      </c>
      <c r="DZ3" s="160" t="str">
        <f>办公现金流!DZ116</f>
        <v>2047年4季度</v>
      </c>
      <c r="EA3" s="160" t="str">
        <f>办公现金流!EA116</f>
        <v>2048年1季度</v>
      </c>
      <c r="EB3" s="160" t="str">
        <f>办公现金流!EB116</f>
        <v>2048年2季度</v>
      </c>
      <c r="EC3" s="160" t="str">
        <f>办公现金流!EC116</f>
        <v>2048年3季度</v>
      </c>
      <c r="ED3" s="160" t="str">
        <f>办公现金流!ED116</f>
        <v>2048年4季度</v>
      </c>
    </row>
    <row r="4" spans="1:135">
      <c r="L4">
        <f>历史运营!F46*取费表!B2*10000</f>
        <v>8013600</v>
      </c>
      <c r="M4">
        <f>历史运营!F46/4*10000</f>
        <v>11130000</v>
      </c>
      <c r="N4">
        <f>M4</f>
        <v>11130000</v>
      </c>
      <c r="O4">
        <f>N4</f>
        <v>11130000</v>
      </c>
      <c r="P4">
        <f t="shared" ref="P4:CA4" si="0">O4</f>
        <v>11130000</v>
      </c>
      <c r="Q4">
        <f t="shared" si="0"/>
        <v>11130000</v>
      </c>
      <c r="R4">
        <f t="shared" si="0"/>
        <v>11130000</v>
      </c>
      <c r="S4">
        <f t="shared" si="0"/>
        <v>11130000</v>
      </c>
      <c r="T4">
        <f t="shared" si="0"/>
        <v>11130000</v>
      </c>
      <c r="U4">
        <f t="shared" si="0"/>
        <v>11130000</v>
      </c>
      <c r="V4">
        <f t="shared" si="0"/>
        <v>11130000</v>
      </c>
      <c r="W4">
        <f t="shared" si="0"/>
        <v>11130000</v>
      </c>
      <c r="X4">
        <f t="shared" si="0"/>
        <v>11130000</v>
      </c>
      <c r="Y4">
        <f t="shared" si="0"/>
        <v>11130000</v>
      </c>
      <c r="Z4">
        <f t="shared" si="0"/>
        <v>11130000</v>
      </c>
      <c r="AA4">
        <f t="shared" si="0"/>
        <v>11130000</v>
      </c>
      <c r="AB4">
        <f t="shared" si="0"/>
        <v>11130000</v>
      </c>
      <c r="AC4">
        <f t="shared" si="0"/>
        <v>11130000</v>
      </c>
      <c r="AD4">
        <f t="shared" si="0"/>
        <v>11130000</v>
      </c>
      <c r="AE4">
        <f t="shared" si="0"/>
        <v>11130000</v>
      </c>
      <c r="AF4">
        <f t="shared" si="0"/>
        <v>11130000</v>
      </c>
      <c r="AG4">
        <f t="shared" si="0"/>
        <v>11130000</v>
      </c>
      <c r="AH4">
        <f t="shared" si="0"/>
        <v>11130000</v>
      </c>
      <c r="AI4">
        <f t="shared" si="0"/>
        <v>11130000</v>
      </c>
      <c r="AJ4">
        <f t="shared" si="0"/>
        <v>11130000</v>
      </c>
      <c r="AK4">
        <f t="shared" si="0"/>
        <v>11130000</v>
      </c>
      <c r="AL4">
        <f t="shared" si="0"/>
        <v>11130000</v>
      </c>
      <c r="AM4">
        <f t="shared" si="0"/>
        <v>11130000</v>
      </c>
      <c r="AN4">
        <f t="shared" si="0"/>
        <v>11130000</v>
      </c>
      <c r="AO4">
        <f t="shared" si="0"/>
        <v>11130000</v>
      </c>
      <c r="AP4">
        <f t="shared" si="0"/>
        <v>11130000</v>
      </c>
      <c r="AQ4">
        <f t="shared" si="0"/>
        <v>11130000</v>
      </c>
      <c r="AR4">
        <f t="shared" si="0"/>
        <v>11130000</v>
      </c>
      <c r="AS4">
        <f t="shared" si="0"/>
        <v>11130000</v>
      </c>
      <c r="AT4">
        <f t="shared" si="0"/>
        <v>11130000</v>
      </c>
      <c r="AU4">
        <f t="shared" si="0"/>
        <v>11130000</v>
      </c>
      <c r="AV4">
        <f t="shared" si="0"/>
        <v>11130000</v>
      </c>
      <c r="AW4">
        <f t="shared" si="0"/>
        <v>11130000</v>
      </c>
      <c r="AX4">
        <f t="shared" si="0"/>
        <v>11130000</v>
      </c>
      <c r="AY4">
        <f t="shared" si="0"/>
        <v>11130000</v>
      </c>
      <c r="AZ4">
        <f t="shared" si="0"/>
        <v>11130000</v>
      </c>
      <c r="BA4">
        <f t="shared" si="0"/>
        <v>11130000</v>
      </c>
      <c r="BB4">
        <f t="shared" si="0"/>
        <v>11130000</v>
      </c>
      <c r="BC4">
        <f t="shared" si="0"/>
        <v>11130000</v>
      </c>
      <c r="BD4">
        <f t="shared" si="0"/>
        <v>11130000</v>
      </c>
      <c r="BE4">
        <f t="shared" si="0"/>
        <v>11130000</v>
      </c>
      <c r="BF4">
        <f t="shared" si="0"/>
        <v>11130000</v>
      </c>
      <c r="BG4">
        <f t="shared" si="0"/>
        <v>11130000</v>
      </c>
      <c r="BH4">
        <f t="shared" si="0"/>
        <v>11130000</v>
      </c>
      <c r="BI4">
        <f t="shared" si="0"/>
        <v>11130000</v>
      </c>
      <c r="BJ4">
        <f t="shared" si="0"/>
        <v>11130000</v>
      </c>
      <c r="BK4">
        <f t="shared" si="0"/>
        <v>11130000</v>
      </c>
      <c r="BL4">
        <f t="shared" si="0"/>
        <v>11130000</v>
      </c>
      <c r="BM4">
        <f t="shared" si="0"/>
        <v>11130000</v>
      </c>
      <c r="BN4">
        <f t="shared" si="0"/>
        <v>11130000</v>
      </c>
      <c r="BO4">
        <f t="shared" si="0"/>
        <v>11130000</v>
      </c>
      <c r="BP4">
        <f t="shared" si="0"/>
        <v>11130000</v>
      </c>
      <c r="BQ4">
        <f t="shared" si="0"/>
        <v>11130000</v>
      </c>
      <c r="BR4">
        <f t="shared" si="0"/>
        <v>11130000</v>
      </c>
      <c r="BS4">
        <f t="shared" si="0"/>
        <v>11130000</v>
      </c>
      <c r="BT4">
        <f t="shared" si="0"/>
        <v>11130000</v>
      </c>
      <c r="BU4">
        <f t="shared" si="0"/>
        <v>11130000</v>
      </c>
      <c r="BV4">
        <f t="shared" si="0"/>
        <v>11130000</v>
      </c>
      <c r="BW4">
        <f t="shared" si="0"/>
        <v>11130000</v>
      </c>
      <c r="BX4">
        <f t="shared" si="0"/>
        <v>11130000</v>
      </c>
      <c r="BY4">
        <f t="shared" si="0"/>
        <v>11130000</v>
      </c>
      <c r="BZ4">
        <f t="shared" si="0"/>
        <v>11130000</v>
      </c>
      <c r="CA4">
        <f t="shared" si="0"/>
        <v>11130000</v>
      </c>
      <c r="CB4">
        <f t="shared" ref="CB4:ED4" si="1">CA4</f>
        <v>11130000</v>
      </c>
      <c r="CC4">
        <f t="shared" si="1"/>
        <v>11130000</v>
      </c>
      <c r="CD4">
        <f t="shared" si="1"/>
        <v>11130000</v>
      </c>
      <c r="CE4">
        <f t="shared" si="1"/>
        <v>11130000</v>
      </c>
      <c r="CF4">
        <f t="shared" si="1"/>
        <v>11130000</v>
      </c>
      <c r="CG4">
        <f t="shared" si="1"/>
        <v>11130000</v>
      </c>
      <c r="CH4">
        <f t="shared" si="1"/>
        <v>11130000</v>
      </c>
      <c r="CI4">
        <f t="shared" si="1"/>
        <v>11130000</v>
      </c>
      <c r="CJ4">
        <f t="shared" si="1"/>
        <v>11130000</v>
      </c>
      <c r="CK4">
        <f t="shared" si="1"/>
        <v>11130000</v>
      </c>
      <c r="CL4">
        <f t="shared" si="1"/>
        <v>11130000</v>
      </c>
      <c r="CM4">
        <f t="shared" si="1"/>
        <v>11130000</v>
      </c>
      <c r="CN4">
        <f t="shared" si="1"/>
        <v>11130000</v>
      </c>
      <c r="CO4">
        <f t="shared" si="1"/>
        <v>11130000</v>
      </c>
      <c r="CP4">
        <f t="shared" si="1"/>
        <v>11130000</v>
      </c>
      <c r="CQ4">
        <f>ROUND(历史运营!J31/4*10000,0)</f>
        <v>8547500</v>
      </c>
      <c r="CR4">
        <f t="shared" si="1"/>
        <v>8547500</v>
      </c>
      <c r="CS4">
        <f t="shared" si="1"/>
        <v>8547500</v>
      </c>
      <c r="CT4">
        <f t="shared" si="1"/>
        <v>8547500</v>
      </c>
      <c r="CU4">
        <f t="shared" si="1"/>
        <v>8547500</v>
      </c>
      <c r="CV4">
        <f t="shared" si="1"/>
        <v>8547500</v>
      </c>
      <c r="CW4">
        <f t="shared" si="1"/>
        <v>8547500</v>
      </c>
      <c r="CX4">
        <f t="shared" si="1"/>
        <v>8547500</v>
      </c>
      <c r="CY4">
        <f t="shared" si="1"/>
        <v>8547500</v>
      </c>
      <c r="CZ4">
        <f t="shared" si="1"/>
        <v>8547500</v>
      </c>
      <c r="DA4">
        <f t="shared" si="1"/>
        <v>8547500</v>
      </c>
      <c r="DB4">
        <f t="shared" si="1"/>
        <v>8547500</v>
      </c>
      <c r="DC4">
        <f t="shared" si="1"/>
        <v>8547500</v>
      </c>
      <c r="DD4">
        <f t="shared" si="1"/>
        <v>8547500</v>
      </c>
      <c r="DE4">
        <f t="shared" si="1"/>
        <v>8547500</v>
      </c>
      <c r="DF4">
        <f t="shared" si="1"/>
        <v>8547500</v>
      </c>
      <c r="DG4">
        <f t="shared" si="1"/>
        <v>8547500</v>
      </c>
      <c r="DH4">
        <f t="shared" si="1"/>
        <v>8547500</v>
      </c>
      <c r="DI4">
        <f t="shared" si="1"/>
        <v>8547500</v>
      </c>
      <c r="DJ4">
        <f t="shared" si="1"/>
        <v>8547500</v>
      </c>
      <c r="DK4">
        <f t="shared" si="1"/>
        <v>8547500</v>
      </c>
      <c r="DL4">
        <f t="shared" si="1"/>
        <v>8547500</v>
      </c>
      <c r="DM4">
        <f t="shared" si="1"/>
        <v>8547500</v>
      </c>
      <c r="DN4">
        <f t="shared" si="1"/>
        <v>8547500</v>
      </c>
      <c r="DO4">
        <f t="shared" si="1"/>
        <v>8547500</v>
      </c>
      <c r="DP4">
        <f t="shared" si="1"/>
        <v>8547500</v>
      </c>
      <c r="DQ4">
        <f t="shared" si="1"/>
        <v>8547500</v>
      </c>
      <c r="DR4">
        <f t="shared" si="1"/>
        <v>8547500</v>
      </c>
      <c r="DS4">
        <f t="shared" si="1"/>
        <v>8547500</v>
      </c>
      <c r="DT4">
        <f t="shared" si="1"/>
        <v>8547500</v>
      </c>
      <c r="DU4">
        <f t="shared" si="1"/>
        <v>8547500</v>
      </c>
      <c r="DV4">
        <f t="shared" si="1"/>
        <v>8547500</v>
      </c>
      <c r="DW4">
        <f t="shared" si="1"/>
        <v>8547500</v>
      </c>
      <c r="DX4">
        <f t="shared" si="1"/>
        <v>8547500</v>
      </c>
      <c r="DY4">
        <f t="shared" si="1"/>
        <v>8547500</v>
      </c>
      <c r="DZ4">
        <f t="shared" si="1"/>
        <v>8547500</v>
      </c>
      <c r="EA4">
        <f t="shared" si="1"/>
        <v>8547500</v>
      </c>
      <c r="EB4">
        <f t="shared" si="1"/>
        <v>8547500</v>
      </c>
      <c r="EC4">
        <f t="shared" si="1"/>
        <v>8547500</v>
      </c>
      <c r="ED4">
        <f t="shared" si="1"/>
        <v>8547500</v>
      </c>
      <c r="EE4">
        <f>SUM(L4:ED4)</f>
        <v>1262573600</v>
      </c>
    </row>
    <row r="7" spans="1:135" s="28" customFormat="1" ht="12.75">
      <c r="C7" s="49"/>
      <c r="D7" s="49" t="s">
        <v>318</v>
      </c>
      <c r="E7" s="49"/>
      <c r="F7" s="49"/>
      <c r="G7" s="49"/>
      <c r="H7" s="79"/>
      <c r="I7" s="49"/>
      <c r="J7" s="49"/>
      <c r="K7" s="49"/>
      <c r="L7" s="224" t="s">
        <v>145</v>
      </c>
      <c r="M7" s="224"/>
      <c r="N7" s="224"/>
      <c r="O7" s="224" t="s">
        <v>221</v>
      </c>
      <c r="P7" s="224"/>
      <c r="Q7" s="224"/>
      <c r="R7" s="224"/>
      <c r="S7" s="224" t="s">
        <v>146</v>
      </c>
      <c r="T7" s="224"/>
      <c r="U7" s="224"/>
      <c r="V7" s="224"/>
      <c r="W7" s="224" t="s">
        <v>147</v>
      </c>
      <c r="X7" s="224"/>
      <c r="Y7" s="224"/>
      <c r="Z7" s="224"/>
      <c r="AA7" s="224" t="s">
        <v>148</v>
      </c>
      <c r="AB7" s="224"/>
      <c r="AC7" s="224"/>
      <c r="AD7" s="224"/>
      <c r="AE7" s="224" t="s">
        <v>149</v>
      </c>
      <c r="AF7" s="224"/>
      <c r="AG7" s="224"/>
      <c r="AH7" s="224"/>
      <c r="AI7" s="224" t="s">
        <v>150</v>
      </c>
      <c r="AJ7" s="224"/>
      <c r="AK7" s="224"/>
      <c r="AL7" s="224"/>
      <c r="AM7" s="224" t="s">
        <v>151</v>
      </c>
      <c r="AN7" s="224"/>
      <c r="AO7" s="224"/>
      <c r="AP7" s="224"/>
      <c r="AQ7" s="224" t="s">
        <v>152</v>
      </c>
      <c r="AR7" s="224"/>
      <c r="AS7" s="224"/>
      <c r="AT7" s="224"/>
      <c r="AU7" s="224" t="s">
        <v>153</v>
      </c>
      <c r="AV7" s="224"/>
      <c r="AW7" s="224"/>
      <c r="AX7" s="224"/>
      <c r="AY7" s="231" t="s">
        <v>154</v>
      </c>
      <c r="AZ7" s="231"/>
      <c r="BA7" s="231"/>
      <c r="BB7" s="231"/>
      <c r="BC7" s="224" t="s">
        <v>155</v>
      </c>
      <c r="BD7" s="224"/>
      <c r="BE7" s="224"/>
      <c r="BF7" s="224"/>
      <c r="BG7" s="224" t="s">
        <v>156</v>
      </c>
      <c r="BH7" s="224"/>
      <c r="BI7" s="224"/>
      <c r="BJ7" s="224"/>
      <c r="BK7" s="224" t="s">
        <v>157</v>
      </c>
      <c r="BL7" s="224"/>
      <c r="BM7" s="224"/>
      <c r="BN7" s="224"/>
      <c r="BO7" s="224" t="s">
        <v>158</v>
      </c>
      <c r="BP7" s="224"/>
      <c r="BQ7" s="224"/>
      <c r="BR7" s="224"/>
      <c r="BS7" s="224" t="s">
        <v>159</v>
      </c>
      <c r="BT7" s="224"/>
      <c r="BU7" s="224"/>
      <c r="BV7" s="224"/>
      <c r="BW7" s="224" t="s">
        <v>222</v>
      </c>
      <c r="BX7" s="224"/>
      <c r="BY7" s="224"/>
      <c r="BZ7" s="224"/>
      <c r="CA7" s="224" t="s">
        <v>223</v>
      </c>
      <c r="CB7" s="224"/>
      <c r="CC7" s="224"/>
      <c r="CD7" s="224"/>
      <c r="CE7" s="224" t="s">
        <v>160</v>
      </c>
      <c r="CF7" s="224"/>
      <c r="CG7" s="224"/>
      <c r="CH7" s="224"/>
      <c r="CI7" s="224" t="s">
        <v>161</v>
      </c>
      <c r="CJ7" s="224"/>
      <c r="CK7" s="224"/>
      <c r="CL7" s="224"/>
      <c r="CM7" s="224" t="s">
        <v>162</v>
      </c>
      <c r="CN7" s="224"/>
      <c r="CO7" s="224"/>
      <c r="CP7" s="224"/>
      <c r="CQ7" s="224" t="s">
        <v>594</v>
      </c>
      <c r="CR7" s="224"/>
      <c r="CS7" s="224"/>
      <c r="CT7" s="224"/>
      <c r="CU7" s="224" t="s">
        <v>595</v>
      </c>
      <c r="CV7" s="224"/>
      <c r="CW7" s="224"/>
      <c r="CX7" s="224"/>
      <c r="CY7" s="224" t="s">
        <v>596</v>
      </c>
      <c r="CZ7" s="224"/>
      <c r="DA7" s="224"/>
      <c r="DB7" s="224"/>
      <c r="DC7" s="224" t="s">
        <v>597</v>
      </c>
      <c r="DD7" s="224"/>
      <c r="DE7" s="224"/>
      <c r="DF7" s="224"/>
      <c r="DG7" s="224" t="s">
        <v>598</v>
      </c>
      <c r="DH7" s="224"/>
      <c r="DI7" s="224"/>
      <c r="DJ7" s="224"/>
      <c r="DK7" s="224" t="s">
        <v>599</v>
      </c>
      <c r="DL7" s="224"/>
      <c r="DM7" s="224"/>
      <c r="DN7" s="224"/>
      <c r="DO7" s="224" t="s">
        <v>600</v>
      </c>
      <c r="DP7" s="224"/>
      <c r="DQ7" s="224"/>
      <c r="DR7" s="224"/>
      <c r="DS7" s="224" t="s">
        <v>601</v>
      </c>
      <c r="DT7" s="224"/>
      <c r="DU7" s="224"/>
      <c r="DV7" s="224"/>
      <c r="DW7" s="224" t="s">
        <v>602</v>
      </c>
      <c r="DX7" s="224"/>
      <c r="DY7" s="224"/>
      <c r="DZ7" s="224"/>
      <c r="EA7" s="224" t="s">
        <v>603</v>
      </c>
      <c r="EB7" s="224"/>
      <c r="EC7" s="224"/>
      <c r="ED7" s="224"/>
    </row>
    <row r="8" spans="1:135" s="28" customFormat="1" ht="24">
      <c r="C8" s="87" t="s">
        <v>291</v>
      </c>
      <c r="D8" s="49"/>
      <c r="E8" s="49"/>
      <c r="F8" s="49"/>
      <c r="G8" s="49"/>
      <c r="H8" s="79"/>
      <c r="I8" s="49"/>
      <c r="J8" s="49"/>
      <c r="K8" s="49"/>
      <c r="L8" s="39" t="s">
        <v>224</v>
      </c>
      <c r="M8" s="68" t="s">
        <v>163</v>
      </c>
      <c r="N8" s="39" t="s">
        <v>225</v>
      </c>
      <c r="O8" s="39" t="s">
        <v>164</v>
      </c>
      <c r="P8" s="39" t="s">
        <v>226</v>
      </c>
      <c r="Q8" s="68" t="s">
        <v>227</v>
      </c>
      <c r="R8" s="39" t="s">
        <v>165</v>
      </c>
      <c r="S8" s="39" t="s">
        <v>228</v>
      </c>
      <c r="T8" s="39" t="s">
        <v>166</v>
      </c>
      <c r="U8" s="68" t="s">
        <v>167</v>
      </c>
      <c r="V8" s="39" t="s">
        <v>229</v>
      </c>
      <c r="W8" s="39" t="s">
        <v>230</v>
      </c>
      <c r="X8" s="39" t="s">
        <v>231</v>
      </c>
      <c r="Y8" s="68" t="s">
        <v>168</v>
      </c>
      <c r="Z8" s="39" t="s">
        <v>169</v>
      </c>
      <c r="AA8" s="39" t="s">
        <v>232</v>
      </c>
      <c r="AB8" s="39" t="s">
        <v>170</v>
      </c>
      <c r="AC8" s="68" t="s">
        <v>233</v>
      </c>
      <c r="AD8" s="39" t="s">
        <v>234</v>
      </c>
      <c r="AE8" s="39" t="s">
        <v>171</v>
      </c>
      <c r="AF8" s="39" t="s">
        <v>172</v>
      </c>
      <c r="AG8" s="68" t="s">
        <v>173</v>
      </c>
      <c r="AH8" s="39" t="s">
        <v>174</v>
      </c>
      <c r="AI8" s="39" t="s">
        <v>175</v>
      </c>
      <c r="AJ8" s="39" t="s">
        <v>235</v>
      </c>
      <c r="AK8" s="68" t="s">
        <v>176</v>
      </c>
      <c r="AL8" s="39" t="s">
        <v>177</v>
      </c>
      <c r="AM8" s="39" t="s">
        <v>178</v>
      </c>
      <c r="AN8" s="39" t="s">
        <v>179</v>
      </c>
      <c r="AO8" s="68" t="s">
        <v>180</v>
      </c>
      <c r="AP8" s="39" t="s">
        <v>181</v>
      </c>
      <c r="AQ8" s="39" t="s">
        <v>182</v>
      </c>
      <c r="AR8" s="39" t="s">
        <v>236</v>
      </c>
      <c r="AS8" s="68" t="s">
        <v>183</v>
      </c>
      <c r="AT8" s="39" t="s">
        <v>237</v>
      </c>
      <c r="AU8" s="39" t="s">
        <v>184</v>
      </c>
      <c r="AV8" s="39" t="s">
        <v>238</v>
      </c>
      <c r="AW8" s="68" t="s">
        <v>239</v>
      </c>
      <c r="AX8" s="39" t="s">
        <v>185</v>
      </c>
      <c r="AY8" s="39" t="s">
        <v>186</v>
      </c>
      <c r="AZ8" s="39" t="s">
        <v>240</v>
      </c>
      <c r="BA8" s="68" t="s">
        <v>187</v>
      </c>
      <c r="BB8" s="78" t="s">
        <v>188</v>
      </c>
      <c r="BC8" s="39" t="s">
        <v>241</v>
      </c>
      <c r="BD8" s="39" t="s">
        <v>189</v>
      </c>
      <c r="BE8" s="39" t="s">
        <v>190</v>
      </c>
      <c r="BF8" s="39" t="s">
        <v>242</v>
      </c>
      <c r="BG8" s="39" t="s">
        <v>243</v>
      </c>
      <c r="BH8" s="39" t="s">
        <v>191</v>
      </c>
      <c r="BI8" s="39" t="s">
        <v>192</v>
      </c>
      <c r="BJ8" s="39" t="s">
        <v>193</v>
      </c>
      <c r="BK8" s="39" t="s">
        <v>244</v>
      </c>
      <c r="BL8" s="39" t="s">
        <v>194</v>
      </c>
      <c r="BM8" s="39" t="s">
        <v>195</v>
      </c>
      <c r="BN8" s="39" t="s">
        <v>196</v>
      </c>
      <c r="BO8" s="39" t="s">
        <v>245</v>
      </c>
      <c r="BP8" s="39" t="s">
        <v>197</v>
      </c>
      <c r="BQ8" s="39" t="s">
        <v>198</v>
      </c>
      <c r="BR8" s="39" t="s">
        <v>199</v>
      </c>
      <c r="BS8" s="39" t="s">
        <v>200</v>
      </c>
      <c r="BT8" s="39" t="s">
        <v>201</v>
      </c>
      <c r="BU8" s="39" t="s">
        <v>202</v>
      </c>
      <c r="BV8" s="39" t="s">
        <v>246</v>
      </c>
      <c r="BW8" s="39" t="s">
        <v>203</v>
      </c>
      <c r="BX8" s="39" t="s">
        <v>204</v>
      </c>
      <c r="BY8" s="39" t="s">
        <v>247</v>
      </c>
      <c r="BZ8" s="39" t="s">
        <v>205</v>
      </c>
      <c r="CA8" s="39" t="s">
        <v>206</v>
      </c>
      <c r="CB8" s="39" t="s">
        <v>207</v>
      </c>
      <c r="CC8" s="39" t="s">
        <v>208</v>
      </c>
      <c r="CD8" s="39" t="s">
        <v>209</v>
      </c>
      <c r="CE8" s="39" t="s">
        <v>210</v>
      </c>
      <c r="CF8" s="39" t="s">
        <v>211</v>
      </c>
      <c r="CG8" s="39" t="s">
        <v>212</v>
      </c>
      <c r="CH8" s="39" t="s">
        <v>213</v>
      </c>
      <c r="CI8" s="39" t="s">
        <v>214</v>
      </c>
      <c r="CJ8" s="39" t="s">
        <v>215</v>
      </c>
      <c r="CK8" s="39" t="s">
        <v>216</v>
      </c>
      <c r="CL8" s="39" t="s">
        <v>217</v>
      </c>
      <c r="CM8" s="39" t="s">
        <v>248</v>
      </c>
      <c r="CN8" s="39" t="s">
        <v>218</v>
      </c>
      <c r="CO8" s="39" t="s">
        <v>219</v>
      </c>
      <c r="CP8" s="39" t="s">
        <v>220</v>
      </c>
      <c r="CQ8" s="154" t="e">
        <f>#REF!</f>
        <v>#REF!</v>
      </c>
      <c r="CR8" s="154" t="e">
        <f t="shared" ref="CR8:ED8" si="2">#REF!</f>
        <v>#REF!</v>
      </c>
      <c r="CS8" s="154" t="e">
        <f t="shared" si="2"/>
        <v>#REF!</v>
      </c>
      <c r="CT8" s="154" t="e">
        <f t="shared" si="2"/>
        <v>#REF!</v>
      </c>
      <c r="CU8" s="154" t="e">
        <f t="shared" si="2"/>
        <v>#REF!</v>
      </c>
      <c r="CV8" s="154" t="e">
        <f t="shared" si="2"/>
        <v>#REF!</v>
      </c>
      <c r="CW8" s="154" t="e">
        <f t="shared" si="2"/>
        <v>#REF!</v>
      </c>
      <c r="CX8" s="154" t="e">
        <f t="shared" si="2"/>
        <v>#REF!</v>
      </c>
      <c r="CY8" s="154" t="e">
        <f t="shared" si="2"/>
        <v>#REF!</v>
      </c>
      <c r="CZ8" s="154" t="e">
        <f t="shared" si="2"/>
        <v>#REF!</v>
      </c>
      <c r="DA8" s="154" t="e">
        <f t="shared" si="2"/>
        <v>#REF!</v>
      </c>
      <c r="DB8" s="154" t="e">
        <f t="shared" si="2"/>
        <v>#REF!</v>
      </c>
      <c r="DC8" s="154" t="e">
        <f t="shared" si="2"/>
        <v>#REF!</v>
      </c>
      <c r="DD8" s="154" t="e">
        <f t="shared" si="2"/>
        <v>#REF!</v>
      </c>
      <c r="DE8" s="154" t="e">
        <f t="shared" si="2"/>
        <v>#REF!</v>
      </c>
      <c r="DF8" s="154" t="e">
        <f t="shared" si="2"/>
        <v>#REF!</v>
      </c>
      <c r="DG8" s="154" t="e">
        <f t="shared" si="2"/>
        <v>#REF!</v>
      </c>
      <c r="DH8" s="154" t="e">
        <f t="shared" si="2"/>
        <v>#REF!</v>
      </c>
      <c r="DI8" s="154" t="e">
        <f t="shared" si="2"/>
        <v>#REF!</v>
      </c>
      <c r="DJ8" s="154" t="e">
        <f t="shared" si="2"/>
        <v>#REF!</v>
      </c>
      <c r="DK8" s="154" t="e">
        <f t="shared" si="2"/>
        <v>#REF!</v>
      </c>
      <c r="DL8" s="154" t="e">
        <f t="shared" si="2"/>
        <v>#REF!</v>
      </c>
      <c r="DM8" s="154" t="e">
        <f t="shared" si="2"/>
        <v>#REF!</v>
      </c>
      <c r="DN8" s="154" t="e">
        <f t="shared" si="2"/>
        <v>#REF!</v>
      </c>
      <c r="DO8" s="154" t="e">
        <f t="shared" si="2"/>
        <v>#REF!</v>
      </c>
      <c r="DP8" s="154" t="e">
        <f t="shared" si="2"/>
        <v>#REF!</v>
      </c>
      <c r="DQ8" s="154" t="e">
        <f t="shared" si="2"/>
        <v>#REF!</v>
      </c>
      <c r="DR8" s="154" t="e">
        <f t="shared" si="2"/>
        <v>#REF!</v>
      </c>
      <c r="DS8" s="154" t="e">
        <f t="shared" si="2"/>
        <v>#REF!</v>
      </c>
      <c r="DT8" s="154" t="e">
        <f t="shared" si="2"/>
        <v>#REF!</v>
      </c>
      <c r="DU8" s="154" t="e">
        <f t="shared" si="2"/>
        <v>#REF!</v>
      </c>
      <c r="DV8" s="154" t="e">
        <f t="shared" si="2"/>
        <v>#REF!</v>
      </c>
      <c r="DW8" s="154" t="e">
        <f t="shared" si="2"/>
        <v>#REF!</v>
      </c>
      <c r="DX8" s="154" t="e">
        <f t="shared" si="2"/>
        <v>#REF!</v>
      </c>
      <c r="DY8" s="154" t="e">
        <f t="shared" si="2"/>
        <v>#REF!</v>
      </c>
      <c r="DZ8" s="154" t="e">
        <f t="shared" si="2"/>
        <v>#REF!</v>
      </c>
      <c r="EA8" s="154" t="e">
        <f t="shared" si="2"/>
        <v>#REF!</v>
      </c>
      <c r="EB8" s="154" t="e">
        <f t="shared" si="2"/>
        <v>#REF!</v>
      </c>
      <c r="EC8" s="154" t="e">
        <f t="shared" si="2"/>
        <v>#REF!</v>
      </c>
      <c r="ED8" s="154" t="e">
        <f t="shared" si="2"/>
        <v>#REF!</v>
      </c>
    </row>
    <row r="9" spans="1:135" s="108" customFormat="1" ht="22.5">
      <c r="C9" s="88" t="s">
        <v>292</v>
      </c>
      <c r="D9" s="106"/>
      <c r="E9" s="106"/>
      <c r="F9" s="106"/>
      <c r="G9" s="106"/>
      <c r="H9" s="107"/>
      <c r="I9" s="106"/>
      <c r="J9" s="106"/>
      <c r="K9" s="106"/>
      <c r="L9" s="106">
        <f>L10+L11+L12</f>
        <v>8013600</v>
      </c>
      <c r="M9" s="106">
        <f t="shared" ref="M9:BX9" si="3">M10+M11+M12</f>
        <v>11130000</v>
      </c>
      <c r="N9" s="106">
        <f t="shared" si="3"/>
        <v>11130000</v>
      </c>
      <c r="O9" s="106">
        <f t="shared" si="3"/>
        <v>11130000</v>
      </c>
      <c r="P9" s="106">
        <f t="shared" si="3"/>
        <v>11130000</v>
      </c>
      <c r="Q9" s="106">
        <f t="shared" si="3"/>
        <v>11130000</v>
      </c>
      <c r="R9" s="106">
        <f t="shared" si="3"/>
        <v>11130000</v>
      </c>
      <c r="S9" s="106">
        <f t="shared" si="3"/>
        <v>11130000</v>
      </c>
      <c r="T9" s="106">
        <f t="shared" si="3"/>
        <v>11130000</v>
      </c>
      <c r="U9" s="106">
        <f t="shared" si="3"/>
        <v>11130000</v>
      </c>
      <c r="V9" s="106">
        <f>V10+V11+V12</f>
        <v>11130000</v>
      </c>
      <c r="W9" s="106">
        <f>W10+W11+W12</f>
        <v>11130000</v>
      </c>
      <c r="X9" s="106">
        <f>X10+X11+X12</f>
        <v>11130000</v>
      </c>
      <c r="Y9" s="106">
        <f t="shared" si="3"/>
        <v>11130000</v>
      </c>
      <c r="Z9" s="106">
        <f t="shared" si="3"/>
        <v>11130000</v>
      </c>
      <c r="AA9" s="106">
        <f t="shared" si="3"/>
        <v>11130000</v>
      </c>
      <c r="AB9" s="106">
        <f t="shared" si="3"/>
        <v>11130000</v>
      </c>
      <c r="AC9" s="106">
        <f t="shared" si="3"/>
        <v>11130000</v>
      </c>
      <c r="AD9" s="106">
        <f t="shared" si="3"/>
        <v>11130000</v>
      </c>
      <c r="AE9" s="106">
        <f t="shared" si="3"/>
        <v>11130000</v>
      </c>
      <c r="AF9" s="106">
        <f t="shared" si="3"/>
        <v>11130000</v>
      </c>
      <c r="AG9" s="106">
        <f t="shared" si="3"/>
        <v>11130000</v>
      </c>
      <c r="AH9" s="106">
        <f t="shared" si="3"/>
        <v>11130000</v>
      </c>
      <c r="AI9" s="106">
        <f t="shared" si="3"/>
        <v>11130000</v>
      </c>
      <c r="AJ9" s="106">
        <f t="shared" si="3"/>
        <v>11130000</v>
      </c>
      <c r="AK9" s="106">
        <f t="shared" si="3"/>
        <v>11130000</v>
      </c>
      <c r="AL9" s="106">
        <f t="shared" si="3"/>
        <v>11130000</v>
      </c>
      <c r="AM9" s="106">
        <f t="shared" si="3"/>
        <v>11130000</v>
      </c>
      <c r="AN9" s="106">
        <f t="shared" si="3"/>
        <v>11130000</v>
      </c>
      <c r="AO9" s="106">
        <f t="shared" si="3"/>
        <v>11130000</v>
      </c>
      <c r="AP9" s="106">
        <f t="shared" si="3"/>
        <v>11130000</v>
      </c>
      <c r="AQ9" s="106">
        <f t="shared" si="3"/>
        <v>11130000</v>
      </c>
      <c r="AR9" s="106">
        <f t="shared" si="3"/>
        <v>11130000</v>
      </c>
      <c r="AS9" s="106">
        <f t="shared" si="3"/>
        <v>11130000</v>
      </c>
      <c r="AT9" s="106">
        <f t="shared" si="3"/>
        <v>11130000</v>
      </c>
      <c r="AU9" s="106">
        <f t="shared" si="3"/>
        <v>11130000</v>
      </c>
      <c r="AV9" s="106">
        <f t="shared" si="3"/>
        <v>11130000</v>
      </c>
      <c r="AW9" s="106">
        <f t="shared" si="3"/>
        <v>11130000</v>
      </c>
      <c r="AX9" s="106">
        <f t="shared" si="3"/>
        <v>11130000</v>
      </c>
      <c r="AY9" s="106">
        <f t="shared" si="3"/>
        <v>11130000</v>
      </c>
      <c r="AZ9" s="106">
        <f t="shared" si="3"/>
        <v>11130000</v>
      </c>
      <c r="BA9" s="106">
        <f t="shared" si="3"/>
        <v>11130000</v>
      </c>
      <c r="BB9" s="106">
        <f t="shared" si="3"/>
        <v>11130000</v>
      </c>
      <c r="BC9" s="106">
        <f t="shared" si="3"/>
        <v>11130000</v>
      </c>
      <c r="BD9" s="106">
        <f t="shared" si="3"/>
        <v>11130000</v>
      </c>
      <c r="BE9" s="106">
        <f t="shared" si="3"/>
        <v>11130000</v>
      </c>
      <c r="BF9" s="106">
        <f t="shared" si="3"/>
        <v>11130000</v>
      </c>
      <c r="BG9" s="106">
        <f t="shared" si="3"/>
        <v>11130000</v>
      </c>
      <c r="BH9" s="106">
        <f t="shared" si="3"/>
        <v>11130000</v>
      </c>
      <c r="BI9" s="106">
        <f t="shared" si="3"/>
        <v>11130000</v>
      </c>
      <c r="BJ9" s="106">
        <f t="shared" si="3"/>
        <v>11130000</v>
      </c>
      <c r="BK9" s="106">
        <f t="shared" si="3"/>
        <v>11130000</v>
      </c>
      <c r="BL9" s="106">
        <f t="shared" si="3"/>
        <v>11130000</v>
      </c>
      <c r="BM9" s="106">
        <f t="shared" si="3"/>
        <v>11130000</v>
      </c>
      <c r="BN9" s="106">
        <f t="shared" si="3"/>
        <v>11130000</v>
      </c>
      <c r="BO9" s="106">
        <f t="shared" si="3"/>
        <v>11130000</v>
      </c>
      <c r="BP9" s="106">
        <f t="shared" si="3"/>
        <v>11130000</v>
      </c>
      <c r="BQ9" s="106">
        <f t="shared" si="3"/>
        <v>11130000</v>
      </c>
      <c r="BR9" s="106">
        <f t="shared" si="3"/>
        <v>11130000</v>
      </c>
      <c r="BS9" s="106">
        <f t="shared" si="3"/>
        <v>11130000</v>
      </c>
      <c r="BT9" s="106">
        <f t="shared" si="3"/>
        <v>11130000</v>
      </c>
      <c r="BU9" s="106">
        <f t="shared" si="3"/>
        <v>11130000</v>
      </c>
      <c r="BV9" s="106">
        <f t="shared" si="3"/>
        <v>11130000</v>
      </c>
      <c r="BW9" s="106">
        <f t="shared" si="3"/>
        <v>11130000</v>
      </c>
      <c r="BX9" s="106">
        <f t="shared" si="3"/>
        <v>11130000</v>
      </c>
      <c r="BY9" s="106">
        <f t="shared" ref="BY9:CO9" si="4">BY10+BY11+BY12</f>
        <v>11130000</v>
      </c>
      <c r="BZ9" s="106">
        <f t="shared" si="4"/>
        <v>11130000</v>
      </c>
      <c r="CA9" s="106">
        <f t="shared" si="4"/>
        <v>11130000</v>
      </c>
      <c r="CB9" s="106">
        <f t="shared" si="4"/>
        <v>11130000</v>
      </c>
      <c r="CC9" s="106">
        <f t="shared" si="4"/>
        <v>11130000</v>
      </c>
      <c r="CD9" s="106">
        <f t="shared" si="4"/>
        <v>11130000</v>
      </c>
      <c r="CE9" s="106">
        <f t="shared" si="4"/>
        <v>11130000</v>
      </c>
      <c r="CF9" s="106">
        <f t="shared" si="4"/>
        <v>11130000</v>
      </c>
      <c r="CG9" s="106">
        <f t="shared" si="4"/>
        <v>11130000</v>
      </c>
      <c r="CH9" s="106">
        <f t="shared" si="4"/>
        <v>11130000</v>
      </c>
      <c r="CI9" s="106">
        <f t="shared" si="4"/>
        <v>11130000</v>
      </c>
      <c r="CJ9" s="106">
        <f t="shared" si="4"/>
        <v>11130000</v>
      </c>
      <c r="CK9" s="106">
        <f t="shared" si="4"/>
        <v>11130000</v>
      </c>
      <c r="CL9" s="106">
        <f t="shared" si="4"/>
        <v>11130000</v>
      </c>
      <c r="CM9" s="106">
        <f t="shared" si="4"/>
        <v>11130000</v>
      </c>
      <c r="CN9" s="106">
        <f t="shared" si="4"/>
        <v>11130000</v>
      </c>
      <c r="CO9" s="106">
        <f t="shared" si="4"/>
        <v>11130000</v>
      </c>
      <c r="CP9" s="106">
        <f>CP10+CP11+CP12</f>
        <v>11130000</v>
      </c>
      <c r="CQ9" s="106">
        <f t="shared" ref="CQ9:ED9" si="5">CQ10+CQ11+CQ12</f>
        <v>8547500</v>
      </c>
      <c r="CR9" s="106">
        <f t="shared" si="5"/>
        <v>8547500</v>
      </c>
      <c r="CS9" s="106">
        <f t="shared" si="5"/>
        <v>8547500</v>
      </c>
      <c r="CT9" s="106">
        <f t="shared" si="5"/>
        <v>8547500</v>
      </c>
      <c r="CU9" s="106">
        <f t="shared" si="5"/>
        <v>8547500</v>
      </c>
      <c r="CV9" s="106">
        <f t="shared" si="5"/>
        <v>8547500</v>
      </c>
      <c r="CW9" s="106">
        <f t="shared" si="5"/>
        <v>8547500</v>
      </c>
      <c r="CX9" s="106">
        <f t="shared" si="5"/>
        <v>8547500</v>
      </c>
      <c r="CY9" s="106">
        <f t="shared" si="5"/>
        <v>8547500</v>
      </c>
      <c r="CZ9" s="106">
        <f t="shared" si="5"/>
        <v>8547500</v>
      </c>
      <c r="DA9" s="106">
        <f t="shared" si="5"/>
        <v>8547500</v>
      </c>
      <c r="DB9" s="106">
        <f t="shared" si="5"/>
        <v>8547500</v>
      </c>
      <c r="DC9" s="106">
        <f t="shared" si="5"/>
        <v>8547500</v>
      </c>
      <c r="DD9" s="106">
        <f t="shared" si="5"/>
        <v>8547500</v>
      </c>
      <c r="DE9" s="106">
        <f t="shared" si="5"/>
        <v>8547500</v>
      </c>
      <c r="DF9" s="106">
        <f t="shared" si="5"/>
        <v>8547500</v>
      </c>
      <c r="DG9" s="106">
        <f t="shared" si="5"/>
        <v>8547500</v>
      </c>
      <c r="DH9" s="106">
        <f t="shared" si="5"/>
        <v>8547500</v>
      </c>
      <c r="DI9" s="106">
        <f t="shared" si="5"/>
        <v>8547500</v>
      </c>
      <c r="DJ9" s="106">
        <f t="shared" si="5"/>
        <v>8547500</v>
      </c>
      <c r="DK9" s="106">
        <f t="shared" si="5"/>
        <v>8547500</v>
      </c>
      <c r="DL9" s="106">
        <f t="shared" si="5"/>
        <v>8547500</v>
      </c>
      <c r="DM9" s="106">
        <f t="shared" si="5"/>
        <v>8547500</v>
      </c>
      <c r="DN9" s="106">
        <f t="shared" si="5"/>
        <v>8547500</v>
      </c>
      <c r="DO9" s="106">
        <f t="shared" si="5"/>
        <v>8547500</v>
      </c>
      <c r="DP9" s="106">
        <f t="shared" si="5"/>
        <v>8547500</v>
      </c>
      <c r="DQ9" s="106">
        <f t="shared" si="5"/>
        <v>8547500</v>
      </c>
      <c r="DR9" s="106">
        <f t="shared" si="5"/>
        <v>8547500</v>
      </c>
      <c r="DS9" s="106">
        <f t="shared" si="5"/>
        <v>8547500</v>
      </c>
      <c r="DT9" s="106">
        <f t="shared" si="5"/>
        <v>8547500</v>
      </c>
      <c r="DU9" s="106">
        <f t="shared" si="5"/>
        <v>8547500</v>
      </c>
      <c r="DV9" s="106">
        <f t="shared" si="5"/>
        <v>8547500</v>
      </c>
      <c r="DW9" s="106">
        <f t="shared" si="5"/>
        <v>8547500</v>
      </c>
      <c r="DX9" s="106">
        <f t="shared" si="5"/>
        <v>8547500</v>
      </c>
      <c r="DY9" s="106">
        <f t="shared" si="5"/>
        <v>8547500</v>
      </c>
      <c r="DZ9" s="106">
        <f t="shared" si="5"/>
        <v>8547500</v>
      </c>
      <c r="EA9" s="106">
        <f t="shared" si="5"/>
        <v>8547500</v>
      </c>
      <c r="EB9" s="106">
        <f t="shared" si="5"/>
        <v>8547500</v>
      </c>
      <c r="EC9" s="106">
        <f t="shared" si="5"/>
        <v>8547500</v>
      </c>
      <c r="ED9" s="106">
        <f t="shared" si="5"/>
        <v>8547500</v>
      </c>
      <c r="EE9" s="139">
        <f>SUM(L9:ED9)</f>
        <v>1262573600</v>
      </c>
    </row>
    <row r="10" spans="1:135" s="28" customFormat="1" ht="12.75">
      <c r="C10" s="88" t="s">
        <v>293</v>
      </c>
      <c r="D10" s="49"/>
      <c r="E10" s="49"/>
      <c r="F10" s="49"/>
      <c r="G10" s="49"/>
      <c r="H10" s="79"/>
      <c r="I10" s="49"/>
      <c r="J10" s="49"/>
      <c r="K10" s="49"/>
      <c r="L10" s="49">
        <f>L4</f>
        <v>8013600</v>
      </c>
      <c r="M10" s="49">
        <f t="shared" ref="M10:BX10" si="6">M4</f>
        <v>11130000</v>
      </c>
      <c r="N10" s="49">
        <f t="shared" si="6"/>
        <v>11130000</v>
      </c>
      <c r="O10" s="49">
        <f t="shared" si="6"/>
        <v>11130000</v>
      </c>
      <c r="P10" s="49">
        <f t="shared" si="6"/>
        <v>11130000</v>
      </c>
      <c r="Q10" s="49">
        <f t="shared" si="6"/>
        <v>11130000</v>
      </c>
      <c r="R10" s="49">
        <f t="shared" si="6"/>
        <v>11130000</v>
      </c>
      <c r="S10" s="49">
        <f t="shared" si="6"/>
        <v>11130000</v>
      </c>
      <c r="T10" s="49">
        <f t="shared" si="6"/>
        <v>11130000</v>
      </c>
      <c r="U10" s="49">
        <f t="shared" si="6"/>
        <v>11130000</v>
      </c>
      <c r="V10" s="49">
        <f t="shared" si="6"/>
        <v>11130000</v>
      </c>
      <c r="W10" s="49">
        <f t="shared" si="6"/>
        <v>11130000</v>
      </c>
      <c r="X10" s="49">
        <f t="shared" si="6"/>
        <v>11130000</v>
      </c>
      <c r="Y10" s="49">
        <f t="shared" si="6"/>
        <v>11130000</v>
      </c>
      <c r="Z10" s="49">
        <f t="shared" si="6"/>
        <v>11130000</v>
      </c>
      <c r="AA10" s="49">
        <f t="shared" si="6"/>
        <v>11130000</v>
      </c>
      <c r="AB10" s="49">
        <f t="shared" si="6"/>
        <v>11130000</v>
      </c>
      <c r="AC10" s="49">
        <f t="shared" si="6"/>
        <v>11130000</v>
      </c>
      <c r="AD10" s="49">
        <f t="shared" si="6"/>
        <v>11130000</v>
      </c>
      <c r="AE10" s="49">
        <f t="shared" si="6"/>
        <v>11130000</v>
      </c>
      <c r="AF10" s="49">
        <f t="shared" si="6"/>
        <v>11130000</v>
      </c>
      <c r="AG10" s="49">
        <f t="shared" si="6"/>
        <v>11130000</v>
      </c>
      <c r="AH10" s="49">
        <f t="shared" si="6"/>
        <v>11130000</v>
      </c>
      <c r="AI10" s="49">
        <f t="shared" si="6"/>
        <v>11130000</v>
      </c>
      <c r="AJ10" s="49">
        <f t="shared" si="6"/>
        <v>11130000</v>
      </c>
      <c r="AK10" s="49">
        <f t="shared" si="6"/>
        <v>11130000</v>
      </c>
      <c r="AL10" s="49">
        <f t="shared" si="6"/>
        <v>11130000</v>
      </c>
      <c r="AM10" s="49">
        <f t="shared" si="6"/>
        <v>11130000</v>
      </c>
      <c r="AN10" s="49">
        <f t="shared" si="6"/>
        <v>11130000</v>
      </c>
      <c r="AO10" s="49">
        <f t="shared" si="6"/>
        <v>11130000</v>
      </c>
      <c r="AP10" s="49">
        <f t="shared" si="6"/>
        <v>11130000</v>
      </c>
      <c r="AQ10" s="49">
        <f t="shared" si="6"/>
        <v>11130000</v>
      </c>
      <c r="AR10" s="49">
        <f t="shared" si="6"/>
        <v>11130000</v>
      </c>
      <c r="AS10" s="49">
        <f t="shared" si="6"/>
        <v>11130000</v>
      </c>
      <c r="AT10" s="49">
        <f t="shared" si="6"/>
        <v>11130000</v>
      </c>
      <c r="AU10" s="49">
        <f t="shared" si="6"/>
        <v>11130000</v>
      </c>
      <c r="AV10" s="49">
        <f t="shared" si="6"/>
        <v>11130000</v>
      </c>
      <c r="AW10" s="49">
        <f t="shared" si="6"/>
        <v>11130000</v>
      </c>
      <c r="AX10" s="49">
        <f t="shared" si="6"/>
        <v>11130000</v>
      </c>
      <c r="AY10" s="49">
        <f t="shared" si="6"/>
        <v>11130000</v>
      </c>
      <c r="AZ10" s="49">
        <f t="shared" si="6"/>
        <v>11130000</v>
      </c>
      <c r="BA10" s="49">
        <f t="shared" si="6"/>
        <v>11130000</v>
      </c>
      <c r="BB10" s="49">
        <f t="shared" si="6"/>
        <v>11130000</v>
      </c>
      <c r="BC10" s="49">
        <f t="shared" si="6"/>
        <v>11130000</v>
      </c>
      <c r="BD10" s="49">
        <f t="shared" si="6"/>
        <v>11130000</v>
      </c>
      <c r="BE10" s="49">
        <f t="shared" si="6"/>
        <v>11130000</v>
      </c>
      <c r="BF10" s="49">
        <f t="shared" si="6"/>
        <v>11130000</v>
      </c>
      <c r="BG10" s="49">
        <f t="shared" si="6"/>
        <v>11130000</v>
      </c>
      <c r="BH10" s="49">
        <f t="shared" si="6"/>
        <v>11130000</v>
      </c>
      <c r="BI10" s="49">
        <f t="shared" si="6"/>
        <v>11130000</v>
      </c>
      <c r="BJ10" s="49">
        <f t="shared" si="6"/>
        <v>11130000</v>
      </c>
      <c r="BK10" s="49">
        <f t="shared" si="6"/>
        <v>11130000</v>
      </c>
      <c r="BL10" s="49">
        <f t="shared" si="6"/>
        <v>11130000</v>
      </c>
      <c r="BM10" s="49">
        <f t="shared" si="6"/>
        <v>11130000</v>
      </c>
      <c r="BN10" s="49">
        <f t="shared" si="6"/>
        <v>11130000</v>
      </c>
      <c r="BO10" s="49">
        <f t="shared" si="6"/>
        <v>11130000</v>
      </c>
      <c r="BP10" s="49">
        <f t="shared" si="6"/>
        <v>11130000</v>
      </c>
      <c r="BQ10" s="49">
        <f t="shared" si="6"/>
        <v>11130000</v>
      </c>
      <c r="BR10" s="49">
        <f t="shared" si="6"/>
        <v>11130000</v>
      </c>
      <c r="BS10" s="49">
        <f t="shared" si="6"/>
        <v>11130000</v>
      </c>
      <c r="BT10" s="49">
        <f t="shared" si="6"/>
        <v>11130000</v>
      </c>
      <c r="BU10" s="49">
        <f t="shared" si="6"/>
        <v>11130000</v>
      </c>
      <c r="BV10" s="49">
        <f t="shared" si="6"/>
        <v>11130000</v>
      </c>
      <c r="BW10" s="49">
        <f t="shared" si="6"/>
        <v>11130000</v>
      </c>
      <c r="BX10" s="49">
        <f t="shared" si="6"/>
        <v>11130000</v>
      </c>
      <c r="BY10" s="49">
        <f t="shared" ref="BY10:ED10" si="7">BY4</f>
        <v>11130000</v>
      </c>
      <c r="BZ10" s="49">
        <f t="shared" si="7"/>
        <v>11130000</v>
      </c>
      <c r="CA10" s="49">
        <f t="shared" si="7"/>
        <v>11130000</v>
      </c>
      <c r="CB10" s="49">
        <f t="shared" si="7"/>
        <v>11130000</v>
      </c>
      <c r="CC10" s="49">
        <f t="shared" si="7"/>
        <v>11130000</v>
      </c>
      <c r="CD10" s="49">
        <f t="shared" si="7"/>
        <v>11130000</v>
      </c>
      <c r="CE10" s="49">
        <f t="shared" si="7"/>
        <v>11130000</v>
      </c>
      <c r="CF10" s="49">
        <f t="shared" si="7"/>
        <v>11130000</v>
      </c>
      <c r="CG10" s="49">
        <f t="shared" si="7"/>
        <v>11130000</v>
      </c>
      <c r="CH10" s="49">
        <f t="shared" si="7"/>
        <v>11130000</v>
      </c>
      <c r="CI10" s="49">
        <f t="shared" si="7"/>
        <v>11130000</v>
      </c>
      <c r="CJ10" s="49">
        <f t="shared" si="7"/>
        <v>11130000</v>
      </c>
      <c r="CK10" s="49">
        <f t="shared" si="7"/>
        <v>11130000</v>
      </c>
      <c r="CL10" s="49">
        <f t="shared" si="7"/>
        <v>11130000</v>
      </c>
      <c r="CM10" s="49">
        <f t="shared" si="7"/>
        <v>11130000</v>
      </c>
      <c r="CN10" s="49">
        <f t="shared" si="7"/>
        <v>11130000</v>
      </c>
      <c r="CO10" s="49">
        <f t="shared" si="7"/>
        <v>11130000</v>
      </c>
      <c r="CP10" s="49">
        <f t="shared" si="7"/>
        <v>11130000</v>
      </c>
      <c r="CQ10" s="49">
        <f t="shared" si="7"/>
        <v>8547500</v>
      </c>
      <c r="CR10" s="49">
        <f t="shared" si="7"/>
        <v>8547500</v>
      </c>
      <c r="CS10" s="49">
        <f t="shared" si="7"/>
        <v>8547500</v>
      </c>
      <c r="CT10" s="49">
        <f t="shared" si="7"/>
        <v>8547500</v>
      </c>
      <c r="CU10" s="49">
        <f t="shared" si="7"/>
        <v>8547500</v>
      </c>
      <c r="CV10" s="49">
        <f t="shared" si="7"/>
        <v>8547500</v>
      </c>
      <c r="CW10" s="49">
        <f t="shared" si="7"/>
        <v>8547500</v>
      </c>
      <c r="CX10" s="49">
        <f t="shared" si="7"/>
        <v>8547500</v>
      </c>
      <c r="CY10" s="49">
        <f t="shared" si="7"/>
        <v>8547500</v>
      </c>
      <c r="CZ10" s="49">
        <f t="shared" si="7"/>
        <v>8547500</v>
      </c>
      <c r="DA10" s="49">
        <f t="shared" si="7"/>
        <v>8547500</v>
      </c>
      <c r="DB10" s="49">
        <f t="shared" si="7"/>
        <v>8547500</v>
      </c>
      <c r="DC10" s="49">
        <f t="shared" si="7"/>
        <v>8547500</v>
      </c>
      <c r="DD10" s="49">
        <f t="shared" si="7"/>
        <v>8547500</v>
      </c>
      <c r="DE10" s="49">
        <f t="shared" si="7"/>
        <v>8547500</v>
      </c>
      <c r="DF10" s="49">
        <f t="shared" si="7"/>
        <v>8547500</v>
      </c>
      <c r="DG10" s="49">
        <f t="shared" si="7"/>
        <v>8547500</v>
      </c>
      <c r="DH10" s="49">
        <f t="shared" si="7"/>
        <v>8547500</v>
      </c>
      <c r="DI10" s="49">
        <f t="shared" si="7"/>
        <v>8547500</v>
      </c>
      <c r="DJ10" s="49">
        <f t="shared" si="7"/>
        <v>8547500</v>
      </c>
      <c r="DK10" s="49">
        <f t="shared" si="7"/>
        <v>8547500</v>
      </c>
      <c r="DL10" s="49">
        <f t="shared" si="7"/>
        <v>8547500</v>
      </c>
      <c r="DM10" s="49">
        <f t="shared" si="7"/>
        <v>8547500</v>
      </c>
      <c r="DN10" s="49">
        <f t="shared" si="7"/>
        <v>8547500</v>
      </c>
      <c r="DO10" s="49">
        <f t="shared" si="7"/>
        <v>8547500</v>
      </c>
      <c r="DP10" s="49">
        <f t="shared" si="7"/>
        <v>8547500</v>
      </c>
      <c r="DQ10" s="49">
        <f t="shared" si="7"/>
        <v>8547500</v>
      </c>
      <c r="DR10" s="49">
        <f t="shared" si="7"/>
        <v>8547500</v>
      </c>
      <c r="DS10" s="49">
        <f t="shared" si="7"/>
        <v>8547500</v>
      </c>
      <c r="DT10" s="49">
        <f t="shared" si="7"/>
        <v>8547500</v>
      </c>
      <c r="DU10" s="49">
        <f t="shared" si="7"/>
        <v>8547500</v>
      </c>
      <c r="DV10" s="49">
        <f t="shared" si="7"/>
        <v>8547500</v>
      </c>
      <c r="DW10" s="49">
        <f t="shared" si="7"/>
        <v>8547500</v>
      </c>
      <c r="DX10" s="49">
        <f t="shared" si="7"/>
        <v>8547500</v>
      </c>
      <c r="DY10" s="49">
        <f t="shared" si="7"/>
        <v>8547500</v>
      </c>
      <c r="DZ10" s="49">
        <f t="shared" si="7"/>
        <v>8547500</v>
      </c>
      <c r="EA10" s="49">
        <f t="shared" si="7"/>
        <v>8547500</v>
      </c>
      <c r="EB10" s="49">
        <f t="shared" si="7"/>
        <v>8547500</v>
      </c>
      <c r="EC10" s="49">
        <f t="shared" si="7"/>
        <v>8547500</v>
      </c>
      <c r="ED10" s="49">
        <f t="shared" si="7"/>
        <v>8547500</v>
      </c>
      <c r="EE10" s="139">
        <f t="shared" ref="EE10:EE25" si="8">SUM(L10:ED10)</f>
        <v>1262573600</v>
      </c>
    </row>
    <row r="11" spans="1:135" s="28" customFormat="1" ht="12.75">
      <c r="C11" s="88" t="s">
        <v>316</v>
      </c>
      <c r="D11" s="49"/>
      <c r="E11" s="49"/>
      <c r="F11" s="49"/>
      <c r="G11" s="49"/>
      <c r="H11" s="79"/>
      <c r="I11" s="49"/>
      <c r="J11" s="49"/>
      <c r="K11" s="49"/>
      <c r="L11" s="49"/>
      <c r="M11" s="103"/>
      <c r="N11" s="103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139">
        <f t="shared" si="8"/>
        <v>0</v>
      </c>
    </row>
    <row r="12" spans="1:135" s="28" customFormat="1" ht="12.75">
      <c r="C12" s="88" t="s">
        <v>297</v>
      </c>
      <c r="D12" s="49"/>
      <c r="E12" s="49"/>
      <c r="F12" s="49"/>
      <c r="G12" s="49"/>
      <c r="H12" s="79"/>
      <c r="I12" s="49"/>
      <c r="J12" s="49"/>
      <c r="K12" s="49"/>
      <c r="L12" s="49"/>
      <c r="M12" s="103"/>
      <c r="N12" s="103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139">
        <f t="shared" si="8"/>
        <v>0</v>
      </c>
    </row>
    <row r="13" spans="1:135" s="108" customFormat="1" ht="14.25" customHeight="1">
      <c r="A13" s="233">
        <f>D14+D15</f>
        <v>0.11000000000000001</v>
      </c>
      <c r="B13" s="234"/>
      <c r="C13" s="89" t="s">
        <v>310</v>
      </c>
      <c r="D13" s="106"/>
      <c r="E13" s="106"/>
      <c r="F13" s="106"/>
      <c r="G13" s="106"/>
      <c r="H13" s="107"/>
      <c r="I13" s="106"/>
      <c r="J13" s="106"/>
      <c r="K13" s="106"/>
      <c r="L13" s="106">
        <f>L14+L15</f>
        <v>881496</v>
      </c>
      <c r="M13" s="106">
        <f>M14+M15</f>
        <v>1224300</v>
      </c>
      <c r="N13" s="106">
        <f t="shared" ref="N13:BX13" si="9">N14+N15</f>
        <v>1224300</v>
      </c>
      <c r="O13" s="106">
        <f t="shared" si="9"/>
        <v>1224300</v>
      </c>
      <c r="P13" s="106">
        <f t="shared" si="9"/>
        <v>1224300</v>
      </c>
      <c r="Q13" s="106">
        <f t="shared" si="9"/>
        <v>1224300</v>
      </c>
      <c r="R13" s="106">
        <f t="shared" si="9"/>
        <v>1224300</v>
      </c>
      <c r="S13" s="106">
        <f t="shared" si="9"/>
        <v>1224300</v>
      </c>
      <c r="T13" s="106">
        <f t="shared" si="9"/>
        <v>1224300</v>
      </c>
      <c r="U13" s="106">
        <f t="shared" si="9"/>
        <v>1224300</v>
      </c>
      <c r="V13" s="106">
        <f t="shared" si="9"/>
        <v>1224300</v>
      </c>
      <c r="W13" s="106">
        <f t="shared" si="9"/>
        <v>1224300</v>
      </c>
      <c r="X13" s="106">
        <f t="shared" si="9"/>
        <v>1224300</v>
      </c>
      <c r="Y13" s="106">
        <f t="shared" si="9"/>
        <v>1224300</v>
      </c>
      <c r="Z13" s="106">
        <f t="shared" si="9"/>
        <v>1224300</v>
      </c>
      <c r="AA13" s="106">
        <f t="shared" si="9"/>
        <v>1224300</v>
      </c>
      <c r="AB13" s="106">
        <f t="shared" si="9"/>
        <v>1224300</v>
      </c>
      <c r="AC13" s="106">
        <f t="shared" si="9"/>
        <v>1224300</v>
      </c>
      <c r="AD13" s="106">
        <f t="shared" si="9"/>
        <v>1224300</v>
      </c>
      <c r="AE13" s="106">
        <f t="shared" si="9"/>
        <v>1224300</v>
      </c>
      <c r="AF13" s="106">
        <f t="shared" si="9"/>
        <v>1224300</v>
      </c>
      <c r="AG13" s="106">
        <f t="shared" si="9"/>
        <v>1224300</v>
      </c>
      <c r="AH13" s="106">
        <f t="shared" si="9"/>
        <v>1224300</v>
      </c>
      <c r="AI13" s="106">
        <f t="shared" si="9"/>
        <v>1224300</v>
      </c>
      <c r="AJ13" s="106">
        <f t="shared" si="9"/>
        <v>1224300</v>
      </c>
      <c r="AK13" s="106">
        <f t="shared" si="9"/>
        <v>1224300</v>
      </c>
      <c r="AL13" s="106">
        <f t="shared" si="9"/>
        <v>1224300</v>
      </c>
      <c r="AM13" s="106">
        <f t="shared" si="9"/>
        <v>1224300</v>
      </c>
      <c r="AN13" s="106">
        <f t="shared" si="9"/>
        <v>1224300</v>
      </c>
      <c r="AO13" s="106">
        <f t="shared" si="9"/>
        <v>1224300</v>
      </c>
      <c r="AP13" s="106">
        <f t="shared" si="9"/>
        <v>1224300</v>
      </c>
      <c r="AQ13" s="106">
        <f t="shared" si="9"/>
        <v>1224300</v>
      </c>
      <c r="AR13" s="106">
        <f t="shared" si="9"/>
        <v>1224300</v>
      </c>
      <c r="AS13" s="106">
        <f t="shared" si="9"/>
        <v>1224300</v>
      </c>
      <c r="AT13" s="106">
        <f t="shared" si="9"/>
        <v>1224300</v>
      </c>
      <c r="AU13" s="106">
        <f t="shared" si="9"/>
        <v>1224300</v>
      </c>
      <c r="AV13" s="106">
        <f t="shared" si="9"/>
        <v>1224300</v>
      </c>
      <c r="AW13" s="106">
        <f t="shared" si="9"/>
        <v>1224300</v>
      </c>
      <c r="AX13" s="106">
        <f t="shared" si="9"/>
        <v>1224300</v>
      </c>
      <c r="AY13" s="106">
        <f t="shared" si="9"/>
        <v>1224300</v>
      </c>
      <c r="AZ13" s="106">
        <f t="shared" si="9"/>
        <v>1224300</v>
      </c>
      <c r="BA13" s="106">
        <f t="shared" si="9"/>
        <v>1224300</v>
      </c>
      <c r="BB13" s="106">
        <f t="shared" si="9"/>
        <v>1224300</v>
      </c>
      <c r="BC13" s="106">
        <f t="shared" si="9"/>
        <v>1224300</v>
      </c>
      <c r="BD13" s="106">
        <f t="shared" si="9"/>
        <v>1224300</v>
      </c>
      <c r="BE13" s="106">
        <f t="shared" si="9"/>
        <v>1224300</v>
      </c>
      <c r="BF13" s="106">
        <f t="shared" si="9"/>
        <v>1224300</v>
      </c>
      <c r="BG13" s="106">
        <f t="shared" si="9"/>
        <v>1224300</v>
      </c>
      <c r="BH13" s="106">
        <f t="shared" si="9"/>
        <v>1224300</v>
      </c>
      <c r="BI13" s="106">
        <f t="shared" si="9"/>
        <v>1224300</v>
      </c>
      <c r="BJ13" s="106">
        <f t="shared" si="9"/>
        <v>1224300</v>
      </c>
      <c r="BK13" s="106">
        <f t="shared" si="9"/>
        <v>1224300</v>
      </c>
      <c r="BL13" s="106">
        <f t="shared" si="9"/>
        <v>1224300</v>
      </c>
      <c r="BM13" s="106">
        <f t="shared" si="9"/>
        <v>1224300</v>
      </c>
      <c r="BN13" s="106">
        <f t="shared" si="9"/>
        <v>1224300</v>
      </c>
      <c r="BO13" s="106">
        <f t="shared" si="9"/>
        <v>1224300</v>
      </c>
      <c r="BP13" s="106">
        <f t="shared" si="9"/>
        <v>1224300</v>
      </c>
      <c r="BQ13" s="106">
        <f t="shared" si="9"/>
        <v>1224300</v>
      </c>
      <c r="BR13" s="106">
        <f t="shared" si="9"/>
        <v>1224300</v>
      </c>
      <c r="BS13" s="106">
        <f t="shared" si="9"/>
        <v>1224300</v>
      </c>
      <c r="BT13" s="106">
        <f t="shared" si="9"/>
        <v>1224300</v>
      </c>
      <c r="BU13" s="106">
        <f t="shared" si="9"/>
        <v>1224300</v>
      </c>
      <c r="BV13" s="106">
        <f t="shared" si="9"/>
        <v>1224300</v>
      </c>
      <c r="BW13" s="106">
        <f t="shared" si="9"/>
        <v>1224300</v>
      </c>
      <c r="BX13" s="106">
        <f t="shared" si="9"/>
        <v>1224300</v>
      </c>
      <c r="BY13" s="106">
        <f t="shared" ref="BY13:ED13" si="10">BY14+BY15</f>
        <v>1224300</v>
      </c>
      <c r="BZ13" s="106">
        <f t="shared" si="10"/>
        <v>1224300</v>
      </c>
      <c r="CA13" s="106">
        <f t="shared" si="10"/>
        <v>1224300</v>
      </c>
      <c r="CB13" s="106">
        <f t="shared" si="10"/>
        <v>1224300</v>
      </c>
      <c r="CC13" s="106">
        <f t="shared" si="10"/>
        <v>1224300</v>
      </c>
      <c r="CD13" s="106">
        <f t="shared" si="10"/>
        <v>1224300</v>
      </c>
      <c r="CE13" s="106">
        <f t="shared" si="10"/>
        <v>1224300</v>
      </c>
      <c r="CF13" s="106">
        <f t="shared" si="10"/>
        <v>1224300</v>
      </c>
      <c r="CG13" s="106">
        <f t="shared" si="10"/>
        <v>1224300</v>
      </c>
      <c r="CH13" s="106">
        <f t="shared" si="10"/>
        <v>1224300</v>
      </c>
      <c r="CI13" s="106">
        <f t="shared" si="10"/>
        <v>1224300</v>
      </c>
      <c r="CJ13" s="106">
        <f t="shared" si="10"/>
        <v>1224300</v>
      </c>
      <c r="CK13" s="106">
        <f t="shared" si="10"/>
        <v>1224300</v>
      </c>
      <c r="CL13" s="106">
        <f t="shared" si="10"/>
        <v>1224300</v>
      </c>
      <c r="CM13" s="106">
        <f t="shared" si="10"/>
        <v>1224300</v>
      </c>
      <c r="CN13" s="106">
        <f t="shared" si="10"/>
        <v>1224300</v>
      </c>
      <c r="CO13" s="106">
        <f t="shared" si="10"/>
        <v>1224300</v>
      </c>
      <c r="CP13" s="106">
        <f t="shared" si="10"/>
        <v>1224300</v>
      </c>
      <c r="CQ13" s="106">
        <f t="shared" si="10"/>
        <v>940225</v>
      </c>
      <c r="CR13" s="106">
        <f t="shared" si="10"/>
        <v>940225</v>
      </c>
      <c r="CS13" s="106">
        <f t="shared" si="10"/>
        <v>940225</v>
      </c>
      <c r="CT13" s="106">
        <f t="shared" si="10"/>
        <v>940225</v>
      </c>
      <c r="CU13" s="106">
        <f t="shared" si="10"/>
        <v>940225</v>
      </c>
      <c r="CV13" s="106">
        <f t="shared" si="10"/>
        <v>940225</v>
      </c>
      <c r="CW13" s="106">
        <f t="shared" si="10"/>
        <v>940225</v>
      </c>
      <c r="CX13" s="106">
        <f t="shared" si="10"/>
        <v>940225</v>
      </c>
      <c r="CY13" s="106">
        <f t="shared" si="10"/>
        <v>940225</v>
      </c>
      <c r="CZ13" s="106">
        <f t="shared" si="10"/>
        <v>940225</v>
      </c>
      <c r="DA13" s="106">
        <f t="shared" si="10"/>
        <v>940225</v>
      </c>
      <c r="DB13" s="106">
        <f t="shared" si="10"/>
        <v>940225</v>
      </c>
      <c r="DC13" s="106">
        <f t="shared" si="10"/>
        <v>940225</v>
      </c>
      <c r="DD13" s="106">
        <f t="shared" si="10"/>
        <v>940225</v>
      </c>
      <c r="DE13" s="106">
        <f t="shared" si="10"/>
        <v>940225</v>
      </c>
      <c r="DF13" s="106">
        <f t="shared" si="10"/>
        <v>940225</v>
      </c>
      <c r="DG13" s="106">
        <f t="shared" si="10"/>
        <v>940225</v>
      </c>
      <c r="DH13" s="106">
        <f t="shared" si="10"/>
        <v>940225</v>
      </c>
      <c r="DI13" s="106">
        <f t="shared" si="10"/>
        <v>940225</v>
      </c>
      <c r="DJ13" s="106">
        <f t="shared" si="10"/>
        <v>940225</v>
      </c>
      <c r="DK13" s="106">
        <f t="shared" si="10"/>
        <v>940225</v>
      </c>
      <c r="DL13" s="106">
        <f t="shared" si="10"/>
        <v>940225</v>
      </c>
      <c r="DM13" s="106">
        <f t="shared" si="10"/>
        <v>940225</v>
      </c>
      <c r="DN13" s="106">
        <f t="shared" si="10"/>
        <v>940225</v>
      </c>
      <c r="DO13" s="106">
        <f t="shared" si="10"/>
        <v>940225</v>
      </c>
      <c r="DP13" s="106">
        <f t="shared" si="10"/>
        <v>940225</v>
      </c>
      <c r="DQ13" s="106">
        <f t="shared" si="10"/>
        <v>940225</v>
      </c>
      <c r="DR13" s="106">
        <f t="shared" si="10"/>
        <v>940225</v>
      </c>
      <c r="DS13" s="106">
        <f t="shared" si="10"/>
        <v>940225</v>
      </c>
      <c r="DT13" s="106">
        <f t="shared" si="10"/>
        <v>940225</v>
      </c>
      <c r="DU13" s="106">
        <f t="shared" si="10"/>
        <v>940225</v>
      </c>
      <c r="DV13" s="106">
        <f t="shared" si="10"/>
        <v>940225</v>
      </c>
      <c r="DW13" s="106">
        <f t="shared" si="10"/>
        <v>940225</v>
      </c>
      <c r="DX13" s="106">
        <f t="shared" si="10"/>
        <v>940225</v>
      </c>
      <c r="DY13" s="106">
        <f t="shared" si="10"/>
        <v>940225</v>
      </c>
      <c r="DZ13" s="106">
        <f t="shared" si="10"/>
        <v>940225</v>
      </c>
      <c r="EA13" s="106">
        <f t="shared" si="10"/>
        <v>940225</v>
      </c>
      <c r="EB13" s="106">
        <f t="shared" si="10"/>
        <v>940225</v>
      </c>
      <c r="EC13" s="106">
        <f t="shared" si="10"/>
        <v>940225</v>
      </c>
      <c r="ED13" s="106">
        <f t="shared" si="10"/>
        <v>940225</v>
      </c>
      <c r="EE13" s="139">
        <f t="shared" si="8"/>
        <v>138883096</v>
      </c>
    </row>
    <row r="14" spans="1:135" s="28" customFormat="1" ht="12.75">
      <c r="C14" s="89" t="s">
        <v>311</v>
      </c>
      <c r="D14" s="105">
        <f>商业现金流!D56</f>
        <v>0.04</v>
      </c>
      <c r="E14" s="49"/>
      <c r="F14" s="49"/>
      <c r="G14" s="49"/>
      <c r="H14" s="79"/>
      <c r="I14" s="49"/>
      <c r="J14" s="49"/>
      <c r="K14" s="49"/>
      <c r="L14" s="49">
        <f>D14*L9</f>
        <v>320544</v>
      </c>
      <c r="M14" s="49">
        <f>$D$14*M9</f>
        <v>445200</v>
      </c>
      <c r="N14" s="49">
        <f t="shared" ref="N14:BY14" si="11">$D$14*N9</f>
        <v>445200</v>
      </c>
      <c r="O14" s="49">
        <f t="shared" si="11"/>
        <v>445200</v>
      </c>
      <c r="P14" s="49">
        <f t="shared" si="11"/>
        <v>445200</v>
      </c>
      <c r="Q14" s="49">
        <f t="shared" si="11"/>
        <v>445200</v>
      </c>
      <c r="R14" s="49">
        <f t="shared" si="11"/>
        <v>445200</v>
      </c>
      <c r="S14" s="49">
        <f t="shared" si="11"/>
        <v>445200</v>
      </c>
      <c r="T14" s="49">
        <f t="shared" si="11"/>
        <v>445200</v>
      </c>
      <c r="U14" s="49">
        <f t="shared" si="11"/>
        <v>445200</v>
      </c>
      <c r="V14" s="49">
        <f t="shared" si="11"/>
        <v>445200</v>
      </c>
      <c r="W14" s="49">
        <f t="shared" si="11"/>
        <v>445200</v>
      </c>
      <c r="X14" s="49">
        <f t="shared" si="11"/>
        <v>445200</v>
      </c>
      <c r="Y14" s="49">
        <f t="shared" si="11"/>
        <v>445200</v>
      </c>
      <c r="Z14" s="49">
        <f t="shared" si="11"/>
        <v>445200</v>
      </c>
      <c r="AA14" s="49">
        <f t="shared" si="11"/>
        <v>445200</v>
      </c>
      <c r="AB14" s="49">
        <f t="shared" si="11"/>
        <v>445200</v>
      </c>
      <c r="AC14" s="49">
        <f t="shared" si="11"/>
        <v>445200</v>
      </c>
      <c r="AD14" s="49">
        <f t="shared" si="11"/>
        <v>445200</v>
      </c>
      <c r="AE14" s="49">
        <f t="shared" si="11"/>
        <v>445200</v>
      </c>
      <c r="AF14" s="49">
        <f t="shared" si="11"/>
        <v>445200</v>
      </c>
      <c r="AG14" s="49">
        <f t="shared" si="11"/>
        <v>445200</v>
      </c>
      <c r="AH14" s="49">
        <f t="shared" si="11"/>
        <v>445200</v>
      </c>
      <c r="AI14" s="49">
        <f t="shared" si="11"/>
        <v>445200</v>
      </c>
      <c r="AJ14" s="49">
        <f t="shared" si="11"/>
        <v>445200</v>
      </c>
      <c r="AK14" s="49">
        <f t="shared" si="11"/>
        <v>445200</v>
      </c>
      <c r="AL14" s="49">
        <f t="shared" si="11"/>
        <v>445200</v>
      </c>
      <c r="AM14" s="49">
        <f t="shared" si="11"/>
        <v>445200</v>
      </c>
      <c r="AN14" s="49">
        <f t="shared" si="11"/>
        <v>445200</v>
      </c>
      <c r="AO14" s="49">
        <f t="shared" si="11"/>
        <v>445200</v>
      </c>
      <c r="AP14" s="49">
        <f t="shared" si="11"/>
        <v>445200</v>
      </c>
      <c r="AQ14" s="49">
        <f t="shared" si="11"/>
        <v>445200</v>
      </c>
      <c r="AR14" s="49">
        <f t="shared" si="11"/>
        <v>445200</v>
      </c>
      <c r="AS14" s="49">
        <f t="shared" si="11"/>
        <v>445200</v>
      </c>
      <c r="AT14" s="49">
        <f t="shared" si="11"/>
        <v>445200</v>
      </c>
      <c r="AU14" s="49">
        <f t="shared" si="11"/>
        <v>445200</v>
      </c>
      <c r="AV14" s="49">
        <f t="shared" si="11"/>
        <v>445200</v>
      </c>
      <c r="AW14" s="49">
        <f t="shared" si="11"/>
        <v>445200</v>
      </c>
      <c r="AX14" s="49">
        <f t="shared" si="11"/>
        <v>445200</v>
      </c>
      <c r="AY14" s="49">
        <f t="shared" si="11"/>
        <v>445200</v>
      </c>
      <c r="AZ14" s="49">
        <f t="shared" si="11"/>
        <v>445200</v>
      </c>
      <c r="BA14" s="49">
        <f t="shared" si="11"/>
        <v>445200</v>
      </c>
      <c r="BB14" s="49">
        <f t="shared" si="11"/>
        <v>445200</v>
      </c>
      <c r="BC14" s="49">
        <f t="shared" si="11"/>
        <v>445200</v>
      </c>
      <c r="BD14" s="49">
        <f t="shared" si="11"/>
        <v>445200</v>
      </c>
      <c r="BE14" s="49">
        <f t="shared" si="11"/>
        <v>445200</v>
      </c>
      <c r="BF14" s="49">
        <f t="shared" si="11"/>
        <v>445200</v>
      </c>
      <c r="BG14" s="49">
        <f t="shared" si="11"/>
        <v>445200</v>
      </c>
      <c r="BH14" s="49">
        <f t="shared" si="11"/>
        <v>445200</v>
      </c>
      <c r="BI14" s="49">
        <f t="shared" si="11"/>
        <v>445200</v>
      </c>
      <c r="BJ14" s="49">
        <f t="shared" si="11"/>
        <v>445200</v>
      </c>
      <c r="BK14" s="49">
        <f t="shared" si="11"/>
        <v>445200</v>
      </c>
      <c r="BL14" s="49">
        <f t="shared" si="11"/>
        <v>445200</v>
      </c>
      <c r="BM14" s="49">
        <f t="shared" si="11"/>
        <v>445200</v>
      </c>
      <c r="BN14" s="49">
        <f t="shared" si="11"/>
        <v>445200</v>
      </c>
      <c r="BO14" s="49">
        <f t="shared" si="11"/>
        <v>445200</v>
      </c>
      <c r="BP14" s="49">
        <f t="shared" si="11"/>
        <v>445200</v>
      </c>
      <c r="BQ14" s="49">
        <f t="shared" si="11"/>
        <v>445200</v>
      </c>
      <c r="BR14" s="49">
        <f t="shared" si="11"/>
        <v>445200</v>
      </c>
      <c r="BS14" s="49">
        <f t="shared" si="11"/>
        <v>445200</v>
      </c>
      <c r="BT14" s="49">
        <f t="shared" si="11"/>
        <v>445200</v>
      </c>
      <c r="BU14" s="49">
        <f t="shared" si="11"/>
        <v>445200</v>
      </c>
      <c r="BV14" s="49">
        <f t="shared" si="11"/>
        <v>445200</v>
      </c>
      <c r="BW14" s="49">
        <f t="shared" si="11"/>
        <v>445200</v>
      </c>
      <c r="BX14" s="49">
        <f t="shared" si="11"/>
        <v>445200</v>
      </c>
      <c r="BY14" s="49">
        <f t="shared" si="11"/>
        <v>445200</v>
      </c>
      <c r="BZ14" s="49">
        <f t="shared" ref="BZ14:EC14" si="12">$D$14*BZ9</f>
        <v>445200</v>
      </c>
      <c r="CA14" s="49">
        <f t="shared" si="12"/>
        <v>445200</v>
      </c>
      <c r="CB14" s="49">
        <f t="shared" si="12"/>
        <v>445200</v>
      </c>
      <c r="CC14" s="49">
        <f t="shared" si="12"/>
        <v>445200</v>
      </c>
      <c r="CD14" s="49">
        <f t="shared" si="12"/>
        <v>445200</v>
      </c>
      <c r="CE14" s="49">
        <f t="shared" si="12"/>
        <v>445200</v>
      </c>
      <c r="CF14" s="49">
        <f t="shared" si="12"/>
        <v>445200</v>
      </c>
      <c r="CG14" s="49">
        <f t="shared" si="12"/>
        <v>445200</v>
      </c>
      <c r="CH14" s="49">
        <f t="shared" si="12"/>
        <v>445200</v>
      </c>
      <c r="CI14" s="49">
        <f t="shared" si="12"/>
        <v>445200</v>
      </c>
      <c r="CJ14" s="49">
        <f t="shared" si="12"/>
        <v>445200</v>
      </c>
      <c r="CK14" s="49">
        <f t="shared" si="12"/>
        <v>445200</v>
      </c>
      <c r="CL14" s="49">
        <f t="shared" si="12"/>
        <v>445200</v>
      </c>
      <c r="CM14" s="49">
        <f t="shared" si="12"/>
        <v>445200</v>
      </c>
      <c r="CN14" s="49">
        <f t="shared" si="12"/>
        <v>445200</v>
      </c>
      <c r="CO14" s="49">
        <f t="shared" si="12"/>
        <v>445200</v>
      </c>
      <c r="CP14" s="49">
        <f t="shared" si="12"/>
        <v>445200</v>
      </c>
      <c r="CQ14" s="49">
        <f>$D$14*CQ9</f>
        <v>341900</v>
      </c>
      <c r="CR14" s="49">
        <f t="shared" si="12"/>
        <v>341900</v>
      </c>
      <c r="CS14" s="49">
        <f t="shared" si="12"/>
        <v>341900</v>
      </c>
      <c r="CT14" s="49">
        <f t="shared" si="12"/>
        <v>341900</v>
      </c>
      <c r="CU14" s="49">
        <f t="shared" si="12"/>
        <v>341900</v>
      </c>
      <c r="CV14" s="49">
        <f t="shared" si="12"/>
        <v>341900</v>
      </c>
      <c r="CW14" s="49">
        <f t="shared" si="12"/>
        <v>341900</v>
      </c>
      <c r="CX14" s="49">
        <f t="shared" si="12"/>
        <v>341900</v>
      </c>
      <c r="CY14" s="49">
        <f t="shared" si="12"/>
        <v>341900</v>
      </c>
      <c r="CZ14" s="49">
        <f t="shared" si="12"/>
        <v>341900</v>
      </c>
      <c r="DA14" s="49">
        <f t="shared" si="12"/>
        <v>341900</v>
      </c>
      <c r="DB14" s="49">
        <f t="shared" si="12"/>
        <v>341900</v>
      </c>
      <c r="DC14" s="49">
        <f t="shared" si="12"/>
        <v>341900</v>
      </c>
      <c r="DD14" s="49">
        <f t="shared" si="12"/>
        <v>341900</v>
      </c>
      <c r="DE14" s="49">
        <f t="shared" si="12"/>
        <v>341900</v>
      </c>
      <c r="DF14" s="49">
        <f t="shared" si="12"/>
        <v>341900</v>
      </c>
      <c r="DG14" s="49">
        <f t="shared" si="12"/>
        <v>341900</v>
      </c>
      <c r="DH14" s="49">
        <f t="shared" si="12"/>
        <v>341900</v>
      </c>
      <c r="DI14" s="49">
        <f t="shared" si="12"/>
        <v>341900</v>
      </c>
      <c r="DJ14" s="49">
        <f t="shared" si="12"/>
        <v>341900</v>
      </c>
      <c r="DK14" s="49">
        <f t="shared" si="12"/>
        <v>341900</v>
      </c>
      <c r="DL14" s="49">
        <f t="shared" si="12"/>
        <v>341900</v>
      </c>
      <c r="DM14" s="49">
        <f t="shared" si="12"/>
        <v>341900</v>
      </c>
      <c r="DN14" s="49">
        <f t="shared" si="12"/>
        <v>341900</v>
      </c>
      <c r="DO14" s="49">
        <f t="shared" si="12"/>
        <v>341900</v>
      </c>
      <c r="DP14" s="49">
        <f t="shared" si="12"/>
        <v>341900</v>
      </c>
      <c r="DQ14" s="49">
        <f t="shared" si="12"/>
        <v>341900</v>
      </c>
      <c r="DR14" s="49">
        <f t="shared" si="12"/>
        <v>341900</v>
      </c>
      <c r="DS14" s="49">
        <f t="shared" si="12"/>
        <v>341900</v>
      </c>
      <c r="DT14" s="49">
        <f t="shared" si="12"/>
        <v>341900</v>
      </c>
      <c r="DU14" s="49">
        <f t="shared" si="12"/>
        <v>341900</v>
      </c>
      <c r="DV14" s="49">
        <f t="shared" si="12"/>
        <v>341900</v>
      </c>
      <c r="DW14" s="49">
        <f t="shared" si="12"/>
        <v>341900</v>
      </c>
      <c r="DX14" s="49">
        <f t="shared" si="12"/>
        <v>341900</v>
      </c>
      <c r="DY14" s="49">
        <f t="shared" si="12"/>
        <v>341900</v>
      </c>
      <c r="DZ14" s="49">
        <f t="shared" si="12"/>
        <v>341900</v>
      </c>
      <c r="EA14" s="49">
        <f t="shared" si="12"/>
        <v>341900</v>
      </c>
      <c r="EB14" s="49">
        <f t="shared" si="12"/>
        <v>341900</v>
      </c>
      <c r="EC14" s="49">
        <f t="shared" si="12"/>
        <v>341900</v>
      </c>
      <c r="ED14" s="49">
        <f>$D$14*ED9</f>
        <v>341900</v>
      </c>
      <c r="EE14" s="139">
        <f t="shared" si="8"/>
        <v>50502944</v>
      </c>
    </row>
    <row r="15" spans="1:135" s="28" customFormat="1" ht="12.75">
      <c r="C15" s="89" t="s">
        <v>312</v>
      </c>
      <c r="D15" s="105">
        <f>商业现金流!D57</f>
        <v>7.0000000000000007E-2</v>
      </c>
      <c r="E15" s="49"/>
      <c r="F15" s="49"/>
      <c r="G15" s="49"/>
      <c r="H15" s="79"/>
      <c r="I15" s="49"/>
      <c r="J15" s="49"/>
      <c r="K15" s="49"/>
      <c r="L15" s="49">
        <f>D15*L10</f>
        <v>560952</v>
      </c>
      <c r="M15" s="49">
        <f>$D$15*M10</f>
        <v>779100.00000000012</v>
      </c>
      <c r="N15" s="49">
        <f t="shared" ref="N15:BY15" si="13">$D$15*N10</f>
        <v>779100.00000000012</v>
      </c>
      <c r="O15" s="49">
        <f t="shared" si="13"/>
        <v>779100.00000000012</v>
      </c>
      <c r="P15" s="49">
        <f t="shared" si="13"/>
        <v>779100.00000000012</v>
      </c>
      <c r="Q15" s="49">
        <f t="shared" si="13"/>
        <v>779100.00000000012</v>
      </c>
      <c r="R15" s="49">
        <f t="shared" si="13"/>
        <v>779100.00000000012</v>
      </c>
      <c r="S15" s="49">
        <f t="shared" si="13"/>
        <v>779100.00000000012</v>
      </c>
      <c r="T15" s="49">
        <f t="shared" si="13"/>
        <v>779100.00000000012</v>
      </c>
      <c r="U15" s="49">
        <f t="shared" si="13"/>
        <v>779100.00000000012</v>
      </c>
      <c r="V15" s="49">
        <f t="shared" si="13"/>
        <v>779100.00000000012</v>
      </c>
      <c r="W15" s="49">
        <f t="shared" si="13"/>
        <v>779100.00000000012</v>
      </c>
      <c r="X15" s="49">
        <f t="shared" si="13"/>
        <v>779100.00000000012</v>
      </c>
      <c r="Y15" s="49">
        <f t="shared" si="13"/>
        <v>779100.00000000012</v>
      </c>
      <c r="Z15" s="49">
        <f t="shared" si="13"/>
        <v>779100.00000000012</v>
      </c>
      <c r="AA15" s="49">
        <f t="shared" si="13"/>
        <v>779100.00000000012</v>
      </c>
      <c r="AB15" s="49">
        <f t="shared" si="13"/>
        <v>779100.00000000012</v>
      </c>
      <c r="AC15" s="49">
        <f t="shared" si="13"/>
        <v>779100.00000000012</v>
      </c>
      <c r="AD15" s="49">
        <f t="shared" si="13"/>
        <v>779100.00000000012</v>
      </c>
      <c r="AE15" s="49">
        <f t="shared" si="13"/>
        <v>779100.00000000012</v>
      </c>
      <c r="AF15" s="49">
        <f t="shared" si="13"/>
        <v>779100.00000000012</v>
      </c>
      <c r="AG15" s="49">
        <f t="shared" si="13"/>
        <v>779100.00000000012</v>
      </c>
      <c r="AH15" s="49">
        <f t="shared" si="13"/>
        <v>779100.00000000012</v>
      </c>
      <c r="AI15" s="49">
        <f t="shared" si="13"/>
        <v>779100.00000000012</v>
      </c>
      <c r="AJ15" s="49">
        <f t="shared" si="13"/>
        <v>779100.00000000012</v>
      </c>
      <c r="AK15" s="49">
        <f t="shared" si="13"/>
        <v>779100.00000000012</v>
      </c>
      <c r="AL15" s="49">
        <f t="shared" si="13"/>
        <v>779100.00000000012</v>
      </c>
      <c r="AM15" s="49">
        <f t="shared" si="13"/>
        <v>779100.00000000012</v>
      </c>
      <c r="AN15" s="49">
        <f t="shared" si="13"/>
        <v>779100.00000000012</v>
      </c>
      <c r="AO15" s="49">
        <f t="shared" si="13"/>
        <v>779100.00000000012</v>
      </c>
      <c r="AP15" s="49">
        <f t="shared" si="13"/>
        <v>779100.00000000012</v>
      </c>
      <c r="AQ15" s="49">
        <f t="shared" si="13"/>
        <v>779100.00000000012</v>
      </c>
      <c r="AR15" s="49">
        <f t="shared" si="13"/>
        <v>779100.00000000012</v>
      </c>
      <c r="AS15" s="49">
        <f t="shared" si="13"/>
        <v>779100.00000000012</v>
      </c>
      <c r="AT15" s="49">
        <f t="shared" si="13"/>
        <v>779100.00000000012</v>
      </c>
      <c r="AU15" s="49">
        <f t="shared" si="13"/>
        <v>779100.00000000012</v>
      </c>
      <c r="AV15" s="49">
        <f t="shared" si="13"/>
        <v>779100.00000000012</v>
      </c>
      <c r="AW15" s="49">
        <f t="shared" si="13"/>
        <v>779100.00000000012</v>
      </c>
      <c r="AX15" s="49">
        <f t="shared" si="13"/>
        <v>779100.00000000012</v>
      </c>
      <c r="AY15" s="49">
        <f t="shared" si="13"/>
        <v>779100.00000000012</v>
      </c>
      <c r="AZ15" s="49">
        <f t="shared" si="13"/>
        <v>779100.00000000012</v>
      </c>
      <c r="BA15" s="49">
        <f t="shared" si="13"/>
        <v>779100.00000000012</v>
      </c>
      <c r="BB15" s="49">
        <f t="shared" si="13"/>
        <v>779100.00000000012</v>
      </c>
      <c r="BC15" s="49">
        <f t="shared" si="13"/>
        <v>779100.00000000012</v>
      </c>
      <c r="BD15" s="49">
        <f t="shared" si="13"/>
        <v>779100.00000000012</v>
      </c>
      <c r="BE15" s="49">
        <f t="shared" si="13"/>
        <v>779100.00000000012</v>
      </c>
      <c r="BF15" s="49">
        <f t="shared" si="13"/>
        <v>779100.00000000012</v>
      </c>
      <c r="BG15" s="49">
        <f t="shared" si="13"/>
        <v>779100.00000000012</v>
      </c>
      <c r="BH15" s="49">
        <f t="shared" si="13"/>
        <v>779100.00000000012</v>
      </c>
      <c r="BI15" s="49">
        <f t="shared" si="13"/>
        <v>779100.00000000012</v>
      </c>
      <c r="BJ15" s="49">
        <f t="shared" si="13"/>
        <v>779100.00000000012</v>
      </c>
      <c r="BK15" s="49">
        <f t="shared" si="13"/>
        <v>779100.00000000012</v>
      </c>
      <c r="BL15" s="49">
        <f t="shared" si="13"/>
        <v>779100.00000000012</v>
      </c>
      <c r="BM15" s="49">
        <f t="shared" si="13"/>
        <v>779100.00000000012</v>
      </c>
      <c r="BN15" s="49">
        <f t="shared" si="13"/>
        <v>779100.00000000012</v>
      </c>
      <c r="BO15" s="49">
        <f t="shared" si="13"/>
        <v>779100.00000000012</v>
      </c>
      <c r="BP15" s="49">
        <f t="shared" si="13"/>
        <v>779100.00000000012</v>
      </c>
      <c r="BQ15" s="49">
        <f t="shared" si="13"/>
        <v>779100.00000000012</v>
      </c>
      <c r="BR15" s="49">
        <f t="shared" si="13"/>
        <v>779100.00000000012</v>
      </c>
      <c r="BS15" s="49">
        <f t="shared" si="13"/>
        <v>779100.00000000012</v>
      </c>
      <c r="BT15" s="49">
        <f t="shared" si="13"/>
        <v>779100.00000000012</v>
      </c>
      <c r="BU15" s="49">
        <f t="shared" si="13"/>
        <v>779100.00000000012</v>
      </c>
      <c r="BV15" s="49">
        <f t="shared" si="13"/>
        <v>779100.00000000012</v>
      </c>
      <c r="BW15" s="49">
        <f t="shared" si="13"/>
        <v>779100.00000000012</v>
      </c>
      <c r="BX15" s="49">
        <f t="shared" si="13"/>
        <v>779100.00000000012</v>
      </c>
      <c r="BY15" s="49">
        <f t="shared" si="13"/>
        <v>779100.00000000012</v>
      </c>
      <c r="BZ15" s="49">
        <f t="shared" ref="BZ15:ED15" si="14">$D$15*BZ10</f>
        <v>779100.00000000012</v>
      </c>
      <c r="CA15" s="49">
        <f t="shared" si="14"/>
        <v>779100.00000000012</v>
      </c>
      <c r="CB15" s="49">
        <f t="shared" si="14"/>
        <v>779100.00000000012</v>
      </c>
      <c r="CC15" s="49">
        <f t="shared" si="14"/>
        <v>779100.00000000012</v>
      </c>
      <c r="CD15" s="49">
        <f t="shared" si="14"/>
        <v>779100.00000000012</v>
      </c>
      <c r="CE15" s="49">
        <f t="shared" si="14"/>
        <v>779100.00000000012</v>
      </c>
      <c r="CF15" s="49">
        <f t="shared" si="14"/>
        <v>779100.00000000012</v>
      </c>
      <c r="CG15" s="49">
        <f t="shared" si="14"/>
        <v>779100.00000000012</v>
      </c>
      <c r="CH15" s="49">
        <f t="shared" si="14"/>
        <v>779100.00000000012</v>
      </c>
      <c r="CI15" s="49">
        <f t="shared" si="14"/>
        <v>779100.00000000012</v>
      </c>
      <c r="CJ15" s="49">
        <f t="shared" si="14"/>
        <v>779100.00000000012</v>
      </c>
      <c r="CK15" s="49">
        <f t="shared" si="14"/>
        <v>779100.00000000012</v>
      </c>
      <c r="CL15" s="49">
        <f t="shared" si="14"/>
        <v>779100.00000000012</v>
      </c>
      <c r="CM15" s="49">
        <f t="shared" si="14"/>
        <v>779100.00000000012</v>
      </c>
      <c r="CN15" s="49">
        <f t="shared" si="14"/>
        <v>779100.00000000012</v>
      </c>
      <c r="CO15" s="49">
        <f t="shared" si="14"/>
        <v>779100.00000000012</v>
      </c>
      <c r="CP15" s="49">
        <f t="shared" si="14"/>
        <v>779100.00000000012</v>
      </c>
      <c r="CQ15" s="49">
        <f>$D$15*CQ10</f>
        <v>598325</v>
      </c>
      <c r="CR15" s="49">
        <f t="shared" si="14"/>
        <v>598325</v>
      </c>
      <c r="CS15" s="49">
        <f t="shared" si="14"/>
        <v>598325</v>
      </c>
      <c r="CT15" s="49">
        <f t="shared" si="14"/>
        <v>598325</v>
      </c>
      <c r="CU15" s="49">
        <f t="shared" si="14"/>
        <v>598325</v>
      </c>
      <c r="CV15" s="49">
        <f t="shared" si="14"/>
        <v>598325</v>
      </c>
      <c r="CW15" s="49">
        <f t="shared" si="14"/>
        <v>598325</v>
      </c>
      <c r="CX15" s="49">
        <f t="shared" si="14"/>
        <v>598325</v>
      </c>
      <c r="CY15" s="49">
        <f t="shared" si="14"/>
        <v>598325</v>
      </c>
      <c r="CZ15" s="49">
        <f t="shared" si="14"/>
        <v>598325</v>
      </c>
      <c r="DA15" s="49">
        <f t="shared" si="14"/>
        <v>598325</v>
      </c>
      <c r="DB15" s="49">
        <f t="shared" si="14"/>
        <v>598325</v>
      </c>
      <c r="DC15" s="49">
        <f t="shared" si="14"/>
        <v>598325</v>
      </c>
      <c r="DD15" s="49">
        <f t="shared" si="14"/>
        <v>598325</v>
      </c>
      <c r="DE15" s="49">
        <f t="shared" si="14"/>
        <v>598325</v>
      </c>
      <c r="DF15" s="49">
        <f t="shared" si="14"/>
        <v>598325</v>
      </c>
      <c r="DG15" s="49">
        <f t="shared" si="14"/>
        <v>598325</v>
      </c>
      <c r="DH15" s="49">
        <f t="shared" si="14"/>
        <v>598325</v>
      </c>
      <c r="DI15" s="49">
        <f t="shared" si="14"/>
        <v>598325</v>
      </c>
      <c r="DJ15" s="49">
        <f t="shared" si="14"/>
        <v>598325</v>
      </c>
      <c r="DK15" s="49">
        <f t="shared" si="14"/>
        <v>598325</v>
      </c>
      <c r="DL15" s="49">
        <f t="shared" si="14"/>
        <v>598325</v>
      </c>
      <c r="DM15" s="49">
        <f t="shared" si="14"/>
        <v>598325</v>
      </c>
      <c r="DN15" s="49">
        <f t="shared" si="14"/>
        <v>598325</v>
      </c>
      <c r="DO15" s="49">
        <f t="shared" si="14"/>
        <v>598325</v>
      </c>
      <c r="DP15" s="49">
        <f t="shared" si="14"/>
        <v>598325</v>
      </c>
      <c r="DQ15" s="49">
        <f t="shared" si="14"/>
        <v>598325</v>
      </c>
      <c r="DR15" s="49">
        <f t="shared" si="14"/>
        <v>598325</v>
      </c>
      <c r="DS15" s="49">
        <f t="shared" si="14"/>
        <v>598325</v>
      </c>
      <c r="DT15" s="49">
        <f t="shared" si="14"/>
        <v>598325</v>
      </c>
      <c r="DU15" s="49">
        <f t="shared" si="14"/>
        <v>598325</v>
      </c>
      <c r="DV15" s="49">
        <f t="shared" si="14"/>
        <v>598325</v>
      </c>
      <c r="DW15" s="49">
        <f t="shared" si="14"/>
        <v>598325</v>
      </c>
      <c r="DX15" s="49">
        <f t="shared" si="14"/>
        <v>598325</v>
      </c>
      <c r="DY15" s="49">
        <f t="shared" si="14"/>
        <v>598325</v>
      </c>
      <c r="DZ15" s="49">
        <f t="shared" si="14"/>
        <v>598325</v>
      </c>
      <c r="EA15" s="49">
        <f t="shared" si="14"/>
        <v>598325</v>
      </c>
      <c r="EB15" s="49">
        <f t="shared" si="14"/>
        <v>598325</v>
      </c>
      <c r="EC15" s="49">
        <f t="shared" si="14"/>
        <v>598325</v>
      </c>
      <c r="ED15" s="49">
        <f t="shared" si="14"/>
        <v>598325</v>
      </c>
      <c r="EE15" s="139">
        <f t="shared" si="8"/>
        <v>88380152</v>
      </c>
    </row>
    <row r="16" spans="1:135" s="28" customFormat="1" ht="12.75">
      <c r="C16" s="102" t="s">
        <v>34</v>
      </c>
      <c r="D16" s="105"/>
      <c r="E16" s="49"/>
      <c r="F16" s="49"/>
      <c r="G16" s="49"/>
      <c r="H16" s="7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139">
        <f t="shared" si="8"/>
        <v>0</v>
      </c>
    </row>
    <row r="17" spans="1:135" s="28" customFormat="1" ht="12.75">
      <c r="C17" s="102" t="s">
        <v>35</v>
      </c>
      <c r="D17" s="105"/>
      <c r="E17" s="49"/>
      <c r="F17" s="49"/>
      <c r="G17" s="49"/>
      <c r="H17" s="7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139">
        <f t="shared" si="8"/>
        <v>0</v>
      </c>
    </row>
    <row r="18" spans="1:135" s="28" customFormat="1" ht="12.75">
      <c r="C18" s="102" t="s">
        <v>36</v>
      </c>
      <c r="D18" s="105"/>
      <c r="E18" s="49"/>
      <c r="F18" s="49"/>
      <c r="G18" s="49"/>
      <c r="H18" s="7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139">
        <f t="shared" si="8"/>
        <v>0</v>
      </c>
    </row>
    <row r="19" spans="1:135" s="28" customFormat="1" ht="12.75">
      <c r="C19" s="102" t="s">
        <v>37</v>
      </c>
      <c r="D19" s="105"/>
      <c r="E19" s="49"/>
      <c r="F19" s="49"/>
      <c r="G19" s="49"/>
      <c r="H19" s="7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139">
        <f t="shared" si="8"/>
        <v>0</v>
      </c>
    </row>
    <row r="20" spans="1:135" s="108" customFormat="1" ht="12.75">
      <c r="A20" s="235">
        <f>D21+D22</f>
        <v>0.06</v>
      </c>
      <c r="B20" s="236"/>
      <c r="C20" s="89" t="s">
        <v>309</v>
      </c>
      <c r="D20" s="105"/>
      <c r="E20" s="106"/>
      <c r="F20" s="106"/>
      <c r="G20" s="106"/>
      <c r="H20" s="107"/>
      <c r="I20" s="106"/>
      <c r="J20" s="106"/>
      <c r="K20" s="106"/>
      <c r="L20" s="106">
        <f>L21+L22+L23</f>
        <v>480816</v>
      </c>
      <c r="M20" s="106">
        <f t="shared" ref="M20:BX20" si="15">M21+M22+M23</f>
        <v>667800</v>
      </c>
      <c r="N20" s="106">
        <f t="shared" si="15"/>
        <v>667800</v>
      </c>
      <c r="O20" s="106">
        <f t="shared" si="15"/>
        <v>667800</v>
      </c>
      <c r="P20" s="106">
        <f t="shared" si="15"/>
        <v>667800</v>
      </c>
      <c r="Q20" s="106">
        <f t="shared" si="15"/>
        <v>667800</v>
      </c>
      <c r="R20" s="106">
        <f t="shared" si="15"/>
        <v>667800</v>
      </c>
      <c r="S20" s="106">
        <f t="shared" si="15"/>
        <v>667800</v>
      </c>
      <c r="T20" s="106">
        <f t="shared" si="15"/>
        <v>667800</v>
      </c>
      <c r="U20" s="106">
        <f t="shared" si="15"/>
        <v>667800</v>
      </c>
      <c r="V20" s="106">
        <f t="shared" si="15"/>
        <v>667800</v>
      </c>
      <c r="W20" s="106">
        <f t="shared" si="15"/>
        <v>667800</v>
      </c>
      <c r="X20" s="106">
        <f t="shared" si="15"/>
        <v>667800</v>
      </c>
      <c r="Y20" s="106">
        <f t="shared" si="15"/>
        <v>667800</v>
      </c>
      <c r="Z20" s="106">
        <f t="shared" si="15"/>
        <v>667800</v>
      </c>
      <c r="AA20" s="106">
        <f t="shared" si="15"/>
        <v>667800</v>
      </c>
      <c r="AB20" s="106">
        <f t="shared" si="15"/>
        <v>667800</v>
      </c>
      <c r="AC20" s="106">
        <f t="shared" si="15"/>
        <v>667800</v>
      </c>
      <c r="AD20" s="106">
        <f t="shared" si="15"/>
        <v>667800</v>
      </c>
      <c r="AE20" s="106">
        <f t="shared" si="15"/>
        <v>667800</v>
      </c>
      <c r="AF20" s="106">
        <f t="shared" si="15"/>
        <v>667800</v>
      </c>
      <c r="AG20" s="106">
        <f t="shared" si="15"/>
        <v>667800</v>
      </c>
      <c r="AH20" s="106">
        <f t="shared" si="15"/>
        <v>667800</v>
      </c>
      <c r="AI20" s="106">
        <f t="shared" si="15"/>
        <v>667800</v>
      </c>
      <c r="AJ20" s="106">
        <f t="shared" si="15"/>
        <v>667800</v>
      </c>
      <c r="AK20" s="106">
        <f t="shared" si="15"/>
        <v>667800</v>
      </c>
      <c r="AL20" s="106">
        <f t="shared" si="15"/>
        <v>667800</v>
      </c>
      <c r="AM20" s="106">
        <f t="shared" si="15"/>
        <v>667800</v>
      </c>
      <c r="AN20" s="106">
        <f t="shared" si="15"/>
        <v>667800</v>
      </c>
      <c r="AO20" s="106">
        <f t="shared" si="15"/>
        <v>667800</v>
      </c>
      <c r="AP20" s="106">
        <f t="shared" si="15"/>
        <v>667800</v>
      </c>
      <c r="AQ20" s="106">
        <f t="shared" si="15"/>
        <v>667800</v>
      </c>
      <c r="AR20" s="106">
        <f t="shared" si="15"/>
        <v>667800</v>
      </c>
      <c r="AS20" s="106">
        <f t="shared" si="15"/>
        <v>667800</v>
      </c>
      <c r="AT20" s="106">
        <f t="shared" si="15"/>
        <v>667800</v>
      </c>
      <c r="AU20" s="106">
        <f t="shared" si="15"/>
        <v>667800</v>
      </c>
      <c r="AV20" s="106">
        <f t="shared" si="15"/>
        <v>667800</v>
      </c>
      <c r="AW20" s="106">
        <f t="shared" si="15"/>
        <v>667800</v>
      </c>
      <c r="AX20" s="106">
        <f t="shared" si="15"/>
        <v>667800</v>
      </c>
      <c r="AY20" s="106">
        <f t="shared" si="15"/>
        <v>667800</v>
      </c>
      <c r="AZ20" s="106">
        <f t="shared" si="15"/>
        <v>667800</v>
      </c>
      <c r="BA20" s="106">
        <f t="shared" si="15"/>
        <v>667800</v>
      </c>
      <c r="BB20" s="106">
        <f t="shared" si="15"/>
        <v>667800</v>
      </c>
      <c r="BC20" s="106">
        <f t="shared" si="15"/>
        <v>667800</v>
      </c>
      <c r="BD20" s="106">
        <f t="shared" si="15"/>
        <v>667800</v>
      </c>
      <c r="BE20" s="106">
        <f t="shared" si="15"/>
        <v>667800</v>
      </c>
      <c r="BF20" s="106">
        <f t="shared" si="15"/>
        <v>667800</v>
      </c>
      <c r="BG20" s="106">
        <f t="shared" si="15"/>
        <v>667800</v>
      </c>
      <c r="BH20" s="106">
        <f t="shared" si="15"/>
        <v>667800</v>
      </c>
      <c r="BI20" s="106">
        <f t="shared" si="15"/>
        <v>667800</v>
      </c>
      <c r="BJ20" s="106">
        <f t="shared" si="15"/>
        <v>667800</v>
      </c>
      <c r="BK20" s="106">
        <f t="shared" si="15"/>
        <v>667800</v>
      </c>
      <c r="BL20" s="106">
        <f t="shared" si="15"/>
        <v>667800</v>
      </c>
      <c r="BM20" s="106">
        <f t="shared" si="15"/>
        <v>667800</v>
      </c>
      <c r="BN20" s="106">
        <f t="shared" si="15"/>
        <v>667800</v>
      </c>
      <c r="BO20" s="106">
        <f t="shared" si="15"/>
        <v>667800</v>
      </c>
      <c r="BP20" s="106">
        <f t="shared" si="15"/>
        <v>667800</v>
      </c>
      <c r="BQ20" s="106">
        <f t="shared" si="15"/>
        <v>667800</v>
      </c>
      <c r="BR20" s="106">
        <f t="shared" si="15"/>
        <v>667800</v>
      </c>
      <c r="BS20" s="106">
        <f t="shared" si="15"/>
        <v>667800</v>
      </c>
      <c r="BT20" s="106">
        <f t="shared" si="15"/>
        <v>667800</v>
      </c>
      <c r="BU20" s="106">
        <f t="shared" si="15"/>
        <v>667800</v>
      </c>
      <c r="BV20" s="106">
        <f t="shared" si="15"/>
        <v>667800</v>
      </c>
      <c r="BW20" s="106">
        <f t="shared" si="15"/>
        <v>667800</v>
      </c>
      <c r="BX20" s="106">
        <f t="shared" si="15"/>
        <v>667800</v>
      </c>
      <c r="BY20" s="106">
        <f t="shared" ref="BY20:CP20" si="16">BY21+BY22+BY23</f>
        <v>667800</v>
      </c>
      <c r="BZ20" s="106">
        <f t="shared" si="16"/>
        <v>667800</v>
      </c>
      <c r="CA20" s="106">
        <f t="shared" si="16"/>
        <v>667800</v>
      </c>
      <c r="CB20" s="106">
        <f t="shared" si="16"/>
        <v>667800</v>
      </c>
      <c r="CC20" s="106">
        <f t="shared" si="16"/>
        <v>667800</v>
      </c>
      <c r="CD20" s="106">
        <f t="shared" si="16"/>
        <v>667800</v>
      </c>
      <c r="CE20" s="106">
        <f t="shared" si="16"/>
        <v>667800</v>
      </c>
      <c r="CF20" s="106">
        <f t="shared" si="16"/>
        <v>667800</v>
      </c>
      <c r="CG20" s="106">
        <f t="shared" si="16"/>
        <v>667800</v>
      </c>
      <c r="CH20" s="106">
        <f t="shared" si="16"/>
        <v>667800</v>
      </c>
      <c r="CI20" s="106">
        <f t="shared" si="16"/>
        <v>667800</v>
      </c>
      <c r="CJ20" s="106">
        <f t="shared" si="16"/>
        <v>667800</v>
      </c>
      <c r="CK20" s="106">
        <f t="shared" si="16"/>
        <v>667800</v>
      </c>
      <c r="CL20" s="106">
        <f t="shared" si="16"/>
        <v>667800</v>
      </c>
      <c r="CM20" s="106">
        <f t="shared" si="16"/>
        <v>667800</v>
      </c>
      <c r="CN20" s="106">
        <f t="shared" si="16"/>
        <v>667800</v>
      </c>
      <c r="CO20" s="106">
        <f t="shared" si="16"/>
        <v>667800</v>
      </c>
      <c r="CP20" s="106">
        <f t="shared" si="16"/>
        <v>667800</v>
      </c>
      <c r="CQ20" s="106">
        <f t="shared" ref="CQ20" si="17">CQ21+CQ22+CQ23</f>
        <v>512850</v>
      </c>
      <c r="CR20" s="106">
        <f t="shared" ref="CR20" si="18">CR21+CR22+CR23</f>
        <v>512850</v>
      </c>
      <c r="CS20" s="106">
        <f t="shared" ref="CS20" si="19">CS21+CS22+CS23</f>
        <v>512850</v>
      </c>
      <c r="CT20" s="106">
        <f t="shared" ref="CT20" si="20">CT21+CT22+CT23</f>
        <v>512850</v>
      </c>
      <c r="CU20" s="106">
        <f t="shared" ref="CU20" si="21">CU21+CU22+CU23</f>
        <v>512850</v>
      </c>
      <c r="CV20" s="106">
        <f t="shared" ref="CV20" si="22">CV21+CV22+CV23</f>
        <v>512850</v>
      </c>
      <c r="CW20" s="106">
        <f t="shared" ref="CW20" si="23">CW21+CW22+CW23</f>
        <v>512850</v>
      </c>
      <c r="CX20" s="106">
        <f t="shared" ref="CX20" si="24">CX21+CX22+CX23</f>
        <v>512850</v>
      </c>
      <c r="CY20" s="106">
        <f t="shared" ref="CY20" si="25">CY21+CY22+CY23</f>
        <v>512850</v>
      </c>
      <c r="CZ20" s="106">
        <f t="shared" ref="CZ20" si="26">CZ21+CZ22+CZ23</f>
        <v>512850</v>
      </c>
      <c r="DA20" s="106">
        <f t="shared" ref="DA20" si="27">DA21+DA22+DA23</f>
        <v>512850</v>
      </c>
      <c r="DB20" s="106">
        <f t="shared" ref="DB20" si="28">DB21+DB22+DB23</f>
        <v>512850</v>
      </c>
      <c r="DC20" s="106">
        <f t="shared" ref="DC20" si="29">DC21+DC22+DC23</f>
        <v>512850</v>
      </c>
      <c r="DD20" s="106">
        <f t="shared" ref="DD20" si="30">DD21+DD22+DD23</f>
        <v>512850</v>
      </c>
      <c r="DE20" s="106">
        <f t="shared" ref="DE20" si="31">DE21+DE22+DE23</f>
        <v>512850</v>
      </c>
      <c r="DF20" s="106">
        <f t="shared" ref="DF20" si="32">DF21+DF22+DF23</f>
        <v>512850</v>
      </c>
      <c r="DG20" s="106">
        <f t="shared" ref="DG20" si="33">DG21+DG22+DG23</f>
        <v>512850</v>
      </c>
      <c r="DH20" s="106">
        <f t="shared" ref="DH20" si="34">DH21+DH22+DH23</f>
        <v>512850</v>
      </c>
      <c r="DI20" s="106">
        <f t="shared" ref="DI20" si="35">DI21+DI22+DI23</f>
        <v>512850</v>
      </c>
      <c r="DJ20" s="106">
        <f t="shared" ref="DJ20" si="36">DJ21+DJ22+DJ23</f>
        <v>512850</v>
      </c>
      <c r="DK20" s="106">
        <f t="shared" ref="DK20" si="37">DK21+DK22+DK23</f>
        <v>512850</v>
      </c>
      <c r="DL20" s="106">
        <f t="shared" ref="DL20" si="38">DL21+DL22+DL23</f>
        <v>512850</v>
      </c>
      <c r="DM20" s="106">
        <f t="shared" ref="DM20" si="39">DM21+DM22+DM23</f>
        <v>512850</v>
      </c>
      <c r="DN20" s="106">
        <f t="shared" ref="DN20" si="40">DN21+DN22+DN23</f>
        <v>512850</v>
      </c>
      <c r="DO20" s="106">
        <f t="shared" ref="DO20" si="41">DO21+DO22+DO23</f>
        <v>512850</v>
      </c>
      <c r="DP20" s="106">
        <f t="shared" ref="DP20" si="42">DP21+DP22+DP23</f>
        <v>512850</v>
      </c>
      <c r="DQ20" s="106">
        <f t="shared" ref="DQ20" si="43">DQ21+DQ22+DQ23</f>
        <v>512850</v>
      </c>
      <c r="DR20" s="106">
        <f t="shared" ref="DR20" si="44">DR21+DR22+DR23</f>
        <v>512850</v>
      </c>
      <c r="DS20" s="106">
        <f t="shared" ref="DS20" si="45">DS21+DS22+DS23</f>
        <v>512850</v>
      </c>
      <c r="DT20" s="106">
        <f t="shared" ref="DT20" si="46">DT21+DT22+DT23</f>
        <v>512850</v>
      </c>
      <c r="DU20" s="106">
        <f t="shared" ref="DU20" si="47">DU21+DU22+DU23</f>
        <v>512850</v>
      </c>
      <c r="DV20" s="106">
        <f t="shared" ref="DV20" si="48">DV21+DV22+DV23</f>
        <v>512850</v>
      </c>
      <c r="DW20" s="106">
        <f t="shared" ref="DW20" si="49">DW21+DW22+DW23</f>
        <v>512850</v>
      </c>
      <c r="DX20" s="106">
        <f t="shared" ref="DX20" si="50">DX21+DX22+DX23</f>
        <v>512850</v>
      </c>
      <c r="DY20" s="106">
        <f t="shared" ref="DY20" si="51">DY21+DY22+DY23</f>
        <v>512850</v>
      </c>
      <c r="DZ20" s="106">
        <f t="shared" ref="DZ20" si="52">DZ21+DZ22+DZ23</f>
        <v>512850</v>
      </c>
      <c r="EA20" s="106">
        <f t="shared" ref="EA20" si="53">EA21+EA22+EA23</f>
        <v>512850</v>
      </c>
      <c r="EB20" s="106">
        <f t="shared" ref="EB20" si="54">EB21+EB22+EB23</f>
        <v>512850</v>
      </c>
      <c r="EC20" s="106">
        <f t="shared" ref="EC20" si="55">EC21+EC22+EC23</f>
        <v>512850</v>
      </c>
      <c r="ED20" s="106">
        <f>ED21+ED22+ED23</f>
        <v>512850</v>
      </c>
      <c r="EE20" s="139">
        <f t="shared" si="8"/>
        <v>75754416</v>
      </c>
    </row>
    <row r="21" spans="1:135" s="28" customFormat="1" ht="13.5" customHeight="1">
      <c r="C21" s="88" t="s">
        <v>294</v>
      </c>
      <c r="D21" s="105"/>
      <c r="E21" s="49"/>
      <c r="F21" s="49"/>
      <c r="G21" s="49"/>
      <c r="H21" s="7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139">
        <f t="shared" si="8"/>
        <v>0</v>
      </c>
    </row>
    <row r="22" spans="1:135" s="28" customFormat="1" ht="12.75">
      <c r="C22" s="88" t="s">
        <v>295</v>
      </c>
      <c r="D22" s="202">
        <v>0.06</v>
      </c>
      <c r="E22" s="49"/>
      <c r="F22" s="49"/>
      <c r="G22" s="49"/>
      <c r="H22" s="79"/>
      <c r="I22" s="49"/>
      <c r="J22" s="49"/>
      <c r="K22" s="49"/>
      <c r="L22" s="49">
        <f>L9*$D$22</f>
        <v>480816</v>
      </c>
      <c r="M22" s="49">
        <f>M9*$D$22</f>
        <v>667800</v>
      </c>
      <c r="N22" s="49">
        <f>N9*$D$22</f>
        <v>667800</v>
      </c>
      <c r="O22" s="49">
        <f>O9*$D$22</f>
        <v>667800</v>
      </c>
      <c r="P22" s="49">
        <f t="shared" ref="P22:BX22" si="56">P9*$D$22</f>
        <v>667800</v>
      </c>
      <c r="Q22" s="49">
        <f t="shared" si="56"/>
        <v>667800</v>
      </c>
      <c r="R22" s="49">
        <f t="shared" si="56"/>
        <v>667800</v>
      </c>
      <c r="S22" s="49">
        <f t="shared" si="56"/>
        <v>667800</v>
      </c>
      <c r="T22" s="49">
        <f t="shared" si="56"/>
        <v>667800</v>
      </c>
      <c r="U22" s="49">
        <f t="shared" si="56"/>
        <v>667800</v>
      </c>
      <c r="V22" s="49">
        <f t="shared" si="56"/>
        <v>667800</v>
      </c>
      <c r="W22" s="49">
        <f t="shared" si="56"/>
        <v>667800</v>
      </c>
      <c r="X22" s="49">
        <f t="shared" si="56"/>
        <v>667800</v>
      </c>
      <c r="Y22" s="49">
        <f t="shared" si="56"/>
        <v>667800</v>
      </c>
      <c r="Z22" s="49">
        <f t="shared" si="56"/>
        <v>667800</v>
      </c>
      <c r="AA22" s="49">
        <f t="shared" si="56"/>
        <v>667800</v>
      </c>
      <c r="AB22" s="49">
        <f t="shared" si="56"/>
        <v>667800</v>
      </c>
      <c r="AC22" s="49">
        <f t="shared" si="56"/>
        <v>667800</v>
      </c>
      <c r="AD22" s="49">
        <f t="shared" si="56"/>
        <v>667800</v>
      </c>
      <c r="AE22" s="49">
        <f t="shared" si="56"/>
        <v>667800</v>
      </c>
      <c r="AF22" s="49">
        <f t="shared" si="56"/>
        <v>667800</v>
      </c>
      <c r="AG22" s="49">
        <f t="shared" si="56"/>
        <v>667800</v>
      </c>
      <c r="AH22" s="49">
        <f t="shared" si="56"/>
        <v>667800</v>
      </c>
      <c r="AI22" s="49">
        <f t="shared" si="56"/>
        <v>667800</v>
      </c>
      <c r="AJ22" s="49">
        <f t="shared" si="56"/>
        <v>667800</v>
      </c>
      <c r="AK22" s="49">
        <f t="shared" si="56"/>
        <v>667800</v>
      </c>
      <c r="AL22" s="49">
        <f t="shared" si="56"/>
        <v>667800</v>
      </c>
      <c r="AM22" s="49">
        <f t="shared" si="56"/>
        <v>667800</v>
      </c>
      <c r="AN22" s="49">
        <f t="shared" si="56"/>
        <v>667800</v>
      </c>
      <c r="AO22" s="49">
        <f t="shared" si="56"/>
        <v>667800</v>
      </c>
      <c r="AP22" s="49">
        <f t="shared" si="56"/>
        <v>667800</v>
      </c>
      <c r="AQ22" s="49">
        <f t="shared" si="56"/>
        <v>667800</v>
      </c>
      <c r="AR22" s="49">
        <f t="shared" si="56"/>
        <v>667800</v>
      </c>
      <c r="AS22" s="49">
        <f t="shared" si="56"/>
        <v>667800</v>
      </c>
      <c r="AT22" s="49">
        <f t="shared" si="56"/>
        <v>667800</v>
      </c>
      <c r="AU22" s="49">
        <f t="shared" si="56"/>
        <v>667800</v>
      </c>
      <c r="AV22" s="49">
        <f t="shared" si="56"/>
        <v>667800</v>
      </c>
      <c r="AW22" s="49">
        <f t="shared" si="56"/>
        <v>667800</v>
      </c>
      <c r="AX22" s="49">
        <f t="shared" si="56"/>
        <v>667800</v>
      </c>
      <c r="AY22" s="49">
        <f t="shared" si="56"/>
        <v>667800</v>
      </c>
      <c r="AZ22" s="49">
        <f t="shared" si="56"/>
        <v>667800</v>
      </c>
      <c r="BA22" s="49">
        <f t="shared" si="56"/>
        <v>667800</v>
      </c>
      <c r="BB22" s="49">
        <f t="shared" si="56"/>
        <v>667800</v>
      </c>
      <c r="BC22" s="49">
        <f t="shared" si="56"/>
        <v>667800</v>
      </c>
      <c r="BD22" s="49">
        <f t="shared" si="56"/>
        <v>667800</v>
      </c>
      <c r="BE22" s="49">
        <f t="shared" si="56"/>
        <v>667800</v>
      </c>
      <c r="BF22" s="49">
        <f t="shared" si="56"/>
        <v>667800</v>
      </c>
      <c r="BG22" s="49">
        <f t="shared" si="56"/>
        <v>667800</v>
      </c>
      <c r="BH22" s="49">
        <f t="shared" si="56"/>
        <v>667800</v>
      </c>
      <c r="BI22" s="49">
        <f t="shared" si="56"/>
        <v>667800</v>
      </c>
      <c r="BJ22" s="49">
        <f t="shared" si="56"/>
        <v>667800</v>
      </c>
      <c r="BK22" s="49">
        <f t="shared" si="56"/>
        <v>667800</v>
      </c>
      <c r="BL22" s="49">
        <f t="shared" si="56"/>
        <v>667800</v>
      </c>
      <c r="BM22" s="49">
        <f t="shared" si="56"/>
        <v>667800</v>
      </c>
      <c r="BN22" s="49">
        <f t="shared" si="56"/>
        <v>667800</v>
      </c>
      <c r="BO22" s="49">
        <f t="shared" si="56"/>
        <v>667800</v>
      </c>
      <c r="BP22" s="49">
        <f t="shared" si="56"/>
        <v>667800</v>
      </c>
      <c r="BQ22" s="49">
        <f t="shared" si="56"/>
        <v>667800</v>
      </c>
      <c r="BR22" s="49">
        <f t="shared" si="56"/>
        <v>667800</v>
      </c>
      <c r="BS22" s="49">
        <f t="shared" si="56"/>
        <v>667800</v>
      </c>
      <c r="BT22" s="49">
        <f t="shared" si="56"/>
        <v>667800</v>
      </c>
      <c r="BU22" s="49">
        <f t="shared" si="56"/>
        <v>667800</v>
      </c>
      <c r="BV22" s="49">
        <f t="shared" si="56"/>
        <v>667800</v>
      </c>
      <c r="BW22" s="49">
        <f t="shared" si="56"/>
        <v>667800</v>
      </c>
      <c r="BX22" s="49">
        <f t="shared" si="56"/>
        <v>667800</v>
      </c>
      <c r="BY22" s="49">
        <f t="shared" ref="BY22:CO22" si="57">BY9*$D$22</f>
        <v>667800</v>
      </c>
      <c r="BZ22" s="49">
        <f t="shared" si="57"/>
        <v>667800</v>
      </c>
      <c r="CA22" s="49">
        <f t="shared" si="57"/>
        <v>667800</v>
      </c>
      <c r="CB22" s="49">
        <f t="shared" si="57"/>
        <v>667800</v>
      </c>
      <c r="CC22" s="49">
        <f t="shared" si="57"/>
        <v>667800</v>
      </c>
      <c r="CD22" s="49">
        <f t="shared" si="57"/>
        <v>667800</v>
      </c>
      <c r="CE22" s="49">
        <f t="shared" si="57"/>
        <v>667800</v>
      </c>
      <c r="CF22" s="49">
        <f t="shared" si="57"/>
        <v>667800</v>
      </c>
      <c r="CG22" s="49">
        <f t="shared" si="57"/>
        <v>667800</v>
      </c>
      <c r="CH22" s="49">
        <f t="shared" si="57"/>
        <v>667800</v>
      </c>
      <c r="CI22" s="49">
        <f t="shared" si="57"/>
        <v>667800</v>
      </c>
      <c r="CJ22" s="49">
        <f t="shared" si="57"/>
        <v>667800</v>
      </c>
      <c r="CK22" s="49">
        <f t="shared" si="57"/>
        <v>667800</v>
      </c>
      <c r="CL22" s="49">
        <f t="shared" si="57"/>
        <v>667800</v>
      </c>
      <c r="CM22" s="49">
        <f t="shared" si="57"/>
        <v>667800</v>
      </c>
      <c r="CN22" s="49">
        <f t="shared" si="57"/>
        <v>667800</v>
      </c>
      <c r="CO22" s="49">
        <f t="shared" si="57"/>
        <v>667800</v>
      </c>
      <c r="CP22" s="49">
        <f>CP9*$D$22</f>
        <v>667800</v>
      </c>
      <c r="CQ22" s="49">
        <f t="shared" ref="CQ22:EC22" si="58">CQ9*$D$22</f>
        <v>512850</v>
      </c>
      <c r="CR22" s="49">
        <f t="shared" si="58"/>
        <v>512850</v>
      </c>
      <c r="CS22" s="49">
        <f t="shared" si="58"/>
        <v>512850</v>
      </c>
      <c r="CT22" s="49">
        <f t="shared" si="58"/>
        <v>512850</v>
      </c>
      <c r="CU22" s="49">
        <f t="shared" si="58"/>
        <v>512850</v>
      </c>
      <c r="CV22" s="49">
        <f t="shared" si="58"/>
        <v>512850</v>
      </c>
      <c r="CW22" s="49">
        <f t="shared" si="58"/>
        <v>512850</v>
      </c>
      <c r="CX22" s="49">
        <f t="shared" si="58"/>
        <v>512850</v>
      </c>
      <c r="CY22" s="49">
        <f t="shared" si="58"/>
        <v>512850</v>
      </c>
      <c r="CZ22" s="49">
        <f t="shared" si="58"/>
        <v>512850</v>
      </c>
      <c r="DA22" s="49">
        <f t="shared" si="58"/>
        <v>512850</v>
      </c>
      <c r="DB22" s="49">
        <f t="shared" si="58"/>
        <v>512850</v>
      </c>
      <c r="DC22" s="49">
        <f t="shared" si="58"/>
        <v>512850</v>
      </c>
      <c r="DD22" s="49">
        <f t="shared" si="58"/>
        <v>512850</v>
      </c>
      <c r="DE22" s="49">
        <f t="shared" si="58"/>
        <v>512850</v>
      </c>
      <c r="DF22" s="49">
        <f t="shared" si="58"/>
        <v>512850</v>
      </c>
      <c r="DG22" s="49">
        <f t="shared" si="58"/>
        <v>512850</v>
      </c>
      <c r="DH22" s="49">
        <f t="shared" si="58"/>
        <v>512850</v>
      </c>
      <c r="DI22" s="49">
        <f t="shared" si="58"/>
        <v>512850</v>
      </c>
      <c r="DJ22" s="49">
        <f t="shared" si="58"/>
        <v>512850</v>
      </c>
      <c r="DK22" s="49">
        <f t="shared" si="58"/>
        <v>512850</v>
      </c>
      <c r="DL22" s="49">
        <f t="shared" si="58"/>
        <v>512850</v>
      </c>
      <c r="DM22" s="49">
        <f t="shared" si="58"/>
        <v>512850</v>
      </c>
      <c r="DN22" s="49">
        <f t="shared" si="58"/>
        <v>512850</v>
      </c>
      <c r="DO22" s="49">
        <f t="shared" si="58"/>
        <v>512850</v>
      </c>
      <c r="DP22" s="49">
        <f t="shared" si="58"/>
        <v>512850</v>
      </c>
      <c r="DQ22" s="49">
        <f t="shared" si="58"/>
        <v>512850</v>
      </c>
      <c r="DR22" s="49">
        <f t="shared" si="58"/>
        <v>512850</v>
      </c>
      <c r="DS22" s="49">
        <f t="shared" si="58"/>
        <v>512850</v>
      </c>
      <c r="DT22" s="49">
        <f t="shared" si="58"/>
        <v>512850</v>
      </c>
      <c r="DU22" s="49">
        <f t="shared" si="58"/>
        <v>512850</v>
      </c>
      <c r="DV22" s="49">
        <f t="shared" si="58"/>
        <v>512850</v>
      </c>
      <c r="DW22" s="49">
        <f t="shared" si="58"/>
        <v>512850</v>
      </c>
      <c r="DX22" s="49">
        <f t="shared" si="58"/>
        <v>512850</v>
      </c>
      <c r="DY22" s="49">
        <f t="shared" si="58"/>
        <v>512850</v>
      </c>
      <c r="DZ22" s="49">
        <f t="shared" si="58"/>
        <v>512850</v>
      </c>
      <c r="EA22" s="49">
        <f t="shared" si="58"/>
        <v>512850</v>
      </c>
      <c r="EB22" s="49">
        <f t="shared" si="58"/>
        <v>512850</v>
      </c>
      <c r="EC22" s="49">
        <f t="shared" si="58"/>
        <v>512850</v>
      </c>
      <c r="ED22" s="49">
        <f>ED9*$D$22</f>
        <v>512850</v>
      </c>
      <c r="EE22" s="139">
        <f t="shared" si="8"/>
        <v>75754416</v>
      </c>
    </row>
    <row r="23" spans="1:135" s="28" customFormat="1" ht="12.75">
      <c r="C23" s="88" t="s">
        <v>308</v>
      </c>
      <c r="D23" s="49"/>
      <c r="E23" s="49"/>
      <c r="F23" s="49"/>
      <c r="G23" s="49"/>
      <c r="H23" s="7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139">
        <f t="shared" si="8"/>
        <v>0</v>
      </c>
    </row>
    <row r="24" spans="1:135" s="28" customFormat="1" ht="22.5">
      <c r="C24" s="101" t="s">
        <v>307</v>
      </c>
      <c r="D24" s="49"/>
      <c r="E24" s="49"/>
      <c r="F24" s="49"/>
      <c r="G24" s="49"/>
      <c r="H24" s="79"/>
      <c r="I24" s="49"/>
      <c r="J24" s="49"/>
      <c r="K24" s="49"/>
      <c r="L24" s="49">
        <f>L9-L13-L20</f>
        <v>6651288</v>
      </c>
      <c r="M24" s="49">
        <f t="shared" ref="M24:BA24" si="59">M9-M13-M20</f>
        <v>9237900</v>
      </c>
      <c r="N24" s="49">
        <f t="shared" si="59"/>
        <v>9237900</v>
      </c>
      <c r="O24" s="49">
        <f t="shared" si="59"/>
        <v>9237900</v>
      </c>
      <c r="P24" s="49">
        <f t="shared" si="59"/>
        <v>9237900</v>
      </c>
      <c r="Q24" s="49">
        <f t="shared" si="59"/>
        <v>9237900</v>
      </c>
      <c r="R24" s="49">
        <f t="shared" si="59"/>
        <v>9237900</v>
      </c>
      <c r="S24" s="49">
        <f t="shared" si="59"/>
        <v>9237900</v>
      </c>
      <c r="T24" s="49">
        <f t="shared" si="59"/>
        <v>9237900</v>
      </c>
      <c r="U24" s="49">
        <f t="shared" si="59"/>
        <v>9237900</v>
      </c>
      <c r="V24" s="49">
        <f t="shared" si="59"/>
        <v>9237900</v>
      </c>
      <c r="W24" s="49">
        <f t="shared" si="59"/>
        <v>9237900</v>
      </c>
      <c r="X24" s="49">
        <f t="shared" si="59"/>
        <v>9237900</v>
      </c>
      <c r="Y24" s="49">
        <f t="shared" si="59"/>
        <v>9237900</v>
      </c>
      <c r="Z24" s="49">
        <f t="shared" si="59"/>
        <v>9237900</v>
      </c>
      <c r="AA24" s="49">
        <f t="shared" si="59"/>
        <v>9237900</v>
      </c>
      <c r="AB24" s="49">
        <f t="shared" si="59"/>
        <v>9237900</v>
      </c>
      <c r="AC24" s="49">
        <f t="shared" si="59"/>
        <v>9237900</v>
      </c>
      <c r="AD24" s="49">
        <f t="shared" si="59"/>
        <v>9237900</v>
      </c>
      <c r="AE24" s="49">
        <f t="shared" si="59"/>
        <v>9237900</v>
      </c>
      <c r="AF24" s="49">
        <f t="shared" si="59"/>
        <v>9237900</v>
      </c>
      <c r="AG24" s="49">
        <f t="shared" si="59"/>
        <v>9237900</v>
      </c>
      <c r="AH24" s="49">
        <f t="shared" si="59"/>
        <v>9237900</v>
      </c>
      <c r="AI24" s="49">
        <f t="shared" si="59"/>
        <v>9237900</v>
      </c>
      <c r="AJ24" s="49">
        <f t="shared" si="59"/>
        <v>9237900</v>
      </c>
      <c r="AK24" s="49">
        <f t="shared" si="59"/>
        <v>9237900</v>
      </c>
      <c r="AL24" s="49">
        <f t="shared" si="59"/>
        <v>9237900</v>
      </c>
      <c r="AM24" s="49">
        <f t="shared" si="59"/>
        <v>9237900</v>
      </c>
      <c r="AN24" s="49">
        <f t="shared" si="59"/>
        <v>9237900</v>
      </c>
      <c r="AO24" s="49">
        <f t="shared" si="59"/>
        <v>9237900</v>
      </c>
      <c r="AP24" s="49">
        <f t="shared" si="59"/>
        <v>9237900</v>
      </c>
      <c r="AQ24" s="49">
        <f t="shared" si="59"/>
        <v>9237900</v>
      </c>
      <c r="AR24" s="49">
        <f t="shared" si="59"/>
        <v>9237900</v>
      </c>
      <c r="AS24" s="49">
        <f t="shared" si="59"/>
        <v>9237900</v>
      </c>
      <c r="AT24" s="49">
        <f t="shared" si="59"/>
        <v>9237900</v>
      </c>
      <c r="AU24" s="49">
        <f t="shared" si="59"/>
        <v>9237900</v>
      </c>
      <c r="AV24" s="49">
        <f t="shared" si="59"/>
        <v>9237900</v>
      </c>
      <c r="AW24" s="49">
        <f t="shared" si="59"/>
        <v>9237900</v>
      </c>
      <c r="AX24" s="49">
        <f t="shared" si="59"/>
        <v>9237900</v>
      </c>
      <c r="AY24" s="49">
        <f t="shared" si="59"/>
        <v>9237900</v>
      </c>
      <c r="AZ24" s="49">
        <f t="shared" si="59"/>
        <v>9237900</v>
      </c>
      <c r="BA24" s="49">
        <f t="shared" si="59"/>
        <v>9237900</v>
      </c>
      <c r="BB24" s="49">
        <f>BB9-BB13-BB20</f>
        <v>9237900</v>
      </c>
      <c r="BC24" s="49">
        <f t="shared" ref="BC24:DN24" si="60">BC9-BC13-BC20</f>
        <v>9237900</v>
      </c>
      <c r="BD24" s="49">
        <f t="shared" si="60"/>
        <v>9237900</v>
      </c>
      <c r="BE24" s="49">
        <f t="shared" si="60"/>
        <v>9237900</v>
      </c>
      <c r="BF24" s="49">
        <f t="shared" si="60"/>
        <v>9237900</v>
      </c>
      <c r="BG24" s="49">
        <f t="shared" si="60"/>
        <v>9237900</v>
      </c>
      <c r="BH24" s="49">
        <f t="shared" si="60"/>
        <v>9237900</v>
      </c>
      <c r="BI24" s="49">
        <f t="shared" si="60"/>
        <v>9237900</v>
      </c>
      <c r="BJ24" s="49">
        <f t="shared" si="60"/>
        <v>9237900</v>
      </c>
      <c r="BK24" s="49">
        <f t="shared" si="60"/>
        <v>9237900</v>
      </c>
      <c r="BL24" s="49">
        <f t="shared" si="60"/>
        <v>9237900</v>
      </c>
      <c r="BM24" s="49">
        <f t="shared" si="60"/>
        <v>9237900</v>
      </c>
      <c r="BN24" s="49">
        <f t="shared" si="60"/>
        <v>9237900</v>
      </c>
      <c r="BO24" s="49">
        <f t="shared" si="60"/>
        <v>9237900</v>
      </c>
      <c r="BP24" s="49">
        <f t="shared" si="60"/>
        <v>9237900</v>
      </c>
      <c r="BQ24" s="49">
        <f t="shared" si="60"/>
        <v>9237900</v>
      </c>
      <c r="BR24" s="49">
        <f t="shared" si="60"/>
        <v>9237900</v>
      </c>
      <c r="BS24" s="49">
        <f t="shared" si="60"/>
        <v>9237900</v>
      </c>
      <c r="BT24" s="49">
        <f t="shared" si="60"/>
        <v>9237900</v>
      </c>
      <c r="BU24" s="49">
        <f t="shared" si="60"/>
        <v>9237900</v>
      </c>
      <c r="BV24" s="49">
        <f t="shared" si="60"/>
        <v>9237900</v>
      </c>
      <c r="BW24" s="49">
        <f t="shared" si="60"/>
        <v>9237900</v>
      </c>
      <c r="BX24" s="49">
        <f t="shared" si="60"/>
        <v>9237900</v>
      </c>
      <c r="BY24" s="49">
        <f t="shared" si="60"/>
        <v>9237900</v>
      </c>
      <c r="BZ24" s="49">
        <f t="shared" si="60"/>
        <v>9237900</v>
      </c>
      <c r="CA24" s="49">
        <f t="shared" si="60"/>
        <v>9237900</v>
      </c>
      <c r="CB24" s="49">
        <f t="shared" si="60"/>
        <v>9237900</v>
      </c>
      <c r="CC24" s="49">
        <f t="shared" si="60"/>
        <v>9237900</v>
      </c>
      <c r="CD24" s="49">
        <f t="shared" si="60"/>
        <v>9237900</v>
      </c>
      <c r="CE24" s="49">
        <f t="shared" si="60"/>
        <v>9237900</v>
      </c>
      <c r="CF24" s="49">
        <f t="shared" si="60"/>
        <v>9237900</v>
      </c>
      <c r="CG24" s="49">
        <f t="shared" si="60"/>
        <v>9237900</v>
      </c>
      <c r="CH24" s="49">
        <f t="shared" si="60"/>
        <v>9237900</v>
      </c>
      <c r="CI24" s="49">
        <f t="shared" si="60"/>
        <v>9237900</v>
      </c>
      <c r="CJ24" s="49">
        <f t="shared" si="60"/>
        <v>9237900</v>
      </c>
      <c r="CK24" s="49">
        <f t="shared" si="60"/>
        <v>9237900</v>
      </c>
      <c r="CL24" s="49">
        <f t="shared" si="60"/>
        <v>9237900</v>
      </c>
      <c r="CM24" s="49">
        <f t="shared" si="60"/>
        <v>9237900</v>
      </c>
      <c r="CN24" s="49">
        <f t="shared" si="60"/>
        <v>9237900</v>
      </c>
      <c r="CO24" s="49">
        <f t="shared" si="60"/>
        <v>9237900</v>
      </c>
      <c r="CP24" s="49">
        <f t="shared" si="60"/>
        <v>9237900</v>
      </c>
      <c r="CQ24" s="49">
        <f t="shared" si="60"/>
        <v>7094425</v>
      </c>
      <c r="CR24" s="49">
        <f t="shared" si="60"/>
        <v>7094425</v>
      </c>
      <c r="CS24" s="49">
        <f t="shared" si="60"/>
        <v>7094425</v>
      </c>
      <c r="CT24" s="49">
        <f t="shared" si="60"/>
        <v>7094425</v>
      </c>
      <c r="CU24" s="49">
        <f t="shared" si="60"/>
        <v>7094425</v>
      </c>
      <c r="CV24" s="49">
        <f t="shared" si="60"/>
        <v>7094425</v>
      </c>
      <c r="CW24" s="49">
        <f t="shared" si="60"/>
        <v>7094425</v>
      </c>
      <c r="CX24" s="49">
        <f t="shared" si="60"/>
        <v>7094425</v>
      </c>
      <c r="CY24" s="49">
        <f t="shared" si="60"/>
        <v>7094425</v>
      </c>
      <c r="CZ24" s="49">
        <f t="shared" si="60"/>
        <v>7094425</v>
      </c>
      <c r="DA24" s="49">
        <f t="shared" si="60"/>
        <v>7094425</v>
      </c>
      <c r="DB24" s="49">
        <f t="shared" si="60"/>
        <v>7094425</v>
      </c>
      <c r="DC24" s="49">
        <f t="shared" si="60"/>
        <v>7094425</v>
      </c>
      <c r="DD24" s="49">
        <f t="shared" si="60"/>
        <v>7094425</v>
      </c>
      <c r="DE24" s="49">
        <f t="shared" si="60"/>
        <v>7094425</v>
      </c>
      <c r="DF24" s="49">
        <f t="shared" si="60"/>
        <v>7094425</v>
      </c>
      <c r="DG24" s="49">
        <f t="shared" si="60"/>
        <v>7094425</v>
      </c>
      <c r="DH24" s="49">
        <f t="shared" si="60"/>
        <v>7094425</v>
      </c>
      <c r="DI24" s="49">
        <f t="shared" si="60"/>
        <v>7094425</v>
      </c>
      <c r="DJ24" s="49">
        <f t="shared" si="60"/>
        <v>7094425</v>
      </c>
      <c r="DK24" s="49">
        <f t="shared" si="60"/>
        <v>7094425</v>
      </c>
      <c r="DL24" s="49">
        <f t="shared" si="60"/>
        <v>7094425</v>
      </c>
      <c r="DM24" s="49">
        <f t="shared" si="60"/>
        <v>7094425</v>
      </c>
      <c r="DN24" s="49">
        <f t="shared" si="60"/>
        <v>7094425</v>
      </c>
      <c r="DO24" s="49">
        <f t="shared" ref="DO24:ED24" si="61">DO9-DO13-DO20</f>
        <v>7094425</v>
      </c>
      <c r="DP24" s="49">
        <f t="shared" si="61"/>
        <v>7094425</v>
      </c>
      <c r="DQ24" s="49">
        <f t="shared" si="61"/>
        <v>7094425</v>
      </c>
      <c r="DR24" s="49">
        <f t="shared" si="61"/>
        <v>7094425</v>
      </c>
      <c r="DS24" s="49">
        <f t="shared" si="61"/>
        <v>7094425</v>
      </c>
      <c r="DT24" s="49">
        <f t="shared" si="61"/>
        <v>7094425</v>
      </c>
      <c r="DU24" s="49">
        <f t="shared" si="61"/>
        <v>7094425</v>
      </c>
      <c r="DV24" s="49">
        <f t="shared" si="61"/>
        <v>7094425</v>
      </c>
      <c r="DW24" s="49">
        <f t="shared" si="61"/>
        <v>7094425</v>
      </c>
      <c r="DX24" s="49">
        <f t="shared" si="61"/>
        <v>7094425</v>
      </c>
      <c r="DY24" s="49">
        <f t="shared" si="61"/>
        <v>7094425</v>
      </c>
      <c r="DZ24" s="49">
        <f t="shared" si="61"/>
        <v>7094425</v>
      </c>
      <c r="EA24" s="49">
        <f t="shared" si="61"/>
        <v>7094425</v>
      </c>
      <c r="EB24" s="49">
        <f t="shared" si="61"/>
        <v>7094425</v>
      </c>
      <c r="EC24" s="49">
        <f t="shared" si="61"/>
        <v>7094425</v>
      </c>
      <c r="ED24" s="49">
        <f t="shared" si="61"/>
        <v>7094425</v>
      </c>
      <c r="EE24" s="139">
        <f t="shared" si="8"/>
        <v>1047936088</v>
      </c>
    </row>
    <row r="25" spans="1:135" s="28" customFormat="1" ht="12.75">
      <c r="C25" s="88" t="s">
        <v>296</v>
      </c>
      <c r="D25" s="49"/>
      <c r="E25" s="49"/>
      <c r="F25" s="49"/>
      <c r="G25" s="49"/>
      <c r="H25" s="79"/>
      <c r="I25" s="49"/>
      <c r="J25" s="49"/>
      <c r="K25" s="49"/>
      <c r="L25" s="49">
        <f>L24</f>
        <v>6651288</v>
      </c>
      <c r="M25" s="225">
        <f>M24+N24+O24+P24</f>
        <v>36951600</v>
      </c>
      <c r="N25" s="226"/>
      <c r="O25" s="226"/>
      <c r="P25" s="227"/>
      <c r="Q25" s="225">
        <f>Q24+R24+S24+T24</f>
        <v>36951600</v>
      </c>
      <c r="R25" s="226"/>
      <c r="S25" s="226"/>
      <c r="T25" s="227"/>
      <c r="U25" s="225">
        <f>U24+V24+W24+X24</f>
        <v>36951600</v>
      </c>
      <c r="V25" s="226"/>
      <c r="W25" s="226"/>
      <c r="X25" s="227"/>
      <c r="Y25" s="225">
        <f t="shared" ref="Y25" si="62">Y24+Z24+AA24+AB24</f>
        <v>36951600</v>
      </c>
      <c r="Z25" s="226"/>
      <c r="AA25" s="226"/>
      <c r="AB25" s="227"/>
      <c r="AC25" s="225">
        <f t="shared" ref="AC25" si="63">AC24+AD24+AE24+AF24</f>
        <v>36951600</v>
      </c>
      <c r="AD25" s="226"/>
      <c r="AE25" s="226"/>
      <c r="AF25" s="227"/>
      <c r="AG25" s="225">
        <f t="shared" ref="AG25" si="64">AG24+AH24+AI24+AJ24</f>
        <v>36951600</v>
      </c>
      <c r="AH25" s="226"/>
      <c r="AI25" s="226"/>
      <c r="AJ25" s="227"/>
      <c r="AK25" s="225">
        <f t="shared" ref="AK25" si="65">AK24+AL24+AM24+AN24</f>
        <v>36951600</v>
      </c>
      <c r="AL25" s="226"/>
      <c r="AM25" s="226"/>
      <c r="AN25" s="227"/>
      <c r="AO25" s="225">
        <f t="shared" ref="AO25" si="66">AO24+AP24+AQ24+AR24</f>
        <v>36951600</v>
      </c>
      <c r="AP25" s="226"/>
      <c r="AQ25" s="226"/>
      <c r="AR25" s="227"/>
      <c r="AS25" s="225">
        <f t="shared" ref="AS25" si="67">AS24+AT24+AU24+AV24</f>
        <v>36951600</v>
      </c>
      <c r="AT25" s="226"/>
      <c r="AU25" s="226"/>
      <c r="AV25" s="227"/>
      <c r="AW25" s="225">
        <f t="shared" ref="AW25" si="68">AW24+AX24+AY24+AZ24</f>
        <v>36951600</v>
      </c>
      <c r="AX25" s="226"/>
      <c r="AY25" s="226"/>
      <c r="AZ25" s="227"/>
      <c r="BA25" s="225">
        <f t="shared" ref="BA25" si="69">BA24+BB24+BC24+BD24</f>
        <v>36951600</v>
      </c>
      <c r="BB25" s="226"/>
      <c r="BC25" s="226"/>
      <c r="BD25" s="227"/>
      <c r="BE25" s="225">
        <f t="shared" ref="BE25" si="70">BE24+BF24+BG24+BH24</f>
        <v>36951600</v>
      </c>
      <c r="BF25" s="226"/>
      <c r="BG25" s="226"/>
      <c r="BH25" s="227"/>
      <c r="BI25" s="225">
        <f t="shared" ref="BI25" si="71">BI24+BJ24+BK24+BL24</f>
        <v>36951600</v>
      </c>
      <c r="BJ25" s="226"/>
      <c r="BK25" s="226"/>
      <c r="BL25" s="227"/>
      <c r="BM25" s="225">
        <f t="shared" ref="BM25" si="72">BM24+BN24+BO24+BP24</f>
        <v>36951600</v>
      </c>
      <c r="BN25" s="226"/>
      <c r="BO25" s="226"/>
      <c r="BP25" s="227"/>
      <c r="BQ25" s="225">
        <f t="shared" ref="BQ25" si="73">BQ24+BR24+BS24+BT24</f>
        <v>36951600</v>
      </c>
      <c r="BR25" s="226"/>
      <c r="BS25" s="226"/>
      <c r="BT25" s="227"/>
      <c r="BU25" s="225">
        <f t="shared" ref="BU25" si="74">BU24+BV24+BW24+BX24</f>
        <v>36951600</v>
      </c>
      <c r="BV25" s="226"/>
      <c r="BW25" s="226"/>
      <c r="BX25" s="227"/>
      <c r="BY25" s="225">
        <f t="shared" ref="BY25" si="75">BY24+BZ24+CA24+CB24</f>
        <v>36951600</v>
      </c>
      <c r="BZ25" s="226"/>
      <c r="CA25" s="226"/>
      <c r="CB25" s="227"/>
      <c r="CC25" s="225">
        <f t="shared" ref="CC25" si="76">CC24+CD24+CE24+CF24</f>
        <v>36951600</v>
      </c>
      <c r="CD25" s="226"/>
      <c r="CE25" s="226"/>
      <c r="CF25" s="227"/>
      <c r="CG25" s="225">
        <f t="shared" ref="CG25" si="77">CG24+CH24+CI24+CJ24</f>
        <v>36951600</v>
      </c>
      <c r="CH25" s="226"/>
      <c r="CI25" s="226"/>
      <c r="CJ25" s="227"/>
      <c r="CK25" s="225">
        <f t="shared" ref="CK25" si="78">CK24+CL24+CM24+CN24</f>
        <v>36951600</v>
      </c>
      <c r="CL25" s="226"/>
      <c r="CM25" s="226"/>
      <c r="CN25" s="227"/>
      <c r="CO25" s="225">
        <f t="shared" ref="CO25" si="79">CO24+CP24+CQ24+CR24</f>
        <v>32664650</v>
      </c>
      <c r="CP25" s="226"/>
      <c r="CQ25" s="226"/>
      <c r="CR25" s="227"/>
      <c r="CS25" s="225">
        <f t="shared" ref="CS25" si="80">CS24+CT24+CU24+CV24</f>
        <v>28377700</v>
      </c>
      <c r="CT25" s="226"/>
      <c r="CU25" s="226"/>
      <c r="CV25" s="227"/>
      <c r="CW25" s="225">
        <f t="shared" ref="CW25" si="81">CW24+CX24+CY24+CZ24</f>
        <v>28377700</v>
      </c>
      <c r="CX25" s="226"/>
      <c r="CY25" s="226"/>
      <c r="CZ25" s="227"/>
      <c r="DA25" s="225">
        <f t="shared" ref="DA25" si="82">DA24+DB24+DC24+DD24</f>
        <v>28377700</v>
      </c>
      <c r="DB25" s="226"/>
      <c r="DC25" s="226"/>
      <c r="DD25" s="227"/>
      <c r="DE25" s="225">
        <f t="shared" ref="DE25" si="83">DE24+DF24+DG24+DH24</f>
        <v>28377700</v>
      </c>
      <c r="DF25" s="226"/>
      <c r="DG25" s="226"/>
      <c r="DH25" s="227"/>
      <c r="DI25" s="225">
        <f t="shared" ref="DI25" si="84">DI24+DJ24+DK24+DL24</f>
        <v>28377700</v>
      </c>
      <c r="DJ25" s="226"/>
      <c r="DK25" s="226"/>
      <c r="DL25" s="227"/>
      <c r="DM25" s="225">
        <f t="shared" ref="DM25" si="85">DM24+DN24+DO24+DP24</f>
        <v>28377700</v>
      </c>
      <c r="DN25" s="226"/>
      <c r="DO25" s="226"/>
      <c r="DP25" s="227"/>
      <c r="DQ25" s="225">
        <f t="shared" ref="DQ25" si="86">DQ24+DR24+DS24+DT24</f>
        <v>28377700</v>
      </c>
      <c r="DR25" s="226"/>
      <c r="DS25" s="226"/>
      <c r="DT25" s="227"/>
      <c r="DU25" s="225">
        <f t="shared" ref="DU25" si="87">DU24+DV24+DW24+DX24</f>
        <v>28377700</v>
      </c>
      <c r="DV25" s="226"/>
      <c r="DW25" s="226"/>
      <c r="DX25" s="227"/>
      <c r="DY25" s="225">
        <f t="shared" ref="DY25" si="88">DY24+DZ24+EA24+EB24</f>
        <v>28377700</v>
      </c>
      <c r="DZ25" s="226"/>
      <c r="EA25" s="226"/>
      <c r="EB25" s="227"/>
      <c r="EC25" s="241">
        <f>EC24+ED24</f>
        <v>14188850</v>
      </c>
      <c r="ED25" s="242"/>
      <c r="EE25" s="139">
        <f t="shared" si="8"/>
        <v>1047936088</v>
      </c>
    </row>
    <row r="26" spans="1:135" s="28" customFormat="1" ht="12.75">
      <c r="C26" s="49" t="s">
        <v>322</v>
      </c>
      <c r="D26" s="111">
        <v>0.06</v>
      </c>
      <c r="E26" s="49"/>
      <c r="F26" s="49"/>
      <c r="G26" s="49"/>
      <c r="H26" s="79"/>
      <c r="I26" s="49"/>
      <c r="J26" s="49"/>
      <c r="K26" s="49"/>
      <c r="L26" s="49">
        <f>L25/(1+D26)^L1</f>
        <v>6581891.1750361593</v>
      </c>
      <c r="M26" s="225">
        <f>ROUND(M25/(1+$D$26)^(M1+$L$1),0)</f>
        <v>34496285</v>
      </c>
      <c r="N26" s="226"/>
      <c r="O26" s="226"/>
      <c r="P26" s="227"/>
      <c r="Q26" s="225">
        <f t="shared" ref="Q26" si="89">ROUND(Q25/(1+$D$26)^(Q1+$L$1),0)</f>
        <v>32543665</v>
      </c>
      <c r="R26" s="226"/>
      <c r="S26" s="226"/>
      <c r="T26" s="227"/>
      <c r="U26" s="225">
        <f t="shared" ref="U26" si="90">ROUND(U25/(1+$D$26)^(U1+$L$1),0)</f>
        <v>30701571</v>
      </c>
      <c r="V26" s="226"/>
      <c r="W26" s="226"/>
      <c r="X26" s="227"/>
      <c r="Y26" s="225">
        <f t="shared" ref="Y26" si="91">ROUND(Y25/(1+$D$26)^(Y1+$L$1),0)</f>
        <v>28963746</v>
      </c>
      <c r="Z26" s="226"/>
      <c r="AA26" s="226"/>
      <c r="AB26" s="227"/>
      <c r="AC26" s="225">
        <f t="shared" ref="AC26" si="92">ROUND(AC25/(1+$D$26)^(AC1+$L$1),0)</f>
        <v>27324289</v>
      </c>
      <c r="AD26" s="226"/>
      <c r="AE26" s="226"/>
      <c r="AF26" s="227"/>
      <c r="AG26" s="225">
        <f t="shared" ref="AG26" si="93">ROUND(AG25/(1+$D$26)^(AG1+$L$1),0)</f>
        <v>25777631</v>
      </c>
      <c r="AH26" s="226"/>
      <c r="AI26" s="226"/>
      <c r="AJ26" s="227"/>
      <c r="AK26" s="225">
        <f t="shared" ref="AK26" si="94">ROUND(AK25/(1+$D$26)^(AK1+$L$1),0)</f>
        <v>24318520</v>
      </c>
      <c r="AL26" s="226"/>
      <c r="AM26" s="226"/>
      <c r="AN26" s="227"/>
      <c r="AO26" s="225">
        <f t="shared" ref="AO26" si="95">ROUND(AO25/(1+$D$26)^(AO1+$L$1),0)</f>
        <v>22942000</v>
      </c>
      <c r="AP26" s="226"/>
      <c r="AQ26" s="226"/>
      <c r="AR26" s="227"/>
      <c r="AS26" s="225">
        <f t="shared" ref="AS26" si="96">ROUND(AS25/(1+$D$26)^(AS1+$L$1),0)</f>
        <v>21643396</v>
      </c>
      <c r="AT26" s="226"/>
      <c r="AU26" s="226"/>
      <c r="AV26" s="227"/>
      <c r="AW26" s="225">
        <f t="shared" ref="AW26" si="97">ROUND(AW25/(1+$D$26)^(AW1+$L$1),0)</f>
        <v>20418298</v>
      </c>
      <c r="AX26" s="226"/>
      <c r="AY26" s="226"/>
      <c r="AZ26" s="227"/>
      <c r="BA26" s="225">
        <f t="shared" ref="BA26" si="98">ROUND(BA25/(1+$D$26)^(BA1+$L$1),0)</f>
        <v>19262545</v>
      </c>
      <c r="BB26" s="226"/>
      <c r="BC26" s="226"/>
      <c r="BD26" s="227"/>
      <c r="BE26" s="225">
        <f t="shared" ref="BE26" si="99">ROUND(BE25/(1+$D$26)^(BE1+$L$1),0)</f>
        <v>18172213</v>
      </c>
      <c r="BF26" s="226"/>
      <c r="BG26" s="226"/>
      <c r="BH26" s="227"/>
      <c r="BI26" s="225">
        <f t="shared" ref="BI26" si="100">ROUND(BI25/(1+$D$26)^(BI1+$L$1),0)</f>
        <v>17143597</v>
      </c>
      <c r="BJ26" s="226"/>
      <c r="BK26" s="226"/>
      <c r="BL26" s="227"/>
      <c r="BM26" s="225">
        <f t="shared" ref="BM26" si="101">ROUND(BM25/(1+$D$26)^(BM1+$L$1),0)</f>
        <v>16173205</v>
      </c>
      <c r="BN26" s="226"/>
      <c r="BO26" s="226"/>
      <c r="BP26" s="227"/>
      <c r="BQ26" s="225">
        <f t="shared" ref="BQ26" si="102">ROUND(BQ25/(1+$D$26)^(BQ1+$L$1),0)</f>
        <v>15257740</v>
      </c>
      <c r="BR26" s="226"/>
      <c r="BS26" s="226"/>
      <c r="BT26" s="227"/>
      <c r="BU26" s="225">
        <f t="shared" ref="BU26" si="103">ROUND(BU25/(1+$D$26)^(BU1+$L$1),0)</f>
        <v>14394094</v>
      </c>
      <c r="BV26" s="226"/>
      <c r="BW26" s="226"/>
      <c r="BX26" s="227"/>
      <c r="BY26" s="225">
        <f t="shared" ref="BY26" si="104">ROUND(BY25/(1+$D$26)^(BY1+$L$1),0)</f>
        <v>13579334</v>
      </c>
      <c r="BZ26" s="226"/>
      <c r="CA26" s="226"/>
      <c r="CB26" s="227"/>
      <c r="CC26" s="225">
        <f t="shared" ref="CC26" si="105">ROUND(CC25/(1+$D$26)^(CC1+$L$1),0)</f>
        <v>12810693</v>
      </c>
      <c r="CD26" s="226"/>
      <c r="CE26" s="226"/>
      <c r="CF26" s="227"/>
      <c r="CG26" s="225">
        <f t="shared" ref="CG26" si="106">ROUND(CG25/(1+$D$26)^(CG1+$L$1),0)</f>
        <v>12085559</v>
      </c>
      <c r="CH26" s="226"/>
      <c r="CI26" s="226"/>
      <c r="CJ26" s="227"/>
      <c r="CK26" s="225">
        <f t="shared" ref="CK26" si="107">ROUND(CK25/(1+$D$26)^(CK1+$L$1),0)</f>
        <v>11401471</v>
      </c>
      <c r="CL26" s="226"/>
      <c r="CM26" s="226"/>
      <c r="CN26" s="227"/>
      <c r="CO26" s="225">
        <f t="shared" ref="CO26" si="108">ROUND(CO25/(1+$D$26)^(CO1+$L$1),0)</f>
        <v>9508232</v>
      </c>
      <c r="CP26" s="226"/>
      <c r="CQ26" s="226"/>
      <c r="CR26" s="227"/>
      <c r="CS26" s="225">
        <f t="shared" ref="CS26" si="109">ROUND(CS25/(1+$D$26)^(CS1+$L$1),0)</f>
        <v>7792792</v>
      </c>
      <c r="CT26" s="226"/>
      <c r="CU26" s="226"/>
      <c r="CV26" s="227"/>
      <c r="CW26" s="225">
        <f t="shared" ref="CW26" si="110">ROUND(CW25/(1+$D$26)^(CW1+$L$1),0)</f>
        <v>7351691</v>
      </c>
      <c r="CX26" s="226"/>
      <c r="CY26" s="226"/>
      <c r="CZ26" s="227"/>
      <c r="DA26" s="225">
        <f t="shared" ref="DA26" si="111">ROUND(DA25/(1+$D$26)^(DA1+$L$1),0)</f>
        <v>6935557</v>
      </c>
      <c r="DB26" s="226"/>
      <c r="DC26" s="226"/>
      <c r="DD26" s="227"/>
      <c r="DE26" s="225">
        <f t="shared" ref="DE26" si="112">ROUND(DE25/(1+$D$26)^(DE1+$L$1),0)</f>
        <v>6542979</v>
      </c>
      <c r="DF26" s="226"/>
      <c r="DG26" s="226"/>
      <c r="DH26" s="227"/>
      <c r="DI26" s="225">
        <f t="shared" ref="DI26" si="113">ROUND(DI25/(1+$D$26)^(DI1+$L$1),0)</f>
        <v>6172621</v>
      </c>
      <c r="DJ26" s="226"/>
      <c r="DK26" s="226"/>
      <c r="DL26" s="227"/>
      <c r="DM26" s="225">
        <f t="shared" ref="DM26" si="114">ROUND(DM25/(1+$D$26)^(DM1+$L$1),0)</f>
        <v>5823228</v>
      </c>
      <c r="DN26" s="226"/>
      <c r="DO26" s="226"/>
      <c r="DP26" s="227"/>
      <c r="DQ26" s="225">
        <f t="shared" ref="DQ26" si="115">ROUND(DQ25/(1+$D$26)^(DQ1+$L$1),0)</f>
        <v>5493611</v>
      </c>
      <c r="DR26" s="226"/>
      <c r="DS26" s="226"/>
      <c r="DT26" s="227"/>
      <c r="DU26" s="225">
        <f t="shared" ref="DU26" si="116">ROUND(DU25/(1+$D$26)^(DU1+$L$1),0)</f>
        <v>5182652</v>
      </c>
      <c r="DV26" s="226"/>
      <c r="DW26" s="226"/>
      <c r="DX26" s="227"/>
      <c r="DY26" s="225">
        <f t="shared" ref="DY26" si="117">ROUND(DY25/(1+$D$26)^(DY1+$L$1),0)</f>
        <v>4889294</v>
      </c>
      <c r="DZ26" s="226"/>
      <c r="EA26" s="226"/>
      <c r="EB26" s="227"/>
      <c r="EC26" s="243">
        <f>ROUND(EC25/(1+$D$26)^(EC1+$L$1),0)</f>
        <v>2374451</v>
      </c>
      <c r="ED26" s="244"/>
      <c r="EE26" s="139">
        <f>SUM(L26:ED26)</f>
        <v>494058851.17503619</v>
      </c>
    </row>
    <row r="27" spans="1:135" s="28" customFormat="1" ht="12.75">
      <c r="F27" s="28" t="s">
        <v>323</v>
      </c>
      <c r="G27" s="115">
        <f>ROUND(EE26/10000,0)</f>
        <v>49406</v>
      </c>
      <c r="H27" s="115"/>
      <c r="I27" s="115"/>
      <c r="J27" s="115"/>
      <c r="M27" s="47"/>
      <c r="N27" s="47"/>
    </row>
    <row r="28" spans="1:135" s="28" customFormat="1" ht="12.75">
      <c r="F28" s="28" t="s">
        <v>324</v>
      </c>
      <c r="G28" s="116"/>
      <c r="H28" s="116"/>
      <c r="I28" s="116"/>
      <c r="J28" s="116"/>
      <c r="M28" s="47"/>
      <c r="N28" s="47"/>
    </row>
    <row r="29" spans="1:135" s="28" customFormat="1" ht="18.75" customHeight="1">
      <c r="G29" s="116"/>
      <c r="H29" s="116"/>
      <c r="I29" s="116"/>
      <c r="J29" s="116"/>
      <c r="L29" s="28" t="str">
        <f>L8</f>
        <v>2018年2季度</v>
      </c>
      <c r="M29" s="28" t="str">
        <f t="shared" ref="M29:BX29" si="118">M8</f>
        <v>2018年3季度</v>
      </c>
      <c r="N29" s="28" t="str">
        <f t="shared" si="118"/>
        <v>2018年4季度</v>
      </c>
      <c r="O29" s="28" t="str">
        <f t="shared" si="118"/>
        <v>2019年1季度</v>
      </c>
      <c r="P29" s="28" t="str">
        <f t="shared" si="118"/>
        <v>2019年2季度</v>
      </c>
      <c r="Q29" s="28" t="str">
        <f t="shared" si="118"/>
        <v>2019年3季度</v>
      </c>
      <c r="R29" s="28" t="str">
        <f t="shared" si="118"/>
        <v>2019年4季度</v>
      </c>
      <c r="S29" s="28" t="str">
        <f t="shared" si="118"/>
        <v>2020年1季度</v>
      </c>
      <c r="T29" s="28" t="str">
        <f t="shared" si="118"/>
        <v>2020年2季度</v>
      </c>
      <c r="U29" s="28" t="str">
        <f t="shared" si="118"/>
        <v>2020年3季度</v>
      </c>
      <c r="V29" s="28" t="str">
        <f t="shared" si="118"/>
        <v>2020年4季度</v>
      </c>
      <c r="W29" s="28" t="str">
        <f t="shared" si="118"/>
        <v>2021年1季度</v>
      </c>
      <c r="X29" s="28" t="str">
        <f t="shared" si="118"/>
        <v>2021年2季度</v>
      </c>
      <c r="Y29" s="28" t="str">
        <f t="shared" si="118"/>
        <v>2021年3季度</v>
      </c>
      <c r="Z29" s="28" t="str">
        <f t="shared" si="118"/>
        <v>2021年4季度</v>
      </c>
      <c r="AA29" s="28" t="str">
        <f t="shared" si="118"/>
        <v>2022年1季度</v>
      </c>
      <c r="AB29" s="28" t="str">
        <f t="shared" si="118"/>
        <v>2022年2季度</v>
      </c>
      <c r="AC29" s="28" t="str">
        <f t="shared" si="118"/>
        <v>2022年3季度</v>
      </c>
      <c r="AD29" s="28" t="str">
        <f t="shared" si="118"/>
        <v>2022年4季度</v>
      </c>
      <c r="AE29" s="28" t="str">
        <f t="shared" si="118"/>
        <v>2023年1季度</v>
      </c>
      <c r="AF29" s="28" t="str">
        <f t="shared" si="118"/>
        <v>2023年2季度</v>
      </c>
      <c r="AG29" s="28" t="str">
        <f t="shared" si="118"/>
        <v>2023年3季度</v>
      </c>
      <c r="AH29" s="28" t="str">
        <f t="shared" si="118"/>
        <v>2023年4季度</v>
      </c>
      <c r="AI29" s="28" t="str">
        <f t="shared" si="118"/>
        <v>2024年1季度</v>
      </c>
      <c r="AJ29" s="28" t="str">
        <f t="shared" si="118"/>
        <v>2024年2季度</v>
      </c>
      <c r="AK29" s="28" t="str">
        <f t="shared" si="118"/>
        <v>2024年3季度</v>
      </c>
      <c r="AL29" s="28" t="str">
        <f t="shared" si="118"/>
        <v>2024年4季度</v>
      </c>
      <c r="AM29" s="28" t="str">
        <f t="shared" si="118"/>
        <v>2025年1季度</v>
      </c>
      <c r="AN29" s="28" t="str">
        <f t="shared" si="118"/>
        <v>2025年2季度</v>
      </c>
      <c r="AO29" s="28" t="str">
        <f t="shared" si="118"/>
        <v>2025年3季度</v>
      </c>
      <c r="AP29" s="28" t="str">
        <f t="shared" si="118"/>
        <v>2025年4季度</v>
      </c>
      <c r="AQ29" s="28" t="str">
        <f t="shared" si="118"/>
        <v>2026年1季度</v>
      </c>
      <c r="AR29" s="28" t="str">
        <f t="shared" si="118"/>
        <v>2026年2季度</v>
      </c>
      <c r="AS29" s="28" t="str">
        <f t="shared" si="118"/>
        <v>2026年3季度</v>
      </c>
      <c r="AT29" s="28" t="str">
        <f t="shared" si="118"/>
        <v>2026年4季度</v>
      </c>
      <c r="AU29" s="28" t="str">
        <f t="shared" si="118"/>
        <v>2027年1季度</v>
      </c>
      <c r="AV29" s="28" t="str">
        <f t="shared" si="118"/>
        <v>2027年2季度</v>
      </c>
      <c r="AW29" s="28" t="str">
        <f t="shared" si="118"/>
        <v>2027年3季度</v>
      </c>
      <c r="AX29" s="28" t="str">
        <f t="shared" si="118"/>
        <v>2027年4季度</v>
      </c>
      <c r="AY29" s="28" t="str">
        <f t="shared" si="118"/>
        <v>2028年1季度</v>
      </c>
      <c r="AZ29" s="28" t="str">
        <f t="shared" si="118"/>
        <v>2028年2季度</v>
      </c>
      <c r="BA29" s="28" t="str">
        <f t="shared" si="118"/>
        <v>2028年3季度</v>
      </c>
      <c r="BB29" s="28" t="str">
        <f t="shared" si="118"/>
        <v>2028年4季度</v>
      </c>
      <c r="BC29" s="28" t="str">
        <f t="shared" si="118"/>
        <v>2029年1季度</v>
      </c>
      <c r="BD29" s="28" t="str">
        <f t="shared" si="118"/>
        <v>2029年2季度</v>
      </c>
      <c r="BE29" s="28" t="str">
        <f t="shared" si="118"/>
        <v>2029年3季度</v>
      </c>
      <c r="BF29" s="28" t="str">
        <f t="shared" si="118"/>
        <v>2029年4季度</v>
      </c>
      <c r="BG29" s="28" t="str">
        <f t="shared" si="118"/>
        <v>2030年1季度</v>
      </c>
      <c r="BH29" s="28" t="str">
        <f t="shared" si="118"/>
        <v>2030年2季度</v>
      </c>
      <c r="BI29" s="28" t="str">
        <f t="shared" si="118"/>
        <v>2030年3季度</v>
      </c>
      <c r="BJ29" s="28" t="str">
        <f t="shared" si="118"/>
        <v>2030年4季度</v>
      </c>
      <c r="BK29" s="28" t="str">
        <f t="shared" si="118"/>
        <v>2031年1季度</v>
      </c>
      <c r="BL29" s="28" t="str">
        <f t="shared" si="118"/>
        <v>2031年2季度</v>
      </c>
      <c r="BM29" s="28" t="str">
        <f t="shared" si="118"/>
        <v>2031年3季度</v>
      </c>
      <c r="BN29" s="28" t="str">
        <f t="shared" si="118"/>
        <v>2031年4季度</v>
      </c>
      <c r="BO29" s="28" t="str">
        <f t="shared" si="118"/>
        <v>2032年1季度</v>
      </c>
      <c r="BP29" s="28" t="str">
        <f t="shared" si="118"/>
        <v>2032年2季度</v>
      </c>
      <c r="BQ29" s="28" t="str">
        <f t="shared" si="118"/>
        <v>2032年3季度</v>
      </c>
      <c r="BR29" s="28" t="str">
        <f t="shared" si="118"/>
        <v>2032年4季度</v>
      </c>
      <c r="BS29" s="28" t="str">
        <f t="shared" si="118"/>
        <v>2033年1季度</v>
      </c>
      <c r="BT29" s="28" t="str">
        <f t="shared" si="118"/>
        <v>2033年2季度</v>
      </c>
      <c r="BU29" s="28" t="str">
        <f t="shared" si="118"/>
        <v>2033年3季度</v>
      </c>
      <c r="BV29" s="28" t="str">
        <f t="shared" si="118"/>
        <v>2033年4季度</v>
      </c>
      <c r="BW29" s="28" t="str">
        <f t="shared" si="118"/>
        <v>2034年1季度</v>
      </c>
      <c r="BX29" s="28" t="str">
        <f t="shared" si="118"/>
        <v>2034年2季度</v>
      </c>
      <c r="BY29" s="28" t="str">
        <f t="shared" ref="BY29:CP29" si="119">BY8</f>
        <v>2034年3季度</v>
      </c>
      <c r="BZ29" s="28" t="str">
        <f t="shared" si="119"/>
        <v>2034年4季度</v>
      </c>
      <c r="CA29" s="28" t="str">
        <f t="shared" si="119"/>
        <v>2035年1季度</v>
      </c>
      <c r="CB29" s="28" t="str">
        <f t="shared" si="119"/>
        <v>2035年2季度</v>
      </c>
      <c r="CC29" s="28" t="str">
        <f t="shared" si="119"/>
        <v>2035年3季度</v>
      </c>
      <c r="CD29" s="28" t="str">
        <f t="shared" si="119"/>
        <v>2035年4季度</v>
      </c>
      <c r="CE29" s="28" t="str">
        <f t="shared" si="119"/>
        <v>2036年1季度</v>
      </c>
      <c r="CF29" s="28" t="str">
        <f t="shared" si="119"/>
        <v>2036年2季度</v>
      </c>
      <c r="CG29" s="28" t="str">
        <f t="shared" si="119"/>
        <v>2036年3季度</v>
      </c>
      <c r="CH29" s="28" t="str">
        <f t="shared" si="119"/>
        <v>2036年4季度</v>
      </c>
      <c r="CI29" s="28" t="str">
        <f t="shared" si="119"/>
        <v>2037年1季度</v>
      </c>
      <c r="CJ29" s="28" t="str">
        <f t="shared" si="119"/>
        <v>2037年2季度</v>
      </c>
      <c r="CK29" s="28" t="str">
        <f t="shared" si="119"/>
        <v>2037年3季度</v>
      </c>
      <c r="CL29" s="28" t="str">
        <f t="shared" si="119"/>
        <v>2037年4季度</v>
      </c>
      <c r="CM29" s="28" t="str">
        <f t="shared" si="119"/>
        <v>2038年1季度</v>
      </c>
      <c r="CN29" s="28" t="str">
        <f t="shared" si="119"/>
        <v>2038年2季度</v>
      </c>
      <c r="CO29" s="28" t="str">
        <f t="shared" si="119"/>
        <v>2038年3季度</v>
      </c>
      <c r="CP29" s="28" t="str">
        <f t="shared" si="119"/>
        <v>2038年4季度</v>
      </c>
    </row>
    <row r="30" spans="1:135" s="28" customFormat="1" ht="12.75">
      <c r="G30" s="116"/>
      <c r="H30" s="116"/>
      <c r="I30" s="116"/>
      <c r="J30" s="116"/>
      <c r="K30" s="28" t="s">
        <v>631</v>
      </c>
      <c r="L30" s="28">
        <f>(L9+M9+N9+O9)/10000</f>
        <v>4140.3599999999997</v>
      </c>
      <c r="N30" s="47"/>
      <c r="P30" s="28">
        <f>(P9+Q9+R9+S9)/10000</f>
        <v>4452</v>
      </c>
      <c r="T30" s="28">
        <f>(T9+U9+V9+W9)/10000</f>
        <v>4452</v>
      </c>
      <c r="X30" s="28">
        <f>(X9+Y9+Z9+AA9)/10000</f>
        <v>4452</v>
      </c>
      <c r="AB30" s="28">
        <f>(AB9+AC9+AD9+AE9)/10000</f>
        <v>4452</v>
      </c>
      <c r="AF30" s="28">
        <f>(AF9+AG9+AH9+AI9)/10000</f>
        <v>4452</v>
      </c>
      <c r="AJ30" s="28">
        <f>(AJ9+AK9+AL9+AM9)/10000</f>
        <v>4452</v>
      </c>
      <c r="AN30" s="28">
        <f>(AN9+AO9+AP9+AQ9)/10000</f>
        <v>4452</v>
      </c>
      <c r="AR30" s="28">
        <f>(AR9+AS9+AT9+AU9)/10000</f>
        <v>4452</v>
      </c>
      <c r="AV30" s="28">
        <f>(AV9+AW9+AX9+AY9)/10000</f>
        <v>4452</v>
      </c>
      <c r="AZ30" s="28">
        <f>(AZ9+BA9+BB9+BC9)/10000</f>
        <v>4452</v>
      </c>
      <c r="BD30" s="28">
        <f>(BD9+BE9+BF9+BG9)/10000</f>
        <v>4452</v>
      </c>
      <c r="BH30" s="28">
        <f>(BH9+BI9+BJ9+BK9)/10000</f>
        <v>4452</v>
      </c>
      <c r="BL30" s="28">
        <f>(BL9+BM9+BN9+BO9)/10000</f>
        <v>4452</v>
      </c>
      <c r="BP30" s="28">
        <f>(BP9+BQ9+BR9+BS9)/10000</f>
        <v>4452</v>
      </c>
      <c r="BT30" s="28">
        <f>(BT9+BU9+BV9+BW9)/10000</f>
        <v>4452</v>
      </c>
      <c r="BX30" s="28">
        <f>(BX9+BY9+BZ9+CA9)/10000</f>
        <v>4452</v>
      </c>
      <c r="CB30" s="28">
        <f>(CB9+CC9+CD9+CE9)/10000</f>
        <v>4452</v>
      </c>
      <c r="CF30" s="28">
        <f>(CF9+CG9+CH9+CI9)/10000</f>
        <v>4452</v>
      </c>
      <c r="CJ30" s="28">
        <f>(CJ9+CK9+CL9+CM9)/10000</f>
        <v>4452</v>
      </c>
      <c r="CN30" s="28">
        <f>(CN9+CO9+CP9+CQ9)/10000</f>
        <v>4193.75</v>
      </c>
    </row>
    <row r="31" spans="1:135" s="28" customFormat="1" ht="12.75">
      <c r="G31" s="116"/>
      <c r="H31" s="116"/>
      <c r="I31" s="116"/>
      <c r="J31" s="116"/>
      <c r="K31" s="28" t="s">
        <v>633</v>
      </c>
      <c r="L31" s="28">
        <f>(L13+M13+N13+O13)/10000</f>
        <v>455.43959999999998</v>
      </c>
      <c r="M31" s="47"/>
      <c r="N31" s="47"/>
      <c r="P31" s="28">
        <f>(P13+Q13+R13+S13)/10000</f>
        <v>489.72</v>
      </c>
      <c r="T31" s="28">
        <f>(T13+U13+V13+W13)/10000</f>
        <v>489.72</v>
      </c>
      <c r="X31" s="28">
        <f>(X13+Y13+Z13+AA13)/10000</f>
        <v>489.72</v>
      </c>
      <c r="AB31" s="28">
        <f>(AB13+AC13+AD13+AE13)/10000</f>
        <v>489.72</v>
      </c>
      <c r="AF31" s="28">
        <f>(AF13+AG13+AH13+AI13)/10000</f>
        <v>489.72</v>
      </c>
      <c r="AJ31" s="28">
        <f>(AJ13+AK13+AL13+AM13)/10000</f>
        <v>489.72</v>
      </c>
      <c r="AN31" s="28">
        <f>(AN13+AO13+AP13+AQ13)/10000</f>
        <v>489.72</v>
      </c>
      <c r="AR31" s="28">
        <f>(AR13+AS13+AT13+AU13)/10000</f>
        <v>489.72</v>
      </c>
      <c r="AV31" s="28">
        <f>(AV13+AW13+AX13+AY13)/10000</f>
        <v>489.72</v>
      </c>
      <c r="AZ31" s="28">
        <f>(AZ13+BA13+BB13+BC13)/10000</f>
        <v>489.72</v>
      </c>
      <c r="BD31" s="28">
        <f>(BD13+BE13+BF13+BG13)/10000</f>
        <v>489.72</v>
      </c>
      <c r="BH31" s="28">
        <f>(BH13+BI13+BJ13+BK13)/10000</f>
        <v>489.72</v>
      </c>
      <c r="BL31" s="28">
        <f>(BL13+BM13+BN13+BO13)/10000</f>
        <v>489.72</v>
      </c>
      <c r="BP31" s="28">
        <f>(BP13+BQ13+BR13+BS13)/10000</f>
        <v>489.72</v>
      </c>
      <c r="BT31" s="28">
        <f>(BT13+BU13+BV13+BW13)/10000</f>
        <v>489.72</v>
      </c>
      <c r="BX31" s="28">
        <f>(BX13+BY13+BZ13+CA13)/10000</f>
        <v>489.72</v>
      </c>
      <c r="CB31" s="28">
        <f>(CB13+CC13+CD13+CE13)/10000</f>
        <v>489.72</v>
      </c>
      <c r="CF31" s="28">
        <f>(CF13+CG13+CH13+CI13)/10000</f>
        <v>489.72</v>
      </c>
      <c r="CJ31" s="28">
        <f>(CJ13+CK13+CL13+CM13)/10000</f>
        <v>489.72</v>
      </c>
      <c r="CN31" s="28">
        <f>(CN13+CO13+CP13+CQ13)/10000</f>
        <v>461.3125</v>
      </c>
    </row>
    <row r="32" spans="1:135" s="28" customFormat="1" ht="12.75">
      <c r="G32" s="116"/>
      <c r="H32" s="116"/>
      <c r="I32" s="116"/>
      <c r="J32" s="116"/>
      <c r="K32" s="28" t="s">
        <v>639</v>
      </c>
      <c r="L32" s="28">
        <f>(L20+M20+N20+O20)/10000</f>
        <v>248.42160000000001</v>
      </c>
      <c r="M32" s="47"/>
      <c r="N32" s="47"/>
      <c r="P32" s="28">
        <f>(P20+Q20+R20+S20)/10000</f>
        <v>267.12</v>
      </c>
      <c r="T32" s="28">
        <f>(T20+U20+V20+W20)/10000</f>
        <v>267.12</v>
      </c>
      <c r="X32" s="28">
        <f>(X20+Y20+Z20+AA20)/10000</f>
        <v>267.12</v>
      </c>
      <c r="AB32" s="28">
        <f>(AB20+AC20+AD20+AE20)/10000</f>
        <v>267.12</v>
      </c>
      <c r="AF32" s="28">
        <f>(AF20+AG20+AH20+AI20)/10000</f>
        <v>267.12</v>
      </c>
      <c r="AJ32" s="28">
        <f>(AJ20+AK20+AL20+AM20)/10000</f>
        <v>267.12</v>
      </c>
      <c r="AN32" s="28">
        <f>(AN20+AO20+AP20+AQ20)/10000</f>
        <v>267.12</v>
      </c>
      <c r="AR32" s="28">
        <f>(AR20+AS20+AT20+AU20)/10000</f>
        <v>267.12</v>
      </c>
      <c r="AV32" s="28">
        <f>(AV20+AW20+AX20+AY20)/10000</f>
        <v>267.12</v>
      </c>
      <c r="AZ32" s="28">
        <f>(AZ20+BA20+BB20+BC20)/10000</f>
        <v>267.12</v>
      </c>
      <c r="BD32" s="28">
        <f>(BD20+BE20+BF20+BG20)/10000</f>
        <v>267.12</v>
      </c>
      <c r="BH32" s="28">
        <f>(BH20+BI20+BJ20+BK20)/10000</f>
        <v>267.12</v>
      </c>
      <c r="BL32" s="28">
        <f>(BL20+BM20+BN20+BO20)/10000</f>
        <v>267.12</v>
      </c>
      <c r="BP32" s="28">
        <f>(BP20+BQ20+BR20+BS20)/10000</f>
        <v>267.12</v>
      </c>
      <c r="BT32" s="28">
        <f>(BT20+BU20+BV20+BW20)/10000</f>
        <v>267.12</v>
      </c>
      <c r="BX32" s="28">
        <f>(BX20+BY20+BZ20+CA20)/10000</f>
        <v>267.12</v>
      </c>
      <c r="CB32" s="28">
        <f>(CB20+CC20+CD20+CE20)/10000</f>
        <v>267.12</v>
      </c>
      <c r="CF32" s="28">
        <f>(CF20+CG20+CH20+CI20)/10000</f>
        <v>267.12</v>
      </c>
      <c r="CJ32" s="28">
        <f>(CJ20+CK20+CL20+CM20)/10000</f>
        <v>267.12</v>
      </c>
      <c r="CN32" s="28">
        <f>(CN20+CO20+CP20+CQ20)/10000</f>
        <v>251.625</v>
      </c>
    </row>
    <row r="33" spans="7:92" s="28" customFormat="1" ht="12.75">
      <c r="G33" s="116"/>
      <c r="H33" s="116"/>
      <c r="I33" s="116"/>
      <c r="J33" s="116"/>
      <c r="K33" s="28" t="s">
        <v>635</v>
      </c>
      <c r="L33" s="28">
        <f>L30-L31-L32</f>
        <v>3436.4987999999994</v>
      </c>
      <c r="M33" s="47"/>
      <c r="N33" s="47"/>
      <c r="P33" s="28">
        <f>P30-P31-P32</f>
        <v>3695.16</v>
      </c>
      <c r="T33" s="28">
        <f>T30-T31-T32</f>
        <v>3695.16</v>
      </c>
      <c r="X33" s="28">
        <f>X30-X31-X32</f>
        <v>3695.16</v>
      </c>
      <c r="AB33" s="28">
        <f>AB30-AB31-AB32</f>
        <v>3695.16</v>
      </c>
      <c r="AF33" s="28">
        <f>AF30-AF31-AF32</f>
        <v>3695.16</v>
      </c>
      <c r="AJ33" s="28">
        <f>AJ30-AJ31-AJ32</f>
        <v>3695.16</v>
      </c>
      <c r="AN33" s="28">
        <f>AN30-AN31-AN32</f>
        <v>3695.16</v>
      </c>
      <c r="AR33" s="28">
        <f>AR30-AR31-AR32</f>
        <v>3695.16</v>
      </c>
      <c r="AV33" s="28">
        <f>AV30-AV31-AV32</f>
        <v>3695.16</v>
      </c>
      <c r="AZ33" s="28">
        <f>AZ30-AZ31-AZ32</f>
        <v>3695.16</v>
      </c>
      <c r="BD33" s="28">
        <f>BD30-BD31-BD32</f>
        <v>3695.16</v>
      </c>
      <c r="BH33" s="28">
        <f>BH30-BH31-BH32</f>
        <v>3695.16</v>
      </c>
      <c r="BL33" s="28">
        <f>BL30-BL31-BL32</f>
        <v>3695.16</v>
      </c>
      <c r="BP33" s="28">
        <f>BP30-BP31-BP32</f>
        <v>3695.16</v>
      </c>
      <c r="BT33" s="28">
        <f>BT30-BT31-BT32</f>
        <v>3695.16</v>
      </c>
      <c r="BX33" s="28">
        <f>BX30-BX31-BX32</f>
        <v>3695.16</v>
      </c>
      <c r="CB33" s="28">
        <f>CB30-CB31-CB32</f>
        <v>3695.16</v>
      </c>
      <c r="CF33" s="28">
        <f>CF30-CF31-CF32</f>
        <v>3695.16</v>
      </c>
      <c r="CJ33" s="28">
        <f>CJ30-CJ31-CJ32</f>
        <v>3695.16</v>
      </c>
      <c r="CN33" s="28">
        <f>CN30-CN31-CN32</f>
        <v>3480.8125</v>
      </c>
    </row>
    <row r="34" spans="7:92" s="28" customFormat="1" ht="12.75">
      <c r="G34" s="116"/>
      <c r="H34" s="116"/>
      <c r="I34" s="116"/>
      <c r="J34" s="116"/>
      <c r="M34" s="47"/>
      <c r="N34" s="47"/>
    </row>
    <row r="35" spans="7:92" s="28" customFormat="1" ht="12.75">
      <c r="G35" s="116"/>
      <c r="H35" s="116"/>
      <c r="I35" s="116"/>
      <c r="J35" s="116"/>
      <c r="K35" s="28" t="s">
        <v>637</v>
      </c>
      <c r="L35" s="28">
        <f>(L24+M24+N24+O24)/10000</f>
        <v>3436.4987999999998</v>
      </c>
      <c r="M35" s="47"/>
      <c r="N35" s="47"/>
      <c r="P35" s="28">
        <f>(P24+Q24+R24+S24)/10000</f>
        <v>3695.16</v>
      </c>
      <c r="T35" s="28">
        <f>(T24+U24+V24+W24)/10000</f>
        <v>3695.16</v>
      </c>
      <c r="X35" s="28">
        <f>(X24+Y24+Z24+AA24)/10000</f>
        <v>3695.16</v>
      </c>
      <c r="AB35" s="28">
        <f>(AB24+AC24+AD24+AE24)/10000</f>
        <v>3695.16</v>
      </c>
      <c r="AF35" s="28">
        <f>(AF24+AG24+AH24+AI24)/10000</f>
        <v>3695.16</v>
      </c>
      <c r="AJ35" s="28">
        <f>(AJ24+AK24+AL24+AM24)/10000</f>
        <v>3695.16</v>
      </c>
      <c r="AN35" s="28">
        <f>(AN24+AO24+AP24+AQ24)/10000</f>
        <v>3695.16</v>
      </c>
      <c r="AR35" s="28">
        <f>(AR24+AS24+AT24+AU24)/10000</f>
        <v>3695.16</v>
      </c>
      <c r="AV35" s="28">
        <f>(AV24+AW24+AX24+AY24)/10000</f>
        <v>3695.16</v>
      </c>
      <c r="AZ35" s="28">
        <f>(AZ24+BA24+BB24+BC24)/10000</f>
        <v>3695.16</v>
      </c>
      <c r="BD35" s="28">
        <f>(BD24+BE24+BF24+BG24)/10000</f>
        <v>3695.16</v>
      </c>
      <c r="BH35" s="28">
        <f>(BH24+BI24+BJ24+BK24)/10000</f>
        <v>3695.16</v>
      </c>
      <c r="BL35" s="28">
        <f>(BL24+BM24+BN24+BO24)/10000</f>
        <v>3695.16</v>
      </c>
      <c r="BP35" s="28">
        <f>(BP24+BQ24+BR24+BS24)/10000</f>
        <v>3695.16</v>
      </c>
      <c r="BT35" s="28">
        <f>(BT24+BU24+BV24+BW24)/10000</f>
        <v>3695.16</v>
      </c>
      <c r="BX35" s="28">
        <f>(BX24+BY24+BZ24+CA24)/10000</f>
        <v>3695.16</v>
      </c>
      <c r="CB35" s="28">
        <f>(CB24+CC24+CD24+CE24)/10000</f>
        <v>3695.16</v>
      </c>
      <c r="CF35" s="28">
        <f>(CF24+CG24+CH24+CI24)/10000</f>
        <v>3695.16</v>
      </c>
      <c r="CJ35" s="28">
        <f>(CJ24+CK24+CL24+CM24)/10000</f>
        <v>3695.16</v>
      </c>
      <c r="CN35" s="28">
        <f>(CN24+CO24+CP24+CQ24)/10000</f>
        <v>3480.8125</v>
      </c>
    </row>
  </sheetData>
  <mergeCells count="126">
    <mergeCell ref="CI2:CL2"/>
    <mergeCell ref="CM2:CP2"/>
    <mergeCell ref="CQ2:CT2"/>
    <mergeCell ref="CU2:CX2"/>
    <mergeCell ref="CY2:DB2"/>
    <mergeCell ref="BG2:BJ2"/>
    <mergeCell ref="BK2:BN2"/>
    <mergeCell ref="L2:N2"/>
    <mergeCell ref="O2:R2"/>
    <mergeCell ref="S2:V2"/>
    <mergeCell ref="W2:Z2"/>
    <mergeCell ref="AA2:AD2"/>
    <mergeCell ref="AE2:AH2"/>
    <mergeCell ref="BO2:BR2"/>
    <mergeCell ref="BS2:BV2"/>
    <mergeCell ref="BW2:BZ2"/>
    <mergeCell ref="EA7:ED7"/>
    <mergeCell ref="A13:B13"/>
    <mergeCell ref="CA2:CD2"/>
    <mergeCell ref="AI2:AL2"/>
    <mergeCell ref="AM2:AP2"/>
    <mergeCell ref="AQ2:AT2"/>
    <mergeCell ref="AU2:AX2"/>
    <mergeCell ref="AY2:BB2"/>
    <mergeCell ref="BC2:BF2"/>
    <mergeCell ref="EA2:ED2"/>
    <mergeCell ref="L7:N7"/>
    <mergeCell ref="O7:R7"/>
    <mergeCell ref="S7:V7"/>
    <mergeCell ref="W7:Z7"/>
    <mergeCell ref="AA7:AD7"/>
    <mergeCell ref="AE7:AH7"/>
    <mergeCell ref="AI7:AL7"/>
    <mergeCell ref="DC2:DF2"/>
    <mergeCell ref="DG2:DJ2"/>
    <mergeCell ref="DK2:DN2"/>
    <mergeCell ref="DO2:DR2"/>
    <mergeCell ref="DS2:DV2"/>
    <mergeCell ref="DW2:DZ2"/>
    <mergeCell ref="CE2:CH2"/>
    <mergeCell ref="A20:B20"/>
    <mergeCell ref="CQ7:CT7"/>
    <mergeCell ref="CU7:CX7"/>
    <mergeCell ref="CY7:DB7"/>
    <mergeCell ref="DC7:DF7"/>
    <mergeCell ref="DG7:DJ7"/>
    <mergeCell ref="DK7:DN7"/>
    <mergeCell ref="BS7:BV7"/>
    <mergeCell ref="BW7:BZ7"/>
    <mergeCell ref="CA7:CD7"/>
    <mergeCell ref="CE7:CH7"/>
    <mergeCell ref="CI7:CL7"/>
    <mergeCell ref="CM7:CP7"/>
    <mergeCell ref="AU7:AX7"/>
    <mergeCell ref="AY7:BB7"/>
    <mergeCell ref="BC7:BF7"/>
    <mergeCell ref="BG7:BJ7"/>
    <mergeCell ref="BK7:BN7"/>
    <mergeCell ref="BO7:BR7"/>
    <mergeCell ref="AM7:AP7"/>
    <mergeCell ref="AQ7:AT7"/>
    <mergeCell ref="M25:P25"/>
    <mergeCell ref="Q25:T25"/>
    <mergeCell ref="U25:X25"/>
    <mergeCell ref="Y25:AB25"/>
    <mergeCell ref="AC25:AF25"/>
    <mergeCell ref="AG25:AJ25"/>
    <mergeCell ref="DO7:DR7"/>
    <mergeCell ref="DS7:DV7"/>
    <mergeCell ref="DW7:DZ7"/>
    <mergeCell ref="BQ25:BT25"/>
    <mergeCell ref="BU25:BX25"/>
    <mergeCell ref="BY25:CB25"/>
    <mergeCell ref="CC25:CF25"/>
    <mergeCell ref="AK25:AN25"/>
    <mergeCell ref="AO25:AR25"/>
    <mergeCell ref="AS25:AV25"/>
    <mergeCell ref="AW25:AZ25"/>
    <mergeCell ref="BA25:BD25"/>
    <mergeCell ref="BE25:BH25"/>
    <mergeCell ref="EC25:ED25"/>
    <mergeCell ref="M26:P26"/>
    <mergeCell ref="Q26:T26"/>
    <mergeCell ref="U26:X26"/>
    <mergeCell ref="Y26:AB26"/>
    <mergeCell ref="AC26:AF26"/>
    <mergeCell ref="AG26:AJ26"/>
    <mergeCell ref="AK26:AN26"/>
    <mergeCell ref="AO26:AR26"/>
    <mergeCell ref="AS26:AV26"/>
    <mergeCell ref="DE25:DH25"/>
    <mergeCell ref="DI25:DL25"/>
    <mergeCell ref="DM25:DP25"/>
    <mergeCell ref="DQ25:DT25"/>
    <mergeCell ref="DU25:DX25"/>
    <mergeCell ref="DY25:EB25"/>
    <mergeCell ref="CG25:CJ25"/>
    <mergeCell ref="CK25:CN25"/>
    <mergeCell ref="CO25:CR25"/>
    <mergeCell ref="CS25:CV25"/>
    <mergeCell ref="CW25:CZ25"/>
    <mergeCell ref="DA25:DD25"/>
    <mergeCell ref="BI25:BL25"/>
    <mergeCell ref="BM25:BP25"/>
    <mergeCell ref="BU26:BX26"/>
    <mergeCell ref="BY26:CB26"/>
    <mergeCell ref="CC26:CF26"/>
    <mergeCell ref="CG26:CJ26"/>
    <mergeCell ref="CK26:CN26"/>
    <mergeCell ref="CO26:CR26"/>
    <mergeCell ref="AW26:AZ26"/>
    <mergeCell ref="BA26:BD26"/>
    <mergeCell ref="BE26:BH26"/>
    <mergeCell ref="BI26:BL26"/>
    <mergeCell ref="BM26:BP26"/>
    <mergeCell ref="BQ26:BT26"/>
    <mergeCell ref="DQ26:DT26"/>
    <mergeCell ref="DU26:DX26"/>
    <mergeCell ref="DY26:EB26"/>
    <mergeCell ref="EC26:ED26"/>
    <mergeCell ref="CS26:CV26"/>
    <mergeCell ref="CW26:CZ26"/>
    <mergeCell ref="DA26:DD26"/>
    <mergeCell ref="DE26:DH26"/>
    <mergeCell ref="DI26:DL26"/>
    <mergeCell ref="DM26:DP26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基础数据</vt:lpstr>
      <vt:lpstr>历史运营</vt:lpstr>
      <vt:lpstr>取费表</vt:lpstr>
      <vt:lpstr>Sheet1</vt:lpstr>
      <vt:lpstr>结果表</vt:lpstr>
      <vt:lpstr>商业现金流</vt:lpstr>
      <vt:lpstr>办公现金流</vt:lpstr>
      <vt:lpstr>车库现金流</vt:lpstr>
      <vt:lpstr>物业等其他收入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2018-07-24T08:40:13Z</dcterms:modified>
</cp:coreProperties>
</file>