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指标" sheetId="77" state="hidden" r:id="rId45"/>
    <sheet name="测绘面积" sheetId="79" state="hidden" r:id="rId46"/>
    <sheet name="土地案例" sheetId="78" state="hidden"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0" i="6" l="1"/>
  <c r="F19" i="6"/>
  <c r="L14" i="1"/>
  <c r="K3" i="79" l="1"/>
  <c r="K4" i="79"/>
  <c r="K5" i="79"/>
  <c r="K6" i="79"/>
  <c r="K7" i="79"/>
  <c r="K8" i="79"/>
  <c r="K9" i="79"/>
  <c r="K10" i="79"/>
  <c r="K11" i="79"/>
  <c r="K12" i="79"/>
  <c r="K2" i="79"/>
  <c r="G11" i="79"/>
  <c r="B13" i="79"/>
  <c r="C13" i="79"/>
  <c r="G13" i="79" s="1"/>
  <c r="D13" i="79"/>
  <c r="C6" i="79"/>
  <c r="D2" i="79"/>
  <c r="D4" i="79"/>
  <c r="E4" i="79" s="1"/>
  <c r="C4" i="79"/>
  <c r="E3" i="79"/>
  <c r="E5" i="79"/>
  <c r="E6" i="79"/>
  <c r="E7" i="79"/>
  <c r="E8" i="79"/>
  <c r="E2" i="79"/>
  <c r="E10" i="79"/>
  <c r="E11" i="79"/>
  <c r="E12" i="79"/>
  <c r="E9" i="79"/>
  <c r="D9" i="79"/>
  <c r="N14" i="1"/>
  <c r="K15" i="77"/>
  <c r="K13" i="77"/>
  <c r="E18" i="77"/>
  <c r="E17" i="77"/>
  <c r="F17" i="77"/>
  <c r="E16" i="77"/>
  <c r="B35" i="1"/>
  <c r="J10" i="77"/>
  <c r="J13" i="77"/>
  <c r="J15" i="77"/>
  <c r="J5" i="77"/>
  <c r="K5" i="77" s="1"/>
  <c r="I15" i="77"/>
  <c r="I6" i="77"/>
  <c r="J6" i="77" s="1"/>
  <c r="I7" i="77"/>
  <c r="J7" i="77" s="1"/>
  <c r="K7" i="77" s="1"/>
  <c r="I8" i="77"/>
  <c r="J8" i="77" s="1"/>
  <c r="I9" i="77"/>
  <c r="J9" i="77" s="1"/>
  <c r="K9" i="77" s="1"/>
  <c r="I10" i="77"/>
  <c r="I11" i="77"/>
  <c r="J11" i="77" s="1"/>
  <c r="K11" i="77" s="1"/>
  <c r="I12" i="77"/>
  <c r="J12" i="77" s="1"/>
  <c r="I13" i="77"/>
  <c r="I14" i="77"/>
  <c r="J14" i="77" s="1"/>
  <c r="K14" i="77" s="1"/>
  <c r="I5" i="77"/>
  <c r="H13" i="79" l="1"/>
  <c r="G12" i="79"/>
  <c r="E13" i="79"/>
  <c r="L4" i="79" s="1"/>
  <c r="E14" i="79"/>
  <c r="L2" i="79"/>
  <c r="L11" i="79"/>
  <c r="L9" i="79"/>
  <c r="L7" i="79"/>
  <c r="L5" i="79"/>
  <c r="L3" i="79"/>
  <c r="L12" i="79"/>
  <c r="L8" i="79"/>
  <c r="L6" i="79"/>
  <c r="K16" i="77"/>
  <c r="L10" i="79" l="1"/>
  <c r="L13" i="79" s="1"/>
  <c r="J7" i="1"/>
  <c r="F16" i="77"/>
  <c r="D3" i="4"/>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J53" i="15"/>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c r="O55" i="9"/>
  <c r="F56" i="9"/>
  <c r="O54" i="9" s="1"/>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s="1"/>
  <c r="BL13" i="3"/>
  <c r="J56" i="9"/>
  <c r="J57" i="9"/>
  <c r="J59" i="9" s="1"/>
  <c r="J61" i="9" s="1"/>
  <c r="A24" i="51"/>
  <c r="B18" i="72" s="1"/>
  <c r="U29" i="34"/>
  <c r="E14" i="6"/>
  <c r="E64" i="39" s="1"/>
  <c r="E5" i="6"/>
  <c r="D9" i="11" s="1"/>
  <c r="C9" i="11" s="1"/>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c r="S8" i="1"/>
  <c r="AQ8" i="1" s="1"/>
  <c r="K11" i="1"/>
  <c r="M11" i="1" s="1"/>
  <c r="O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52" i="43"/>
  <c r="B60" i="43"/>
  <c r="B63" i="43"/>
  <c r="B67" i="43"/>
  <c r="D23" i="15"/>
  <c r="D22" i="15"/>
  <c r="AQ13" i="1"/>
  <c r="F52" i="9"/>
  <c r="T11" i="1"/>
  <c r="AR11" i="1"/>
  <c r="K15" i="1"/>
  <c r="T13" i="1"/>
  <c r="E7" i="70"/>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O19" i="43"/>
  <c r="C5" i="43"/>
  <c r="E52" i="37"/>
  <c r="F52" i="37"/>
  <c r="G52" i="37" s="1"/>
  <c r="E48" i="35"/>
  <c r="F48" i="35" s="1"/>
  <c r="E59" i="34"/>
  <c r="F59" i="34"/>
  <c r="C65" i="40"/>
  <c r="D63" i="40"/>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15"/>
  <c r="Q52" i="15"/>
  <c r="G59" i="34"/>
  <c r="H59" i="34"/>
  <c r="I59" i="34" s="1"/>
  <c r="E63" i="40"/>
  <c r="D65" i="40"/>
  <c r="F1" i="67"/>
  <c r="Q52" i="67"/>
  <c r="AC11" i="37"/>
  <c r="W11" i="37"/>
  <c r="W11" i="34"/>
  <c r="AC11" i="34"/>
  <c r="F63" i="40"/>
  <c r="E65" i="40"/>
  <c r="R8" i="1"/>
  <c r="G63" i="40"/>
  <c r="F65" i="40"/>
  <c r="H63" i="40"/>
  <c r="G65" i="40"/>
  <c r="I63" i="40"/>
  <c r="H65" i="40"/>
  <c r="J63" i="40"/>
  <c r="I65" i="40"/>
  <c r="K63" i="40"/>
  <c r="L63" i="40" s="1"/>
  <c r="J65" i="40"/>
  <c r="K65" i="40"/>
  <c r="AE7" i="1"/>
  <c r="AE8" i="1"/>
  <c r="AE6"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F38" i="67"/>
  <c r="M26" i="67"/>
  <c r="AO13" i="1"/>
  <c r="M6" i="15"/>
  <c r="F37" i="67"/>
  <c r="D5" i="73"/>
  <c r="E10" i="76"/>
  <c r="D2" i="37"/>
  <c r="D2" i="34"/>
  <c r="M9" i="15"/>
  <c r="C76" i="67"/>
  <c r="F38" i="15"/>
  <c r="M29" i="15"/>
  <c r="M27" i="15"/>
  <c r="M24" i="67"/>
  <c r="D4" i="73"/>
  <c r="AO10" i="1"/>
  <c r="M22" i="67"/>
  <c r="D7" i="73"/>
  <c r="D2" i="36"/>
  <c r="F43" i="67"/>
  <c r="F6" i="15"/>
  <c r="E11" i="76"/>
  <c r="E7" i="76"/>
  <c r="F20" i="31"/>
  <c r="AO7" i="1"/>
  <c r="F9" i="67"/>
  <c r="M29" i="67"/>
  <c r="F7" i="67"/>
  <c r="D2" i="21"/>
  <c r="AO6" i="1"/>
  <c r="F6" i="73"/>
  <c r="F40" i="15"/>
  <c r="F3" i="73"/>
  <c r="J15" i="67"/>
  <c r="F4" i="73"/>
  <c r="M28" i="15"/>
  <c r="B12" i="76"/>
  <c r="F35" i="67"/>
  <c r="F13" i="67"/>
  <c r="F16" i="15"/>
  <c r="L47" i="67"/>
  <c r="B9" i="76"/>
  <c r="M28" i="67"/>
  <c r="F7" i="73"/>
  <c r="F6" i="67"/>
  <c r="M6" i="67"/>
  <c r="M8" i="67"/>
  <c r="F7" i="15"/>
  <c r="F26" i="67"/>
  <c r="D3" i="73"/>
  <c r="D6" i="73"/>
  <c r="M21" i="15"/>
  <c r="F37" i="15"/>
  <c r="E13" i="76"/>
  <c r="L47" i="15"/>
  <c r="F16" i="67"/>
  <c r="F42" i="15"/>
  <c r="C76" i="15"/>
  <c r="M23" i="15"/>
  <c r="F35" i="15"/>
  <c r="M24" i="15"/>
  <c r="F42" i="67"/>
  <c r="F40" i="67"/>
  <c r="B8" i="76"/>
  <c r="M9" i="67"/>
  <c r="L48" i="67"/>
  <c r="B11" i="76"/>
  <c r="F13" i="15"/>
  <c r="F5" i="73"/>
  <c r="B7" i="76"/>
  <c r="AO12" i="1"/>
  <c r="M26" i="15"/>
  <c r="D2" i="35"/>
  <c r="L48" i="15"/>
  <c r="B10" i="76"/>
  <c r="F26" i="15"/>
  <c r="D2" i="33"/>
  <c r="F41" i="15"/>
  <c r="F41" i="67"/>
  <c r="E8" i="76"/>
  <c r="M8" i="15"/>
  <c r="F9" i="15"/>
  <c r="AO8" i="1"/>
  <c r="F43" i="15"/>
  <c r="F8" i="67"/>
  <c r="M22" i="15"/>
  <c r="F8" i="15"/>
  <c r="AO9" i="1"/>
  <c r="B13" i="76"/>
  <c r="J15" i="15"/>
  <c r="E9" i="76"/>
  <c r="M27" i="67"/>
  <c r="M23" i="67"/>
  <c r="F36" i="67"/>
  <c r="E2" i="69"/>
  <c r="E12" i="76"/>
  <c r="M21" i="67"/>
  <c r="AO11" i="1"/>
  <c r="F36" i="15"/>
  <c r="E2" i="68"/>
  <c r="AZ23" i="3" l="1"/>
  <c r="G19" i="3"/>
  <c r="G20" i="3"/>
  <c r="G21" i="3"/>
  <c r="G22" i="3"/>
  <c r="G23" i="3"/>
  <c r="G5" i="3"/>
  <c r="B3" i="3" s="1"/>
  <c r="E503" i="3" s="1"/>
  <c r="BA18" i="3"/>
  <c r="AZ20" i="3"/>
  <c r="AZ19" i="3"/>
  <c r="AZ21" i="3"/>
  <c r="BA5" i="3"/>
  <c r="AZ18" i="3"/>
  <c r="AZ15" i="3"/>
  <c r="BL5" i="3"/>
  <c r="AR8" i="1"/>
  <c r="D22" i="67"/>
  <c r="E2" i="70"/>
  <c r="I4" i="6"/>
  <c r="G3" i="43" s="1"/>
  <c r="F22" i="43" s="1"/>
  <c r="E20" i="6"/>
  <c r="D9" i="68"/>
  <c r="C9" i="68" s="1"/>
  <c r="D9" i="69"/>
  <c r="C9" i="69" s="1"/>
  <c r="E32" i="6"/>
  <c r="L19" i="6" s="1"/>
  <c r="C7" i="12"/>
  <c r="C8" i="12" s="1"/>
  <c r="K6" i="1"/>
  <c r="E12" i="6"/>
  <c r="E13" i="6"/>
  <c r="E15" i="6"/>
  <c r="B56" i="43"/>
  <c r="C25" i="39"/>
  <c r="C29" i="39"/>
  <c r="B66" i="43"/>
  <c r="B49" i="43"/>
  <c r="C94" i="9"/>
  <c r="C92" i="9"/>
  <c r="F54" i="9"/>
  <c r="F28" i="15"/>
  <c r="C28" i="15" s="1"/>
  <c r="M18" i="67"/>
  <c r="D68" i="9"/>
  <c r="C24" i="12"/>
  <c r="M18" i="15"/>
  <c r="F32" i="15"/>
  <c r="F60" i="15" s="1"/>
  <c r="F30" i="69"/>
  <c r="F32" i="67"/>
  <c r="F60" i="67" s="1"/>
  <c r="F31" i="12"/>
  <c r="F28" i="67"/>
  <c r="C28" i="67" s="1"/>
  <c r="F30" i="11"/>
  <c r="F30" i="68"/>
  <c r="C40" i="69"/>
  <c r="T8" i="1"/>
  <c r="L27" i="6"/>
  <c r="G30" i="6"/>
  <c r="G31" i="6" s="1"/>
  <c r="E28" i="6"/>
  <c r="K14" i="1" s="1"/>
  <c r="E361" i="3"/>
  <c r="E528" i="3"/>
  <c r="D19" i="12"/>
  <c r="C19" i="12" s="1"/>
  <c r="AZ13" i="3"/>
  <c r="E30" i="6"/>
  <c r="E57" i="40"/>
  <c r="E62" i="39"/>
  <c r="E157" i="3"/>
  <c r="E181" i="3"/>
  <c r="E228" i="3"/>
  <c r="E188" i="3"/>
  <c r="E99" i="3"/>
  <c r="E169" i="3"/>
  <c r="E298" i="3"/>
  <c r="E321" i="3"/>
  <c r="E338" i="3"/>
  <c r="E418" i="3"/>
  <c r="E506" i="3"/>
  <c r="E523" i="3"/>
  <c r="S6" i="3"/>
  <c r="E390" i="3"/>
  <c r="E293" i="3"/>
  <c r="E246" i="3"/>
  <c r="E336" i="3"/>
  <c r="X6" i="3"/>
  <c r="E583" i="3"/>
  <c r="E535" i="3"/>
  <c r="E445" i="3"/>
  <c r="E172" i="3"/>
  <c r="E563" i="3"/>
  <c r="E278" i="3"/>
  <c r="F27" i="6"/>
  <c r="C6" i="68" s="1"/>
  <c r="E56" i="39"/>
  <c r="E51" i="40"/>
  <c r="AT6" i="3"/>
  <c r="E125" i="3"/>
  <c r="E217" i="3"/>
  <c r="E366" i="3"/>
  <c r="E526" i="3"/>
  <c r="E553" i="3"/>
  <c r="E268" i="3"/>
  <c r="E282" i="3"/>
  <c r="E322" i="3"/>
  <c r="N6" i="3"/>
  <c r="AJ6" i="3"/>
  <c r="E239" i="3"/>
  <c r="E509" i="3"/>
  <c r="E516" i="3"/>
  <c r="E579" i="3"/>
  <c r="E569" i="3"/>
  <c r="E431" i="3"/>
  <c r="E396" i="3"/>
  <c r="E247" i="3"/>
  <c r="E229" i="3"/>
  <c r="E201"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69" i="3"/>
  <c r="E59" i="40"/>
  <c r="O12" i="1"/>
  <c r="P12" i="1" s="1"/>
  <c r="P11" i="1"/>
  <c r="O9" i="1"/>
  <c r="P9" i="1" s="1"/>
  <c r="O8" i="1"/>
  <c r="P8" i="1" s="1"/>
  <c r="E16" i="6"/>
  <c r="T9" i="1"/>
  <c r="AQ9" i="1"/>
  <c r="E56" i="40"/>
  <c r="K101" i="43"/>
  <c r="H22" i="43"/>
  <c r="E101" i="43"/>
  <c r="AD11" i="43"/>
  <c r="AD13" i="43" s="1"/>
  <c r="AI11" i="43"/>
  <c r="AI13" i="43" s="1"/>
  <c r="AA11" i="43"/>
  <c r="AA13" i="43" s="1"/>
  <c r="G101" i="43"/>
  <c r="L101" i="43"/>
  <c r="T35" i="4"/>
  <c r="A19" i="51" s="1"/>
  <c r="B14" i="72" s="1"/>
  <c r="A15" i="62"/>
  <c r="B61" i="72" s="1"/>
  <c r="D12" i="52"/>
  <c r="D127" i="9"/>
  <c r="D13" i="52" s="1"/>
  <c r="E48" i="33"/>
  <c r="R49" i="33"/>
  <c r="M63" i="40"/>
  <c r="L65" i="40"/>
  <c r="G52" i="33"/>
  <c r="H52" i="33" s="1"/>
  <c r="J59" i="34"/>
  <c r="K59" i="34" s="1"/>
  <c r="L59" i="34" s="1"/>
  <c r="M59" i="34" s="1"/>
  <c r="N59" i="34" s="1"/>
  <c r="O59" i="34" s="1"/>
  <c r="F7" i="34"/>
  <c r="J7" i="34"/>
  <c r="H7" i="34"/>
  <c r="G48" i="35"/>
  <c r="H48" i="35" s="1"/>
  <c r="I48" i="35" s="1"/>
  <c r="J48" i="35" s="1"/>
  <c r="K48" i="35" s="1"/>
  <c r="L48" i="35" s="1"/>
  <c r="M48" i="35" s="1"/>
  <c r="N48" i="35" s="1"/>
  <c r="O48" i="35" s="1"/>
  <c r="H7" i="35"/>
  <c r="F7" i="35"/>
  <c r="J7" i="35"/>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U7" i="33"/>
  <c r="AC7" i="33"/>
  <c r="V48" i="33" s="1"/>
  <c r="I48" i="33" s="1"/>
  <c r="G53" i="33" s="1"/>
  <c r="H53" i="33" s="1"/>
  <c r="H52" i="37"/>
  <c r="I52" i="37" s="1"/>
  <c r="J52" i="37" s="1"/>
  <c r="K52" i="37" s="1"/>
  <c r="L52" i="37" s="1"/>
  <c r="M52" i="37" s="1"/>
  <c r="N52" i="37" s="1"/>
  <c r="O52" i="37" s="1"/>
  <c r="J7" i="37"/>
  <c r="H7" i="37"/>
  <c r="F7" i="37"/>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67"/>
  <c r="F59" i="67"/>
  <c r="F31" i="67"/>
  <c r="F59" i="15"/>
  <c r="M17" i="15"/>
  <c r="C14" i="67"/>
  <c r="C14" i="15"/>
  <c r="C16" i="67"/>
  <c r="C17" i="67"/>
  <c r="C17" i="15"/>
  <c r="C16" i="15"/>
  <c r="G1" i="73"/>
  <c r="G22" i="43" l="1"/>
  <c r="J101" i="43"/>
  <c r="J22" i="43"/>
  <c r="AE11" i="43"/>
  <c r="AE13" i="43" s="1"/>
  <c r="Z11" i="43"/>
  <c r="Z13" i="43" s="1"/>
  <c r="AH11" i="43"/>
  <c r="AH13" i="43" s="1"/>
  <c r="M101" i="43"/>
  <c r="N101" i="43"/>
  <c r="E27" i="6"/>
  <c r="E31" i="6" s="1"/>
  <c r="H101" i="43"/>
  <c r="N104" i="46"/>
  <c r="C101" i="43"/>
  <c r="B113" i="43"/>
  <c r="B115" i="43" s="1"/>
  <c r="Y11" i="43"/>
  <c r="Y13" i="43" s="1"/>
  <c r="AC11" i="43"/>
  <c r="AC13" i="43" s="1"/>
  <c r="AG11" i="43"/>
  <c r="AG13" i="43" s="1"/>
  <c r="Z7" i="43"/>
  <c r="AB11" i="43"/>
  <c r="AB13" i="43" s="1"/>
  <c r="AF11" i="43"/>
  <c r="AF13" i="43" s="1"/>
  <c r="AJ11" i="43"/>
  <c r="AJ13" i="43" s="1"/>
  <c r="I101" i="43"/>
  <c r="I104" i="43" s="1"/>
  <c r="D101" i="43"/>
  <c r="E22" i="43"/>
  <c r="D22" i="43" s="1"/>
  <c r="F101" i="43"/>
  <c r="E97" i="3"/>
  <c r="E143" i="3"/>
  <c r="E285" i="3"/>
  <c r="E337" i="3"/>
  <c r="E359" i="3"/>
  <c r="E410" i="3"/>
  <c r="E574" i="3"/>
  <c r="E555" i="3"/>
  <c r="O6" i="3"/>
  <c r="E388" i="3"/>
  <c r="E328" i="3"/>
  <c r="E508" i="3"/>
  <c r="E426" i="3"/>
  <c r="E305" i="3"/>
  <c r="E153" i="3"/>
  <c r="E343" i="3"/>
  <c r="E501" i="3"/>
  <c r="E530" i="3"/>
  <c r="E319" i="3"/>
  <c r="E175" i="3"/>
  <c r="E53" i="3"/>
  <c r="E415" i="3"/>
  <c r="E395" i="3"/>
  <c r="E260" i="3"/>
  <c r="E550" i="3"/>
  <c r="E347" i="3"/>
  <c r="AA6" i="3"/>
  <c r="E399" i="3"/>
  <c r="E280" i="3"/>
  <c r="E124" i="3"/>
  <c r="E270" i="3"/>
  <c r="E533" i="3"/>
  <c r="AR6" i="3"/>
  <c r="E561" i="3"/>
  <c r="E538" i="3"/>
  <c r="E439" i="3"/>
  <c r="E380" i="3"/>
  <c r="E231" i="3"/>
  <c r="E216" i="3"/>
  <c r="E185" i="3"/>
  <c r="E236" i="3"/>
  <c r="E148" i="3"/>
  <c r="E269" i="3"/>
  <c r="E122" i="3"/>
  <c r="E89" i="3"/>
  <c r="AZ5" i="3"/>
  <c r="E3" i="6" s="1"/>
  <c r="E261" i="3"/>
  <c r="E183" i="3"/>
  <c r="E114" i="3"/>
  <c r="E237" i="3"/>
  <c r="E565" i="3"/>
  <c r="E17" i="3"/>
  <c r="E329" i="3"/>
  <c r="E545" i="3"/>
  <c r="E510" i="3"/>
  <c r="E352" i="3"/>
  <c r="E205" i="3"/>
  <c r="E128" i="3"/>
  <c r="E358" i="3"/>
  <c r="E559" i="3"/>
  <c r="E551" i="3"/>
  <c r="V6" i="3"/>
  <c r="E407" i="3"/>
  <c r="E320" i="3"/>
  <c r="E294" i="3"/>
  <c r="E230" i="3"/>
  <c r="E130"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04" i="3"/>
  <c r="E302" i="3"/>
  <c r="E567" i="3"/>
  <c r="E227" i="3"/>
  <c r="E311" i="3"/>
  <c r="E570" i="3"/>
  <c r="AB6" i="3"/>
  <c r="E335" i="3"/>
  <c r="E189" i="3"/>
  <c r="E254" i="3"/>
  <c r="E221"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213" i="3"/>
  <c r="E539" i="3"/>
  <c r="E461" i="3"/>
  <c r="E165" i="3"/>
  <c r="E514" i="3"/>
  <c r="M6" i="3"/>
  <c r="E387" i="3"/>
  <c r="E215" i="3"/>
  <c r="E134" i="3"/>
  <c r="E9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162" i="3"/>
  <c r="E182" i="3"/>
  <c r="E126" i="3"/>
  <c r="E166" i="3"/>
  <c r="E186" i="3"/>
  <c r="E211" i="3"/>
  <c r="E272" i="3"/>
  <c r="E295" i="3"/>
  <c r="E210" i="3"/>
  <c r="E273" i="3"/>
  <c r="E291" i="3"/>
  <c r="E316"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52" i="3"/>
  <c r="E187" i="3"/>
  <c r="E132" i="3"/>
  <c r="E155" i="3"/>
  <c r="E192" i="3"/>
  <c r="E240" i="3"/>
  <c r="E258" i="3"/>
  <c r="E297" i="3"/>
  <c r="E241" i="3"/>
  <c r="E259" i="3"/>
  <c r="E292" i="3"/>
  <c r="E348"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6" i="3"/>
  <c r="M18" i="9"/>
  <c r="B118" i="9" s="1"/>
  <c r="B14" i="74" s="1"/>
  <c r="B1" i="74" s="1"/>
  <c r="D37" i="11"/>
  <c r="AY6" i="3"/>
  <c r="AY43" i="3" s="1"/>
  <c r="D7" i="12"/>
  <c r="D8" i="12" s="1"/>
  <c r="C4" i="12" s="1"/>
  <c r="C31" i="12" s="1"/>
  <c r="K7" i="1"/>
  <c r="K16" i="1" s="1"/>
  <c r="E58" i="40"/>
  <c r="E63" i="39"/>
  <c r="F31" i="6"/>
  <c r="C7" i="68"/>
  <c r="C5" i="68" s="1"/>
  <c r="E60" i="40"/>
  <c r="E65" i="39"/>
  <c r="AP6" i="1"/>
  <c r="C36" i="69" s="1"/>
  <c r="M6" i="1"/>
  <c r="C30" i="68"/>
  <c r="C48" i="68"/>
  <c r="C48" i="11"/>
  <c r="C30" i="11"/>
  <c r="C48" i="69"/>
  <c r="C30" i="69"/>
  <c r="C15" i="15"/>
  <c r="C18" i="15"/>
  <c r="E6" i="6"/>
  <c r="D3" i="34"/>
  <c r="C17" i="4"/>
  <c r="B4" i="52" s="1"/>
  <c r="B43" i="72" s="1"/>
  <c r="D3" i="37"/>
  <c r="D3" i="33"/>
  <c r="L18" i="9"/>
  <c r="M14" i="1"/>
  <c r="C34" i="69"/>
  <c r="K21" i="6"/>
  <c r="M21" i="6" s="1"/>
  <c r="I21" i="6" s="1"/>
  <c r="K23" i="6"/>
  <c r="M23" i="6" s="1"/>
  <c r="I23" i="6" s="1"/>
  <c r="S23" i="6" s="1"/>
  <c r="K22" i="6"/>
  <c r="M22" i="6" s="1"/>
  <c r="I22" i="6" s="1"/>
  <c r="K20" i="6"/>
  <c r="K24" i="6"/>
  <c r="M24" i="6" s="1"/>
  <c r="I24" i="6" s="1"/>
  <c r="S24" i="6" s="1"/>
  <c r="K26" i="6"/>
  <c r="M26" i="6" s="1"/>
  <c r="I26" i="6" s="1"/>
  <c r="S26" i="6" s="1"/>
  <c r="K19" i="6"/>
  <c r="S6" i="1" s="1"/>
  <c r="AY42" i="3"/>
  <c r="AY529" i="3"/>
  <c r="AY53" i="3"/>
  <c r="AY270" i="3"/>
  <c r="AY88" i="3"/>
  <c r="AY215" i="3"/>
  <c r="AY438" i="3"/>
  <c r="AY552" i="3"/>
  <c r="AY174" i="3"/>
  <c r="AY305" i="3"/>
  <c r="AY268" i="3"/>
  <c r="AY180" i="3"/>
  <c r="AY327" i="3"/>
  <c r="AY401" i="3"/>
  <c r="BE6" i="3"/>
  <c r="AY76" i="3"/>
  <c r="AY185" i="3"/>
  <c r="AY125" i="3"/>
  <c r="AY262" i="3"/>
  <c r="AY374" i="3"/>
  <c r="AY166" i="3"/>
  <c r="AY348" i="3"/>
  <c r="AY430" i="3"/>
  <c r="AY585" i="3"/>
  <c r="BG6" i="3"/>
  <c r="AY101" i="3"/>
  <c r="AY158" i="3"/>
  <c r="AY234" i="3"/>
  <c r="AY344" i="3"/>
  <c r="AY468" i="3"/>
  <c r="AY426" i="3"/>
  <c r="AY407" i="3"/>
  <c r="AY14" i="3"/>
  <c r="AY565" i="3"/>
  <c r="AY570" i="3"/>
  <c r="AY99" i="3"/>
  <c r="AY46" i="3"/>
  <c r="AY156" i="3"/>
  <c r="AY285" i="3"/>
  <c r="AY232" i="3"/>
  <c r="AY362" i="3"/>
  <c r="AY469" i="3"/>
  <c r="AY437" i="3"/>
  <c r="AY517" i="3"/>
  <c r="AY512" i="3"/>
  <c r="AY587" i="3"/>
  <c r="AY86" i="3"/>
  <c r="AY70" i="3"/>
  <c r="AY27" i="3"/>
  <c r="AY179" i="3"/>
  <c r="AY159" i="3"/>
  <c r="AY119" i="3"/>
  <c r="AY273" i="3"/>
  <c r="AY256" i="3"/>
  <c r="AY213" i="3"/>
  <c r="AY367" i="3"/>
  <c r="AY323" i="3"/>
  <c r="AY306" i="3"/>
  <c r="AY459" i="3"/>
  <c r="AY416" i="3"/>
  <c r="AY550" i="3"/>
  <c r="BC6" i="3"/>
  <c r="AY504" i="3"/>
  <c r="AY498" i="3"/>
  <c r="BJ6" i="3"/>
  <c r="AY41" i="3"/>
  <c r="AY197" i="3"/>
  <c r="AY114" i="3"/>
  <c r="AY274" i="3"/>
  <c r="AY377" i="3"/>
  <c r="AY317" i="3"/>
  <c r="AY491" i="3"/>
  <c r="AY457" i="3"/>
  <c r="AY414" i="3"/>
  <c r="AY581" i="3"/>
  <c r="AY561" i="3"/>
  <c r="AY546" i="3"/>
  <c r="AY16" i="3"/>
  <c r="AY514" i="3"/>
  <c r="AY96" i="3"/>
  <c r="AY37" i="3"/>
  <c r="AY169" i="3"/>
  <c r="AY282" i="3"/>
  <c r="AY223" i="3"/>
  <c r="AY345" i="3"/>
  <c r="AY328" i="3"/>
  <c r="AY492" i="3"/>
  <c r="AY461" i="3"/>
  <c r="AY450" i="3"/>
  <c r="AY418" i="3"/>
  <c r="AY431" i="3"/>
  <c r="AY399" i="3"/>
  <c r="AY17" i="3"/>
  <c r="AY564" i="3"/>
  <c r="AY575" i="3"/>
  <c r="AY537" i="3"/>
  <c r="AY530" i="3"/>
  <c r="AY548" i="3"/>
  <c r="AY563" i="3"/>
  <c r="AY110" i="3"/>
  <c r="AY47"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E6" i="3" s="1"/>
  <c r="S21" i="6"/>
  <c r="S22" i="6"/>
  <c r="H107" i="43"/>
  <c r="H106" i="43"/>
  <c r="H105" i="43"/>
  <c r="H102" i="43"/>
  <c r="H104" i="43"/>
  <c r="H109" i="43"/>
  <c r="H103" i="43"/>
  <c r="M109" i="43"/>
  <c r="M104" i="43"/>
  <c r="M107" i="43"/>
  <c r="M105" i="43"/>
  <c r="M106" i="43"/>
  <c r="M102" i="43"/>
  <c r="M103" i="43"/>
  <c r="N103" i="43"/>
  <c r="N106" i="43"/>
  <c r="N107" i="43"/>
  <c r="N102" i="43"/>
  <c r="N105" i="43"/>
  <c r="N104" i="43"/>
  <c r="N109" i="43"/>
  <c r="K107" i="43"/>
  <c r="K104" i="43"/>
  <c r="K106" i="43"/>
  <c r="K103" i="43"/>
  <c r="K102" i="43"/>
  <c r="K105" i="43"/>
  <c r="K109" i="43"/>
  <c r="C104" i="43"/>
  <c r="C106" i="43"/>
  <c r="C105" i="43"/>
  <c r="C102" i="43"/>
  <c r="C109" i="43"/>
  <c r="C107" i="43"/>
  <c r="C103" i="43"/>
  <c r="D117" i="43"/>
  <c r="E117" i="43" s="1"/>
  <c r="F117" i="43" s="1"/>
  <c r="G117" i="43" s="1"/>
  <c r="H117" i="43" s="1"/>
  <c r="E104" i="43"/>
  <c r="E107" i="43"/>
  <c r="E105" i="43"/>
  <c r="E109" i="43"/>
  <c r="E102" i="43"/>
  <c r="E103" i="43"/>
  <c r="E106" i="43"/>
  <c r="L109" i="43"/>
  <c r="L106" i="43"/>
  <c r="L107" i="43"/>
  <c r="L103" i="43"/>
  <c r="L102" i="43"/>
  <c r="L105" i="43"/>
  <c r="L104" i="43"/>
  <c r="J104" i="43"/>
  <c r="J105" i="43"/>
  <c r="J103" i="43"/>
  <c r="J106" i="43"/>
  <c r="J107" i="43"/>
  <c r="J102" i="43"/>
  <c r="J109" i="43"/>
  <c r="G105" i="43"/>
  <c r="G102" i="43"/>
  <c r="G103" i="43"/>
  <c r="G109" i="43"/>
  <c r="G107" i="43"/>
  <c r="G104" i="43"/>
  <c r="G106" i="43"/>
  <c r="I102" i="43"/>
  <c r="D109" i="43"/>
  <c r="D105" i="43"/>
  <c r="D106" i="43"/>
  <c r="D102" i="43"/>
  <c r="D103" i="43"/>
  <c r="D104" i="43"/>
  <c r="D107" i="43"/>
  <c r="F107" i="43"/>
  <c r="F106" i="43"/>
  <c r="F103" i="43"/>
  <c r="F104" i="43"/>
  <c r="F102" i="43"/>
  <c r="F105" i="43"/>
  <c r="F109" i="43"/>
  <c r="K4" i="4"/>
  <c r="B46" i="48" s="1"/>
  <c r="B4" i="72" s="1"/>
  <c r="B4" i="62"/>
  <c r="B71" i="72" s="1"/>
  <c r="U7" i="37"/>
  <c r="AB7" i="37"/>
  <c r="T42" i="37" s="1"/>
  <c r="G42" i="37" s="1"/>
  <c r="AB7" i="21"/>
  <c r="T48" i="21" s="1"/>
  <c r="G48" i="21" s="1"/>
  <c r="U7" i="21"/>
  <c r="S7" i="36"/>
  <c r="AA7" i="36"/>
  <c r="R36" i="36" s="1"/>
  <c r="AA7" i="35"/>
  <c r="R38" i="35" s="1"/>
  <c r="S7" i="35"/>
  <c r="W7" i="34"/>
  <c r="AC7" i="34"/>
  <c r="V49" i="34" s="1"/>
  <c r="I49" i="34" s="1"/>
  <c r="C49" i="33"/>
  <c r="B2" i="33" s="1"/>
  <c r="B3" i="33" s="1"/>
  <c r="C48" i="33"/>
  <c r="E68" i="39"/>
  <c r="D70" i="39"/>
  <c r="S7" i="37"/>
  <c r="AA7" i="37"/>
  <c r="R42" i="37" s="1"/>
  <c r="W7" i="37"/>
  <c r="AC7" i="37"/>
  <c r="V42" i="37" s="1"/>
  <c r="I42" i="37" s="1"/>
  <c r="I52" i="33"/>
  <c r="J52" i="33" s="1"/>
  <c r="I53" i="33"/>
  <c r="J53" i="33" s="1"/>
  <c r="S7" i="21"/>
  <c r="AA7" i="21"/>
  <c r="R48" i="21" s="1"/>
  <c r="AC7" i="21"/>
  <c r="V48" i="21" s="1"/>
  <c r="I48" i="21" s="1"/>
  <c r="W7" i="21"/>
  <c r="W7" i="36"/>
  <c r="AC7" i="36"/>
  <c r="V36" i="36" s="1"/>
  <c r="I36" i="36" s="1"/>
  <c r="AB7" i="36"/>
  <c r="T36" i="36" s="1"/>
  <c r="G36" i="36" s="1"/>
  <c r="U7" i="36"/>
  <c r="AC7" i="35"/>
  <c r="V38" i="35" s="1"/>
  <c r="I38" i="35" s="1"/>
  <c r="W7" i="35"/>
  <c r="AB7" i="35"/>
  <c r="T38" i="35" s="1"/>
  <c r="G38" i="35" s="1"/>
  <c r="U7" i="35"/>
  <c r="U7" i="34"/>
  <c r="AB7" i="34"/>
  <c r="T49" i="34" s="1"/>
  <c r="G49" i="34" s="1"/>
  <c r="S7" i="34"/>
  <c r="AA7" i="34"/>
  <c r="R49" i="34" s="1"/>
  <c r="N63" i="40"/>
  <c r="M65" i="40"/>
  <c r="E53" i="33"/>
  <c r="F53" i="33" s="1"/>
  <c r="E52" i="33"/>
  <c r="F52" i="33" s="1"/>
  <c r="C5" i="71"/>
  <c r="D6" i="71"/>
  <c r="P25" i="43"/>
  <c r="C49" i="67"/>
  <c r="C49" i="15"/>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B118" i="43" l="1"/>
  <c r="C118" i="43" s="1"/>
  <c r="I109" i="43"/>
  <c r="I115" i="43"/>
  <c r="J115" i="43" s="1"/>
  <c r="K115" i="43" s="1"/>
  <c r="L115" i="43" s="1"/>
  <c r="M115" i="43" s="1"/>
  <c r="I103" i="43"/>
  <c r="I107" i="43"/>
  <c r="B117" i="43"/>
  <c r="C117" i="43" s="1"/>
  <c r="G118" i="43"/>
  <c r="H118" i="43" s="1"/>
  <c r="D118" i="43"/>
  <c r="E118" i="43" s="1"/>
  <c r="F118" i="43" s="1"/>
  <c r="I106" i="43"/>
  <c r="I105"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K25" i="6"/>
  <c r="M25" i="6" s="1"/>
  <c r="I25" i="6" s="1"/>
  <c r="S25" i="6" s="1"/>
  <c r="AY62" i="3"/>
  <c r="AY79" i="3"/>
  <c r="AY493" i="3"/>
  <c r="BP6" i="3"/>
  <c r="AY545" i="3"/>
  <c r="AY551" i="3"/>
  <c r="AY515" i="3"/>
  <c r="AY522" i="3"/>
  <c r="AY538" i="3"/>
  <c r="AY505" i="3"/>
  <c r="AY415" i="3"/>
  <c r="AY402" i="3"/>
  <c r="AY434" i="3"/>
  <c r="AY445" i="3"/>
  <c r="AY476" i="3"/>
  <c r="AY487" i="3"/>
  <c r="AY313" i="3"/>
  <c r="AY369" i="3"/>
  <c r="AY266" i="3"/>
  <c r="AY129" i="3"/>
  <c r="AY189" i="3"/>
  <c r="AY80" i="3"/>
  <c r="AY519" i="3"/>
  <c r="AY584" i="3"/>
  <c r="AY510" i="3"/>
  <c r="BF6" i="3"/>
  <c r="BM6" i="3"/>
  <c r="AY427" i="3"/>
  <c r="AY446" i="3"/>
  <c r="AY488" i="3"/>
  <c r="AY332" i="3"/>
  <c r="AY349" i="3"/>
  <c r="AY210" i="3"/>
  <c r="AY290" i="3"/>
  <c r="AY177" i="3"/>
  <c r="AY24" i="3"/>
  <c r="AY104" i="3"/>
  <c r="AY554" i="3"/>
  <c r="AY586" i="3"/>
  <c r="AY511" i="3"/>
  <c r="BD6" i="3"/>
  <c r="AY429" i="3"/>
  <c r="AY448" i="3"/>
  <c r="AY490" i="3"/>
  <c r="AY338" i="3"/>
  <c r="AY354" i="3"/>
  <c r="AY391" i="3"/>
  <c r="AY224" i="3"/>
  <c r="AY241" i="3"/>
  <c r="AY277" i="3"/>
  <c r="AY128" i="3"/>
  <c r="AY148" i="3"/>
  <c r="AY184" i="3"/>
  <c r="AY38" i="3"/>
  <c r="AY55" i="3"/>
  <c r="AY91" i="3"/>
  <c r="BL6" i="3"/>
  <c r="AY560" i="3"/>
  <c r="AY558" i="3"/>
  <c r="AY456" i="3"/>
  <c r="AY346" i="3"/>
  <c r="AY378" i="3"/>
  <c r="AY249" i="3"/>
  <c r="AY135" i="3"/>
  <c r="AY192" i="3"/>
  <c r="AY63" i="3"/>
  <c r="AY578" i="3"/>
  <c r="AY542" i="3"/>
  <c r="AY524" i="3"/>
  <c r="AY506" i="3"/>
  <c r="AY439" i="3"/>
  <c r="AY458" i="3"/>
  <c r="AY471" i="3"/>
  <c r="AY364" i="3"/>
  <c r="AY287" i="3"/>
  <c r="AY48" i="3"/>
  <c r="AY494" i="3"/>
  <c r="AY571" i="3"/>
  <c r="AY411" i="3"/>
  <c r="AY472" i="3"/>
  <c r="AY242" i="3"/>
  <c r="AY109" i="3"/>
  <c r="AY219" i="3"/>
  <c r="AY278" i="3"/>
  <c r="AY165" i="3"/>
  <c r="AY33" i="3"/>
  <c r="AY92" i="3"/>
  <c r="AY544" i="3"/>
  <c r="AY463" i="3"/>
  <c r="AY217" i="3"/>
  <c r="AY470" i="3"/>
  <c r="AY155" i="3"/>
  <c r="AY250" i="3"/>
  <c r="AY523" i="3"/>
  <c r="AY580" i="3"/>
  <c r="AY324" i="3"/>
  <c r="AY161" i="3"/>
  <c r="AY373" i="3"/>
  <c r="AY126" i="3"/>
  <c r="AY404" i="3"/>
  <c r="AY489" i="3"/>
  <c r="AY276" i="3"/>
  <c r="AY355" i="3"/>
  <c r="BO6" i="3"/>
  <c r="AY182" i="3"/>
  <c r="AY286" i="3"/>
  <c r="AY227" i="3"/>
  <c r="AY507" i="3"/>
  <c r="AY29" i="3"/>
  <c r="AY275" i="3"/>
  <c r="AY341" i="3"/>
  <c r="AY480" i="3"/>
  <c r="AY419" i="3"/>
  <c r="AY536" i="3"/>
  <c r="AY532" i="3"/>
  <c r="AY64" i="3"/>
  <c r="AY113" i="3"/>
  <c r="AY361" i="3"/>
  <c r="AY479" i="3"/>
  <c r="AY131" i="3"/>
  <c r="AY335" i="3"/>
  <c r="AY409" i="3"/>
  <c r="AY260" i="3"/>
  <c r="AY372" i="3"/>
  <c r="AY310" i="3"/>
  <c r="AY420" i="3"/>
  <c r="AY549" i="3"/>
  <c r="AY533" i="3"/>
  <c r="AY97" i="3"/>
  <c r="AY61" i="3"/>
  <c r="AY44" i="3"/>
  <c r="AY190" i="3"/>
  <c r="AY154" i="3"/>
  <c r="AY133" i="3"/>
  <c r="AY283" i="3"/>
  <c r="AY247" i="3"/>
  <c r="AY230" i="3"/>
  <c r="AY397" i="3"/>
  <c r="AY360" i="3"/>
  <c r="AY56" i="3"/>
  <c r="AY295" i="3"/>
  <c r="AY353" i="3"/>
  <c r="AY475" i="3"/>
  <c r="AY462" i="3"/>
  <c r="AY398" i="3"/>
  <c r="BQ6" i="3"/>
  <c r="AY534" i="3"/>
  <c r="AY495" i="3"/>
  <c r="AY501" i="3"/>
  <c r="AY582" i="3"/>
  <c r="AY65" i="3"/>
  <c r="AY194" i="3"/>
  <c r="AY137" i="3"/>
  <c r="AY251" i="3"/>
  <c r="AY380" i="3"/>
  <c r="AY329" i="3"/>
  <c r="AY312"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387" i="3"/>
  <c r="AY363" i="3"/>
  <c r="AY412" i="3"/>
  <c r="AY66" i="3"/>
  <c r="AY303" i="3"/>
  <c r="AY244" i="3"/>
  <c r="AY481" i="3"/>
  <c r="AY562" i="3"/>
  <c r="AY89" i="3"/>
  <c r="AY36" i="3"/>
  <c r="AY146"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23" i="3"/>
  <c r="AY59" i="3"/>
  <c r="AY5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BH6" i="3"/>
  <c r="AY73" i="3"/>
  <c r="AY202" i="3"/>
  <c r="AY145" i="3"/>
  <c r="AY259" i="3"/>
  <c r="AY388" i="3"/>
  <c r="AY333" i="3"/>
  <c r="AY316" i="3"/>
  <c r="D3" i="21"/>
  <c r="D14" i="12"/>
  <c r="D17" i="12" s="1"/>
  <c r="C17" i="12" s="1"/>
  <c r="D19" i="11"/>
  <c r="C19" i="11" s="1"/>
  <c r="C20" i="11" s="1"/>
  <c r="AY83"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57" i="3"/>
  <c r="AY178" i="3"/>
  <c r="AY25" i="3"/>
  <c r="AY68" i="3"/>
  <c r="AY85" i="3"/>
  <c r="AY555" i="3"/>
  <c r="AY574" i="3"/>
  <c r="AY535" i="3"/>
  <c r="AY447" i="3"/>
  <c r="AY311" i="3"/>
  <c r="AY390" i="3"/>
  <c r="AY300" i="3"/>
  <c r="AY460" i="3"/>
  <c r="AY225" i="3"/>
  <c r="AY115" i="3"/>
  <c r="AY116" i="3"/>
  <c r="AY497" i="3"/>
  <c r="AY455" i="3"/>
  <c r="AY319" i="3"/>
  <c r="AY168" i="3"/>
  <c r="AY207" i="3"/>
  <c r="AY31" i="3"/>
  <c r="AY134" i="3"/>
  <c r="AY141" i="3"/>
  <c r="AY173" i="3"/>
  <c r="AY162" i="3"/>
  <c r="AY193" i="3"/>
  <c r="AY198" i="3"/>
  <c r="AY20" i="3"/>
  <c r="AY52" i="3"/>
  <c r="AY84" i="3"/>
  <c r="AY69" i="3"/>
  <c r="AY100" i="3"/>
  <c r="AY105" i="3"/>
  <c r="AY539" i="3"/>
  <c r="AY540" i="3"/>
  <c r="AY573" i="3"/>
  <c r="AY557" i="3"/>
  <c r="AY417" i="3"/>
  <c r="AY436" i="3"/>
  <c r="AY478" i="3"/>
  <c r="AY326" i="3"/>
  <c r="AY343" i="3"/>
  <c r="AY379" i="3"/>
  <c r="AY212" i="3"/>
  <c r="AY229" i="3"/>
  <c r="AY26" i="3"/>
  <c r="AY441" i="3"/>
  <c r="AY473" i="3"/>
  <c r="AY366" i="3"/>
  <c r="AY297" i="3"/>
  <c r="AY188" i="3"/>
  <c r="AY176" i="3"/>
  <c r="AY269" i="3"/>
  <c r="AY199" i="3"/>
  <c r="AY526" i="3"/>
  <c r="AY425" i="3"/>
  <c r="AY444" i="3"/>
  <c r="AY486" i="3"/>
  <c r="AY334" i="3"/>
  <c r="AY350" i="3"/>
  <c r="AY236" i="3"/>
  <c r="AY281" i="3"/>
  <c r="AY124" i="3"/>
  <c r="AY51" i="3"/>
  <c r="AY191" i="3"/>
  <c r="AY147" i="3"/>
  <c r="AY382" i="3"/>
  <c r="AY253" i="3"/>
  <c r="AY111" i="3"/>
  <c r="AY152" i="3"/>
  <c r="AY95" i="3"/>
  <c r="AY144" i="3"/>
  <c r="AY34" i="3"/>
  <c r="AY87" i="3"/>
  <c r="AY82" i="3"/>
  <c r="AY132" i="3"/>
  <c r="AY292" i="3"/>
  <c r="AY220" i="3"/>
  <c r="C8" i="74"/>
  <c r="C7" i="74"/>
  <c r="AY18" i="3"/>
  <c r="AY171" i="3"/>
  <c r="AY90" i="3"/>
  <c r="AY163" i="3"/>
  <c r="AY75" i="3"/>
  <c r="AY237" i="3"/>
  <c r="AY98" i="3"/>
  <c r="AY67" i="3"/>
  <c r="AY196" i="3"/>
  <c r="AY139" i="3"/>
  <c r="AY74" i="3"/>
  <c r="AY123" i="3"/>
  <c r="AY204" i="3"/>
  <c r="AY252" i="3"/>
  <c r="AY103" i="3"/>
  <c r="AY50" i="3"/>
  <c r="AY160" i="3"/>
  <c r="AY289" i="3"/>
  <c r="AY183" i="3"/>
  <c r="AY261" i="3"/>
  <c r="AY284" i="3"/>
  <c r="AY209" i="3"/>
  <c r="M7" i="1"/>
  <c r="O7" i="1" s="1"/>
  <c r="H16" i="1"/>
  <c r="Q16" i="1"/>
  <c r="G16" i="1"/>
  <c r="O6" i="1"/>
  <c r="P6" i="1" s="1"/>
  <c r="C13" i="12" s="1"/>
  <c r="E66" i="39"/>
  <c r="C19" i="15"/>
  <c r="C20" i="15" s="1"/>
  <c r="C26" i="15" s="1"/>
  <c r="AQ6" i="1"/>
  <c r="T6" i="1"/>
  <c r="AR6" i="1"/>
  <c r="M20" i="6"/>
  <c r="I20" i="6" s="1"/>
  <c r="S20" i="6" s="1"/>
  <c r="S7" i="1"/>
  <c r="S16" i="1" s="1"/>
  <c r="H22" i="6"/>
  <c r="H23" i="6"/>
  <c r="C38" i="69"/>
  <c r="C35" i="69"/>
  <c r="O14" i="1"/>
  <c r="D10" i="11"/>
  <c r="C10" i="11" s="1"/>
  <c r="D10" i="68"/>
  <c r="D20" i="12"/>
  <c r="C20" i="12" s="1"/>
  <c r="C18" i="12" s="1"/>
  <c r="D10" i="69"/>
  <c r="H21" i="6"/>
  <c r="P7" i="1"/>
  <c r="D19" i="6"/>
  <c r="D26" i="6"/>
  <c r="C18" i="4"/>
  <c r="D8" i="6"/>
  <c r="D23" i="6"/>
  <c r="D20" i="6"/>
  <c r="D5" i="6"/>
  <c r="D12" i="6"/>
  <c r="D11" i="6"/>
  <c r="D13" i="6"/>
  <c r="D28" i="6"/>
  <c r="E61" i="40"/>
  <c r="M19" i="9"/>
  <c r="C118" i="9" s="1"/>
  <c r="C14" i="74" s="1"/>
  <c r="B2" i="74" s="1"/>
  <c r="D25" i="6"/>
  <c r="D15" i="6"/>
  <c r="D22" i="6"/>
  <c r="D21" i="6"/>
  <c r="D24" i="6"/>
  <c r="D6" i="6"/>
  <c r="D9" i="6"/>
  <c r="D10" i="6"/>
  <c r="L19" i="9"/>
  <c r="D29" i="6"/>
  <c r="H26" i="6"/>
  <c r="D14" i="6"/>
  <c r="H24" i="6"/>
  <c r="R24" i="6" s="1"/>
  <c r="K27" i="6"/>
  <c r="M19" i="6"/>
  <c r="C115" i="43"/>
  <c r="D113" i="43" s="1"/>
  <c r="S4" i="43"/>
  <c r="S5" i="43"/>
  <c r="S3" i="43"/>
  <c r="C23" i="43"/>
  <c r="C21" i="43" s="1"/>
  <c r="S7" i="43"/>
  <c r="S2" i="43"/>
  <c r="S6" i="43"/>
  <c r="R50" i="34"/>
  <c r="E49" i="34"/>
  <c r="G53" i="34"/>
  <c r="H53" i="34" s="1"/>
  <c r="G54" i="34"/>
  <c r="H54" i="34" s="1"/>
  <c r="I40" i="36"/>
  <c r="J40" i="36" s="1"/>
  <c r="E48" i="21"/>
  <c r="R49" i="21"/>
  <c r="I46" i="37"/>
  <c r="J46" i="37" s="1"/>
  <c r="E42" i="37"/>
  <c r="R43" i="37"/>
  <c r="E38" i="35"/>
  <c r="R39" i="35"/>
  <c r="G52" i="21"/>
  <c r="H52" i="21" s="1"/>
  <c r="G53" i="21"/>
  <c r="H53" i="21" s="1"/>
  <c r="O63" i="40"/>
  <c r="O65" i="40" s="1"/>
  <c r="N65" i="40"/>
  <c r="J7" i="40" s="1"/>
  <c r="G42" i="35"/>
  <c r="H42" i="35" s="1"/>
  <c r="G43" i="35"/>
  <c r="H43" i="35" s="1"/>
  <c r="I42" i="35"/>
  <c r="J42" i="35" s="1"/>
  <c r="I43" i="35"/>
  <c r="J43" i="35" s="1"/>
  <c r="G40" i="36"/>
  <c r="H40" i="36" s="1"/>
  <c r="G41" i="36"/>
  <c r="H41" i="36" s="1"/>
  <c r="I52" i="21"/>
  <c r="J52" i="21" s="1"/>
  <c r="I53" i="21"/>
  <c r="J53" i="21" s="1"/>
  <c r="F68" i="39"/>
  <c r="E70" i="39"/>
  <c r="I53" i="34"/>
  <c r="J53" i="34" s="1"/>
  <c r="I54" i="34"/>
  <c r="J54" i="34" s="1"/>
  <c r="E36" i="36"/>
  <c r="R37" i="36"/>
  <c r="G46" i="37"/>
  <c r="H46" i="37" s="1"/>
  <c r="G47" i="37"/>
  <c r="H47" i="37" s="1"/>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H25" i="6" l="1"/>
  <c r="R25" i="6" s="1"/>
  <c r="H20" i="6"/>
  <c r="R20" i="6" s="1"/>
  <c r="R7" i="1" s="1"/>
  <c r="M16" i="1"/>
  <c r="R23" i="6"/>
  <c r="F27" i="11"/>
  <c r="F28" i="12"/>
  <c r="C29" i="12" s="1"/>
  <c r="D28" i="12" s="1"/>
  <c r="F27" i="68"/>
  <c r="F27" i="69"/>
  <c r="F10" i="40"/>
  <c r="H10" i="39"/>
  <c r="J10" i="40"/>
  <c r="F10" i="39"/>
  <c r="J10" i="39"/>
  <c r="H10" i="40"/>
  <c r="O16" i="1"/>
  <c r="AR7" i="1"/>
  <c r="AQ7" i="1"/>
  <c r="T7" i="1"/>
  <c r="T16" i="1" s="1"/>
  <c r="R22" i="6"/>
  <c r="C10" i="69"/>
  <c r="C8" i="69" s="1"/>
  <c r="C5" i="69" s="1"/>
  <c r="D19" i="69"/>
  <c r="C10" i="68"/>
  <c r="D19" i="68"/>
  <c r="P14" i="1"/>
  <c r="P16" i="1" s="1"/>
  <c r="C11" i="12" s="1"/>
  <c r="R21" i="6"/>
  <c r="M27" i="6"/>
  <c r="I19" i="6"/>
  <c r="D16" i="6"/>
  <c r="R26" i="6"/>
  <c r="D8" i="74"/>
  <c r="D7" i="74"/>
  <c r="D30" i="6"/>
  <c r="A7" i="51"/>
  <c r="B7" i="72" s="1"/>
  <c r="A10" i="51"/>
  <c r="B9" i="72" s="1"/>
  <c r="C4" i="52"/>
  <c r="B45" i="72" s="1"/>
  <c r="D27" i="6"/>
  <c r="D31" i="6" s="1"/>
  <c r="F50" i="11"/>
  <c r="F50" i="68"/>
  <c r="F50" i="69"/>
  <c r="W7" i="40"/>
  <c r="AC7" i="40"/>
  <c r="V42" i="40" s="1"/>
  <c r="I42" i="40" s="1"/>
  <c r="E40" i="36"/>
  <c r="F40" i="36" s="1"/>
  <c r="E41" i="36"/>
  <c r="F41" i="36" s="1"/>
  <c r="G68" i="39"/>
  <c r="F70" i="39"/>
  <c r="C38" i="35"/>
  <c r="C39" i="35"/>
  <c r="B2" i="35" s="1"/>
  <c r="B3" i="35" s="1"/>
  <c r="H7" i="40"/>
  <c r="C42" i="37"/>
  <c r="C43" i="37"/>
  <c r="B2" i="37" s="1"/>
  <c r="B3" i="37" s="1"/>
  <c r="C48" i="21"/>
  <c r="C49" i="21"/>
  <c r="B2" i="21" s="1"/>
  <c r="B3" i="21" s="1"/>
  <c r="E54" i="34"/>
  <c r="F54" i="34" s="1"/>
  <c r="E53" i="34"/>
  <c r="F53" i="34" s="1"/>
  <c r="F7" i="40"/>
  <c r="C36" i="36"/>
  <c r="C37" i="36"/>
  <c r="B2" i="36" s="1"/>
  <c r="B3" i="36" s="1"/>
  <c r="E43" i="35"/>
  <c r="F43" i="35" s="1"/>
  <c r="E42" i="35"/>
  <c r="F42" i="35" s="1"/>
  <c r="E47" i="37"/>
  <c r="F47" i="37" s="1"/>
  <c r="E46" i="37"/>
  <c r="F46" i="37" s="1"/>
  <c r="I47" i="37"/>
  <c r="J47" i="37" s="1"/>
  <c r="E52" i="21"/>
  <c r="F52" i="21" s="1"/>
  <c r="E53" i="21"/>
  <c r="F53" i="21" s="1"/>
  <c r="I41" i="36"/>
  <c r="J41" i="36" s="1"/>
  <c r="C50" i="34"/>
  <c r="B2" i="34" s="1"/>
  <c r="B3" i="34" s="1"/>
  <c r="C4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N16" i="1" l="1"/>
  <c r="L16" i="1"/>
  <c r="AB10" i="40"/>
  <c r="U10" i="40"/>
  <c r="S10" i="39"/>
  <c r="AA10" i="39"/>
  <c r="U10" i="39"/>
  <c r="AB10" i="39"/>
  <c r="C47" i="69"/>
  <c r="D45" i="69" s="1"/>
  <c r="C29" i="69"/>
  <c r="D27" i="69" s="1"/>
  <c r="W10" i="39"/>
  <c r="AC10" i="39"/>
  <c r="AC10" i="40"/>
  <c r="W10" i="40"/>
  <c r="S10" i="40"/>
  <c r="AA10" i="40"/>
  <c r="C29" i="68"/>
  <c r="D27" i="68" s="1"/>
  <c r="C47" i="68"/>
  <c r="D45" i="68" s="1"/>
  <c r="C47" i="11"/>
  <c r="D45" i="11" s="1"/>
  <c r="C28" i="11"/>
  <c r="C27" i="11" s="1"/>
  <c r="C29" i="11"/>
  <c r="D27" i="11" s="1"/>
  <c r="C12" i="12"/>
  <c r="C15" i="12"/>
  <c r="C19" i="68"/>
  <c r="D37" i="68"/>
  <c r="C19" i="69"/>
  <c r="C24" i="69" s="1"/>
  <c r="D37" i="69"/>
  <c r="C37" i="69" s="1"/>
  <c r="C33" i="69" s="1"/>
  <c r="I5" i="6"/>
  <c r="I6" i="6"/>
  <c r="H19" i="6"/>
  <c r="I27" i="6"/>
  <c r="S19" i="6"/>
  <c r="S27" i="6" s="1"/>
  <c r="U7" i="40"/>
  <c r="AB7" i="40"/>
  <c r="T42" i="40" s="1"/>
  <c r="G42" i="40" s="1"/>
  <c r="H68" i="39"/>
  <c r="G70" i="39"/>
  <c r="I46" i="40"/>
  <c r="J46" i="40" s="1"/>
  <c r="S7" i="40"/>
  <c r="AA7" i="40"/>
  <c r="R42" i="40"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22" i="11"/>
  <c r="C33" i="67"/>
  <c r="C31" i="67" s="1"/>
  <c r="J14" i="67"/>
  <c r="C57" i="67"/>
  <c r="C13" i="67"/>
  <c r="J19" i="67"/>
  <c r="J17" i="67" s="1"/>
  <c r="Q49" i="67"/>
  <c r="C36" i="67"/>
  <c r="J59" i="67"/>
  <c r="J60" i="67" s="1"/>
  <c r="C31" i="11" l="1"/>
  <c r="F34" i="11"/>
  <c r="F11" i="12"/>
  <c r="F34" i="68"/>
  <c r="C37" i="68" s="1"/>
  <c r="C20" i="68"/>
  <c r="C25" i="68" s="1"/>
  <c r="C24" i="68"/>
  <c r="C20" i="69"/>
  <c r="C25" i="69" s="1"/>
  <c r="C22" i="69" s="1"/>
  <c r="C39" i="69"/>
  <c r="C43" i="69" s="1"/>
  <c r="C42" i="69"/>
  <c r="H27" i="6"/>
  <c r="R19" i="6"/>
  <c r="E42" i="40"/>
  <c r="R43" i="40"/>
  <c r="G46" i="40"/>
  <c r="H46" i="40" s="1"/>
  <c r="G47" i="40"/>
  <c r="H47" i="40" s="1"/>
  <c r="I68" i="39"/>
  <c r="H70" i="39"/>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E6" i="76"/>
  <c r="B6" i="76"/>
  <c r="C36" i="68" l="1"/>
  <c r="C34" i="68"/>
  <c r="C37" i="11"/>
  <c r="C36" i="11"/>
  <c r="C34" i="11"/>
  <c r="C23" i="12"/>
  <c r="C14" i="12"/>
  <c r="C16" i="12" s="1"/>
  <c r="C21" i="12" s="1"/>
  <c r="C22" i="12" s="1"/>
  <c r="C41" i="69"/>
  <c r="C22" i="68"/>
  <c r="R27" i="6"/>
  <c r="R6" i="1"/>
  <c r="R16" i="1" s="1"/>
  <c r="C28" i="69"/>
  <c r="C27" i="69" s="1"/>
  <c r="C31" i="69" s="1"/>
  <c r="C46" i="69"/>
  <c r="C45" i="69" s="1"/>
  <c r="C28" i="68"/>
  <c r="C27" i="68" s="1"/>
  <c r="J68" i="39"/>
  <c r="I70" i="39"/>
  <c r="C43" i="40"/>
  <c r="C42" i="40"/>
  <c r="E47" i="40"/>
  <c r="F47" i="40" s="1"/>
  <c r="E46" i="40"/>
  <c r="F46" i="40" s="1"/>
  <c r="I47" i="40"/>
  <c r="J47" i="40"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15"/>
  <c r="L51" i="67"/>
  <c r="C31" i="68" l="1"/>
  <c r="C30" i="12"/>
  <c r="C28" i="12" s="1"/>
  <c r="C27" i="12"/>
  <c r="C25" i="12" s="1"/>
  <c r="C38" i="68"/>
  <c r="C35" i="68"/>
  <c r="C35" i="11"/>
  <c r="C38" i="11"/>
  <c r="C49" i="69"/>
  <c r="C51" i="69" s="1"/>
  <c r="C52" i="69" s="1"/>
  <c r="B2" i="69" s="1"/>
  <c r="B3" i="6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K68" i="39"/>
  <c r="J70" i="3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32" i="12" l="1"/>
  <c r="B2" i="12" s="1"/>
  <c r="C33" i="11"/>
  <c r="C39" i="11" s="1"/>
  <c r="C43" i="11" s="1"/>
  <c r="C33" i="68"/>
  <c r="C57" i="69"/>
  <c r="C56" i="69" s="1"/>
  <c r="L68" i="39"/>
  <c r="K70" i="39"/>
  <c r="Q57" i="15"/>
  <c r="Q62" i="15" s="1"/>
  <c r="Q66" i="15"/>
  <c r="Q75" i="15" s="1"/>
  <c r="Q66" i="67"/>
  <c r="Q75" i="67" s="1"/>
  <c r="Q57" i="67"/>
  <c r="Q62" i="67" s="1"/>
  <c r="B2" i="67"/>
  <c r="B3" i="67"/>
  <c r="D19" i="9"/>
  <c r="D102" i="9" l="1"/>
  <c r="D21" i="9"/>
  <c r="B3" i="12"/>
  <c r="C42" i="11"/>
  <c r="C41" i="11" s="1"/>
  <c r="C46" i="11"/>
  <c r="C45" i="11" s="1"/>
  <c r="C42" i="68"/>
  <c r="C39" i="68"/>
  <c r="M68" i="39"/>
  <c r="L70" i="39"/>
  <c r="D20" i="9"/>
  <c r="D103" i="9" l="1"/>
  <c r="C49" i="11"/>
  <c r="C51" i="11" s="1"/>
  <c r="C52" i="11" s="1"/>
  <c r="B2" i="11" s="1"/>
  <c r="B3" i="11" s="1"/>
  <c r="C43" i="68"/>
  <c r="C41" i="68" s="1"/>
  <c r="C46" i="68"/>
  <c r="C45" i="68" s="1"/>
  <c r="N68" i="39"/>
  <c r="M70" i="39"/>
  <c r="C56" i="11" l="1"/>
  <c r="C57" i="11" s="1"/>
  <c r="C49" i="68"/>
  <c r="C51" i="68" s="1"/>
  <c r="O68" i="39"/>
  <c r="O70" i="39" s="1"/>
  <c r="N70" i="39"/>
  <c r="C52" i="68" l="1"/>
  <c r="B2" i="68" s="1"/>
  <c r="F7" i="39"/>
  <c r="J7" i="39"/>
  <c r="H7" i="39"/>
  <c r="C19" i="9"/>
  <c r="C102" i="9" l="1"/>
  <c r="G19" i="9"/>
  <c r="G39" i="1" s="1"/>
  <c r="D22" i="9"/>
  <c r="C21" i="9"/>
  <c r="B3" i="68"/>
  <c r="C57" i="68"/>
  <c r="C56" i="68" s="1"/>
  <c r="AB7" i="39"/>
  <c r="T47" i="39" s="1"/>
  <c r="G47" i="39" s="1"/>
  <c r="U7" i="39"/>
  <c r="AC7" i="39"/>
  <c r="V47" i="39" s="1"/>
  <c r="I47" i="39" s="1"/>
  <c r="W7" i="39"/>
  <c r="S7" i="39"/>
  <c r="AA7" i="39"/>
  <c r="R47" i="39" s="1"/>
  <c r="D35" i="9"/>
  <c r="D34" i="9"/>
  <c r="C20" i="9"/>
  <c r="C103" i="9" l="1"/>
  <c r="G20" i="9"/>
  <c r="J20" i="9"/>
  <c r="C32" i="9"/>
  <c r="G21" i="9"/>
  <c r="I51" i="39"/>
  <c r="J51" i="39" s="1"/>
  <c r="E47" i="39"/>
  <c r="R48" i="39"/>
  <c r="G52" i="39"/>
  <c r="H52" i="39" s="1"/>
  <c r="G51" i="39"/>
  <c r="H51" i="39" s="1"/>
  <c r="H118" i="9" l="1"/>
  <c r="C35" i="9"/>
  <c r="F118" i="9" s="1"/>
  <c r="E51" i="39"/>
  <c r="F51" i="39" s="1"/>
  <c r="E52" i="39"/>
  <c r="F52" i="39" s="1"/>
  <c r="C48" i="39"/>
  <c r="C47" i="39"/>
  <c r="I52" i="39"/>
  <c r="J52" i="39" s="1"/>
  <c r="C34" i="9" l="1"/>
  <c r="D118" i="9" s="1"/>
  <c r="D4" i="52" s="1"/>
  <c r="B47" i="72" s="1"/>
  <c r="I118" i="9"/>
  <c r="H4" i="52"/>
  <c r="H119" i="9"/>
  <c r="H5" i="52" s="1"/>
  <c r="H101" i="9"/>
  <c r="D14" i="74"/>
  <c r="C104" i="9"/>
  <c r="F4" i="52"/>
  <c r="B51" i="72" s="1"/>
  <c r="F119" i="9"/>
  <c r="F5" i="52" s="1"/>
  <c r="B53" i="72" s="1"/>
  <c r="G118" i="9"/>
  <c r="G4" i="52" s="1"/>
  <c r="B52"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19" i="9" l="1"/>
  <c r="D5" i="52" s="1"/>
  <c r="B49" i="72" s="1"/>
  <c r="B5" i="74"/>
  <c r="F14" i="74"/>
  <c r="E14" i="74"/>
  <c r="M48" i="9"/>
  <c r="D5" i="53"/>
  <c r="D45" i="9"/>
  <c r="H107" i="9"/>
  <c r="I4" i="52"/>
  <c r="C105" i="9"/>
  <c r="E118" i="9"/>
  <c r="E4" i="52" s="1"/>
  <c r="B48" i="72" s="1"/>
  <c r="H102" i="9"/>
  <c r="D7" i="53" s="1"/>
  <c r="B21" i="72" s="1"/>
  <c r="M49" i="9" l="1"/>
  <c r="D122" i="9"/>
  <c r="H108" i="9"/>
  <c r="D15" i="53" s="1"/>
  <c r="B31" i="72" s="1"/>
  <c r="D13" i="53"/>
  <c r="C64" i="9"/>
  <c r="C63" i="9" s="1"/>
  <c r="C67" i="9" s="1"/>
  <c r="C68" i="9" s="1"/>
  <c r="D54" i="9" s="1"/>
  <c r="C85" i="9"/>
  <c r="C93" i="9"/>
  <c r="C86" i="9" s="1"/>
  <c r="D55" i="9"/>
  <c r="M53" i="9" s="1"/>
  <c r="D52" i="9"/>
  <c r="C72" i="9"/>
  <c r="D53" i="9"/>
  <c r="C78" i="9"/>
  <c r="C73" i="9" s="1"/>
  <c r="B20" i="72"/>
  <c r="D6" i="53"/>
  <c r="B22" i="72" s="1"/>
  <c r="D5" i="74"/>
  <c r="C5" i="74"/>
  <c r="C79" i="9" l="1"/>
  <c r="C95" i="9"/>
  <c r="B30" i="72"/>
  <c r="D14" i="53"/>
  <c r="B32" i="72" s="1"/>
  <c r="G14" i="74"/>
  <c r="B6" i="74" s="1"/>
  <c r="D123" i="9"/>
  <c r="D9" i="52" s="1"/>
  <c r="D8" i="52"/>
  <c r="L66" i="9"/>
  <c r="M66" i="9" s="1"/>
  <c r="L65" i="9"/>
  <c r="M65" i="9" s="1"/>
  <c r="L67" i="9"/>
  <c r="M67" i="9" s="1"/>
  <c r="L68" i="9"/>
  <c r="M68" i="9" s="1"/>
  <c r="L63" i="9"/>
  <c r="M63" i="9" s="1"/>
  <c r="L64" i="9"/>
  <c r="M64" i="9" s="1"/>
  <c r="M69" i="9" l="1"/>
  <c r="N69" i="9" s="1"/>
  <c r="C96" i="9"/>
  <c r="E96" i="9" s="1"/>
  <c r="E97" i="9" s="1"/>
  <c r="C6" i="74"/>
  <c r="D6" i="74"/>
  <c r="C80" i="9"/>
  <c r="E80" i="9" s="1"/>
  <c r="E81" i="9" s="1"/>
  <c r="C81" i="9" l="1"/>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<sst xmlns="http://schemas.openxmlformats.org/spreadsheetml/2006/main" count="7339" uniqueCount="3104">
  <si>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</si>
  <si>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</si>
  <si>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</si>
  <si>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</si>
  <si>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</si>
  <si>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</si>
  <si>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</si>
  <si>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</si>
  <si>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</si>
  <si>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</si>
  <si>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</si>
  <si>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</si>
  <si>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</si>
  <si>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</si>
  <si>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</si>
  <si>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</si>
  <si>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</si>
  <si>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</si>
  <si>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</si>
  <si>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</si>
  <si>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</si>
  <si>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</si>
  <si>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</si>
  <si>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</si>
  <si>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</si>
  <si>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</si>
  <si>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</si>
  <si>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</si>
  <si>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</si>
  <si>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</si>
  <si>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</si>
  <si>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</si>
  <si>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</si>
  <si>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</si>
  <si>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</si>
  <si>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</si>
  <si>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</si>
  <si>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</si>
  <si>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</si>
  <si>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</si>
  <si>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</si>
  <si>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</si>
  <si>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</si>
  <si>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</si>
  <si>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</si>
  <si>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</si>
  <si>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</si>
  <si>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</si>
  <si>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</si>
  <si>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</si>
  <si>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</si>
  <si>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</si>
  <si>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</si>
  <si>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</si>
  <si>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</si>
  <si>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</si>
  <si>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</si>
  <si>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</si>
  <si>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</si>
  <si>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</si>
  <si>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</si>
  <si>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</si>
  <si>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</si>
  <si>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</si>
  <si>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</si>
  <si>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</si>
  <si>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</si>
  <si>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</si>
  <si>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</si>
  <si>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</si>
  <si>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</si>
  <si>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</si>
  <si>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</si>
  <si>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</si>
  <si>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</si>
  <si>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</si>
  <si>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</si>
  <si>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</si>
  <si>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</si>
  <si>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</si>
  <si>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</si>
  <si>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</si>
  <si>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</si>
  <si>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</si>
  <si>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</si>
  <si>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</si>
  <si>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</si>
  <si>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</si>
  <si>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</si>
  <si>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</si>
  <si>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</si>
  <si>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</si>
  <si>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</si>
  <si>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</si>
  <si>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</si>
  <si>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</si>
  <si>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</si>
  <si>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</si>
  <si>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</si>
  <si>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</si>
  <si>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</si>
  <si>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</si>
  <si>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</si>
  <si>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</si>
  <si>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</si>
  <si>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</si>
  <si>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</si>
  <si>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</si>
  <si>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</si>
  <si>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</si>
  <si>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</si>
  <si>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</si>
  <si>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</si>
  <si>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</si>
  <si>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</si>
  <si>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</si>
  <si>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</si>
  <si>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</si>
  <si>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</si>
  <si>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</si>
  <si>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</si>
  <si>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</si>
  <si>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</si>
  <si>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</si>
  <si>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</si>
  <si>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</si>
  <si>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</si>
  <si>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</si>
  <si>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</si>
  <si>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</si>
  <si>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</si>
  <si>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</si>
  <si>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</si>
  <si>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</si>
  <si>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</si>
  <si>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</si>
  <si>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</si>
  <si>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</si>
  <si>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</si>
  <si>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</si>
  <si>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</si>
  <si>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</si>
  <si>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</si>
  <si>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</si>
  <si>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</si>
  <si>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</si>
  <si>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</si>
  <si>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</si>
  <si>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</si>
  <si>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</si>
  <si>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</si>
  <si>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</si>
  <si>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</si>
  <si>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</si>
  <si>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</si>
  <si>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</si>
  <si>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</si>
  <si>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</si>
  <si>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</si>
  <si>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</si>
  <si>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</si>
  <si>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</si>
  <si>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</si>
  <si>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</si>
  <si>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</si>
  <si>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</si>
  <si>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</si>
  <si>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</si>
  <si>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</si>
  <si>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</si>
  <si>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</si>
  <si>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</si>
  <si>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</si>
  <si>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</si>
  <si>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</si>
  <si>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</si>
  <si>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</si>
  <si>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</si>
  <si>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</si>
  <si>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</si>
  <si>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</si>
  <si>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</si>
  <si>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</si>
  <si>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</si>
  <si>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</si>
  <si>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</si>
  <si>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</si>
  <si>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</si>
  <si>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</si>
  <si>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</si>
  <si>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</si>
  <si>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</si>
  <si>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</si>
  <si>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</si>
  <si>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</si>
  <si>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</si>
  <si>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</si>
  <si>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</si>
  <si>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</si>
  <si>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</si>
  <si>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</si>
  <si>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</si>
  <si>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</si>
  <si>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</si>
  <si>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</si>
  <si>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</si>
  <si>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</si>
  <si>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</si>
  <si>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</si>
  <si>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</si>
  <si>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</si>
  <si>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</si>
  <si>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</si>
  <si>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</si>
  <si>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</si>
  <si>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</si>
  <si>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</si>
  <si>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</si>
  <si>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</si>
  <si>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</si>
  <si>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</si>
  <si>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</si>
  <si>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</si>
  <si>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</si>
  <si>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</si>
  <si>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</si>
  <si>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</si>
  <si>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</si>
  <si>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</si>
  <si>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</si>
  <si>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</si>
  <si>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</si>
  <si>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</si>
  <si>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</si>
  <si>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</si>
  <si>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</si>
  <si>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</si>
  <si>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</si>
  <si>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</si>
  <si>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</si>
  <si>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</si>
  <si>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</si>
  <si>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</si>
  <si>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</si>
  <si>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</si>
  <si>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</si>
  <si>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</si>
  <si>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</si>
  <si>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</si>
  <si>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</si>
  <si>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</si>
  <si>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</si>
  <si>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</si>
  <si>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</si>
  <si>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</si>
  <si>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</si>
  <si>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</si>
  <si>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</si>
  <si>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</si>
  <si>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</si>
  <si>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</si>
  <si>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</si>
  <si>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</si>
  <si>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</si>
  <si>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</si>
  <si>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</si>
  <si>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</si>
  <si>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</si>
  <si>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</si>
  <si>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</si>
  <si>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</si>
  <si>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</si>
  <si>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</si>
  <si>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</si>
  <si>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</si>
  <si>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</si>
  <si>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</si>
  <si>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</si>
  <si>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</si>
  <si>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</si>
  <si>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</si>
  <si>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</si>
  <si>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</si>
  <si>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</si>
  <si>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</si>
  <si>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</si>
  <si>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</si>
  <si>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</si>
  <si>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</si>
  <si>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</si>
  <si>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</si>
  <si>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</si>
  <si>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</si>
  <si>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</si>
  <si>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</si>
  <si>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</si>
  <si>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</si>
  <si>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</si>
  <si>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</si>
  <si>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</si>
  <si>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</si>
  <si>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</si>
  <si>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</si>
  <si>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</si>
  <si>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</si>
  <si>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</si>
  <si>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</si>
  <si>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</si>
  <si>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</si>
  <si>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</si>
  <si>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</si>
  <si>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</si>
  <si>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</si>
  <si>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</si>
  <si>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</si>
  <si>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</si>
  <si>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</si>
  <si>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</si>
  <si>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</si>
  <si>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</si>
  <si>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</si>
  <si>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</si>
  <si>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</si>
  <si>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</si>
  <si>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</si>
  <si>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</si>
  <si>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</si>
  <si>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</si>
  <si>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</si>
  <si>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</si>
  <si>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</si>
  <si>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</si>
  <si>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</si>
  <si>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</si>
  <si>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</si>
  <si>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</si>
  <si>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</si>
  <si>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</si>
  <si>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</si>
  <si>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</si>
  <si>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</si>
  <si>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</si>
  <si>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</si>
  <si>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</si>
  <si>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</si>
  <si>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</si>
  <si>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</si>
  <si>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</si>
  <si>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</si>
  <si>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</si>
  <si>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</si>
  <si>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</si>
  <si>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</si>
  <si>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</si>
  <si>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</si>
  <si>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</si>
  <si>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</si>
  <si>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</si>
  <si>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</si>
  <si>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</si>
  <si>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</si>
  <si>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</si>
  <si>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</si>
  <si>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</si>
  <si>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</si>
  <si>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</si>
  <si>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</si>
  <si>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</si>
  <si>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</si>
  <si>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</si>
  <si>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</si>
  <si>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</si>
  <si>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</si>
  <si>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</si>
  <si>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</si>
  <si>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</si>
  <si>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</si>
  <si>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</si>
  <si>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</si>
  <si>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</si>
  <si>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</si>
  <si>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</si>
  <si>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</si>
  <si>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</si>
  <si>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</si>
  <si>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</si>
  <si>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</si>
  <si>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</si>
  <si>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</si>
  <si>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</si>
  <si>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</si>
  <si>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</si>
  <si>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</si>
  <si>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</si>
  <si>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</si>
  <si>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</si>
  <si>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</si>
  <si>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</si>
  <si>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</si>
  <si>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</si>
  <si>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</si>
  <si>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</si>
  <si>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</si>
  <si>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</si>
  <si>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</si>
  <si>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</si>
  <si>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</si>
  <si>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</si>
  <si>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</si>
  <si>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</si>
  <si>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</si>
  <si>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</si>
  <si>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</si>
  <si>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</si>
  <si>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</si>
  <si>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</si>
  <si>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</si>
  <si>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</si>
  <si>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</si>
  <si>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</si>
  <si>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</si>
  <si>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</si>
  <si>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</si>
  <si>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</si>
  <si>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</si>
  <si>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</si>
  <si>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</si>
  <si>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</si>
  <si>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</si>
  <si>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</si>
  <si>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</si>
  <si>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</si>
  <si>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</si>
  <si>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</si>
  <si>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</si>
  <si>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</si>
  <si>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</si>
  <si>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</si>
  <si>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</si>
  <si>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</si>
  <si>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</si>
  <si>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</si>
  <si>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</si>
  <si>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</si>
  <si>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</si>
  <si>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</si>
  <si>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</si>
  <si>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</si>
  <si>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</si>
  <si>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</si>
  <si>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</si>
  <si>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</si>
  <si>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</si>
  <si>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</si>
  <si>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</si>
  <si>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</si>
  <si>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</si>
  <si>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</si>
  <si>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</si>
  <si>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</si>
  <si>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</si>
  <si>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</si>
  <si>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</si>
  <si>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</si>
  <si>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</si>
  <si>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</si>
  <si>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</si>
  <si>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</si>
  <si>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</si>
  <si>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</si>
  <si>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</si>
  <si>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</si>
  <si>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</si>
  <si>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</si>
  <si>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</si>
  <si>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</si>
  <si>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</si>
  <si>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</si>
  <si>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</si>
  <si>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</si>
  <si>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</si>
  <si>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</si>
  <si>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</si>
  <si>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</si>
  <si>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</si>
  <si>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</si>
  <si>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</si>
  <si>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</si>
  <si>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</si>
  <si>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</si>
  <si>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</si>
  <si>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</si>
  <si>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</si>
  <si>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</si>
  <si>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</si>
  <si>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</si>
  <si>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</si>
  <si>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</si>
  <si>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</si>
  <si>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</si>
  <si>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</si>
  <si>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</si>
  <si>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</si>
  <si>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</si>
  <si>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</si>
  <si>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</si>
  <si>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</si>
  <si>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</si>
  <si>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</si>
  <si>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</si>
  <si>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</si>
  <si>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</si>
  <si>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</si>
  <si>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</si>
  <si>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</si>
  <si>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</si>
  <si>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</si>
  <si>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</si>
  <si>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</si>
  <si>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</si>
  <si>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</si>
  <si>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</si>
  <si>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</si>
  <si>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</si>
  <si>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</si>
  <si>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</si>
  <si>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</si>
  <si>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</si>
  <si>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</si>
  <si>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</si>
  <si>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</si>
  <si>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</si>
  <si>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</si>
  <si>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</si>
  <si>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</si>
  <si>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</si>
  <si>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</si>
  <si>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</si>
  <si>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</si>
  <si>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</si>
  <si>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</si>
  <si>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</si>
  <si>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</si>
  <si>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</si>
  <si>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</si>
  <si>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</si>
  <si>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</si>
  <si>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</si>
  <si>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</si>
  <si>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</si>
  <si>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</si>
  <si>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</si>
  <si>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</si>
  <si>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</si>
  <si>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</si>
  <si>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</si>
  <si>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</si>
  <si>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</si>
  <si>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</si>
  <si>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</si>
  <si>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</si>
  <si>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</si>
  <si>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</si>
  <si>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</si>
  <si>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</si>
  <si>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</si>
  <si>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</si>
  <si>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</si>
  <si>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</si>
  <si>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</si>
  <si>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</si>
  <si>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</si>
  <si>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</si>
  <si>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</si>
  <si>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</si>
  <si>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</si>
  <si>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</si>
  <si>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</si>
  <si>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</si>
  <si>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</si>
  <si>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</si>
  <si>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</si>
  <si>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</si>
  <si>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</si>
  <si>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</si>
  <si>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</si>
  <si>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</si>
  <si>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</si>
  <si>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</si>
  <si>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</si>
  <si>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</si>
  <si>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</si>
  <si>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</si>
  <si>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</si>
  <si>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</si>
  <si>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</si>
  <si>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</si>
  <si>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</si>
  <si>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</si>
  <si>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</si>
  <si>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</si>
  <si>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</si>
  <si>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</si>
  <si>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</si>
  <si>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</si>
  <si>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</si>
  <si>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</si>
  <si>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</si>
  <si>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</si>
  <si>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</si>
  <si>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</si>
  <si>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</si>
  <si>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</si>
  <si>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</si>
  <si>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</si>
  <si>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</si>
  <si>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</si>
  <si>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</si>
  <si>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</si>
  <si>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</si>
  <si>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</si>
  <si>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</si>
  <si>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</si>
  <si>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</si>
  <si>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</si>
  <si>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</si>
  <si>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</si>
  <si>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</si>
  <si>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</si>
  <si>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</si>
  <si>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</si>
  <si>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</si>
  <si>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</si>
  <si>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</si>
  <si>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</si>
  <si>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</si>
  <si>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</si>
  <si>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</si>
  <si>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</si>
  <si>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</si>
  <si>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</si>
  <si>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</si>
  <si>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</si>
  <si>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</si>
  <si>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</si>
  <si>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</si>
  <si>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</si>
  <si>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</si>
  <si>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</si>
  <si>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</si>
  <si>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</si>
  <si>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</si>
  <si>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</si>
  <si>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</si>
  <si>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</si>
  <si>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</si>
  <si>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</si>
  <si>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</si>
  <si>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</si>
  <si>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</si>
  <si>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</si>
  <si>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</si>
  <si>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</si>
  <si>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</si>
  <si>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</si>
  <si>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</si>
  <si>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</si>
  <si>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</si>
  <si>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</si>
  <si>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</si>
  <si>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</si>
  <si>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</si>
  <si>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</si>
  <si>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</si>
  <si>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</si>
  <si>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</si>
  <si>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</si>
  <si>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</si>
  <si>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</si>
  <si>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</si>
  <si>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</si>
  <si>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</si>
  <si>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</si>
  <si>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</si>
  <si>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</si>
  <si>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</si>
  <si>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</si>
  <si>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</si>
  <si>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</si>
  <si>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</si>
  <si>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</si>
  <si>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</si>
  <si>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</si>
  <si>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</si>
  <si>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</si>
  <si>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</si>
  <si>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</si>
  <si>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</si>
  <si>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</si>
  <si>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</si>
  <si>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</si>
  <si>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</si>
  <si>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</si>
  <si>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</si>
  <si>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</si>
  <si>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</si>
  <si>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</si>
  <si>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</si>
  <si>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</si>
  <si>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</si>
  <si>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</si>
  <si>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</si>
  <si>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</si>
  <si>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</si>
  <si>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</si>
  <si>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</si>
  <si>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</si>
  <si>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</si>
  <si>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</si>
  <si>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</si>
  <si>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</si>
  <si>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</si>
  <si>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</si>
  <si>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</si>
  <si>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</si>
  <si>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</si>
  <si>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</si>
  <si>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</si>
  <si>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</si>
  <si>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</si>
  <si>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</si>
  <si>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</si>
  <si>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</si>
  <si>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</si>
  <si>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</si>
  <si>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</si>
  <si>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</si>
  <si>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</si>
  <si>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</si>
  <si>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</si>
  <si>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</si>
  <si>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</si>
  <si>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</si>
  <si>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</si>
  <si>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</si>
  <si>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</si>
  <si>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</si>
  <si>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</si>
  <si>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</si>
  <si>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</si>
  <si>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</si>
  <si>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</si>
  <si>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</si>
  <si>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</si>
  <si>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</si>
  <si>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</si>
  <si>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</si>
  <si>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</si>
  <si>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</si>
  <si>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</si>
  <si>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</si>
  <si>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</si>
  <si>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</si>
  <si>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</si>
  <si>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</si>
  <si>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</si>
  <si>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</si>
  <si>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</si>
  <si>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</si>
  <si>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</si>
  <si>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</si>
  <si>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</si>
  <si>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</si>
  <si>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</si>
  <si>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</si>
  <si>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</si>
  <si>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</si>
  <si>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</si>
  <si>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</si>
  <si>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</si>
  <si>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</si>
  <si>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</si>
  <si>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</si>
  <si>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</si>
  <si>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</si>
  <si>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</si>
  <si>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</si>
  <si>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</si>
  <si>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</si>
  <si>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</si>
  <si>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</si>
  <si>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</si>
  <si>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</si>
  <si>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</si>
  <si>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</si>
  <si>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</si>
  <si>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</si>
  <si>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</si>
  <si>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</si>
  <si>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</si>
  <si>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</si>
  <si>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</si>
  <si>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</si>
  <si>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</si>
  <si>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</si>
  <si>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</si>
  <si>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</si>
  <si>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</si>
  <si>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</si>
  <si>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</si>
  <si>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</si>
  <si>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</si>
  <si>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</si>
  <si>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</si>
  <si>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</si>
  <si>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</si>
  <si>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</si>
  <si>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</si>
  <si>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</si>
  <si>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</si>
  <si>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</si>
  <si>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</si>
  <si>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</si>
  <si>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</si>
  <si>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</si>
  <si>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</si>
  <si>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</si>
  <si>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</si>
  <si>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</si>
  <si>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</si>
  <si>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</si>
  <si>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</si>
  <si>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</si>
  <si>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</si>
  <si>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</si>
  <si>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</si>
  <si>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</si>
  <si>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</si>
  <si>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</si>
  <si>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</si>
  <si>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</si>
  <si>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</si>
  <si>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</si>
  <si>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</si>
  <si>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</si>
  <si>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</si>
  <si>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</si>
  <si>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</si>
  <si>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</si>
  <si>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</si>
  <si>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</si>
  <si>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</si>
  <si>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</si>
  <si>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</si>
  <si>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</si>
  <si>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</si>
  <si>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</si>
  <si>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</si>
  <si>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</si>
  <si>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</si>
  <si>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</si>
  <si>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</si>
  <si>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</si>
  <si>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</si>
  <si>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</si>
  <si>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</si>
  <si>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</si>
  <si>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</si>
  <si>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</si>
  <si>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</si>
  <si>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</si>
  <si>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</si>
  <si>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</si>
  <si>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</si>
  <si>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</si>
  <si>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</si>
  <si>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</si>
  <si>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</si>
  <si>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</si>
  <si>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</si>
  <si>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</si>
  <si>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</si>
  <si>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</si>
  <si>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</si>
  <si>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</si>
  <si>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</si>
  <si>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</si>
  <si>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</si>
  <si>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</si>
  <si>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</si>
  <si>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</si>
  <si>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</si>
  <si>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</si>
  <si>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</si>
  <si>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</si>
  <si>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</si>
  <si>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</si>
  <si>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</si>
  <si>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</si>
  <si>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</si>
  <si>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</si>
  <si>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</si>
  <si>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</si>
  <si>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</si>
  <si>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</si>
  <si>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</si>
  <si>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</si>
  <si>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</si>
  <si>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</si>
  <si>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</si>
  <si>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</si>
  <si>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</si>
  <si>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</si>
  <si>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</si>
  <si>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</si>
  <si>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</si>
  <si>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</si>
  <si>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</si>
  <si>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</si>
  <si>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</si>
  <si>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</si>
  <si>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</si>
  <si>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</si>
  <si>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</si>
  <si>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</si>
  <si>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</si>
  <si>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</si>
  <si>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</si>
  <si>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</si>
  <si>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</si>
  <si>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</si>
  <si>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</si>
  <si>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</si>
  <si>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</si>
  <si>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</si>
  <si>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</si>
  <si>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</si>
  <si>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</si>
  <si>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</si>
  <si>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</si>
  <si>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</si>
  <si>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</si>
  <si>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</si>
  <si>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</si>
  <si>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</si>
  <si>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</si>
  <si>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</si>
  <si>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</si>
  <si>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</si>
  <si>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</si>
  <si>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</si>
  <si>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</si>
  <si>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</si>
  <si>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</si>
  <si>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</si>
  <si>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</si>
  <si>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</si>
  <si>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</si>
  <si>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</si>
  <si>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</si>
  <si>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</si>
  <si>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</si>
  <si>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</si>
  <si>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</si>
  <si>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</si>
  <si>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</si>
  <si>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</si>
  <si>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</si>
  <si>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</si>
  <si>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</si>
  <si>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</si>
  <si>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</si>
  <si>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</si>
  <si>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</si>
  <si>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</si>
  <si>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</si>
  <si>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</si>
  <si>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</si>
  <si>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</si>
  <si>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</si>
  <si>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</si>
  <si>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</si>
  <si>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</si>
  <si>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</si>
  <si>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</si>
  <si>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</si>
  <si>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</si>
  <si>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</si>
  <si>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</si>
  <si>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</si>
  <si>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</si>
  <si>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</si>
  <si>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</si>
  <si>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</si>
  <si>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</si>
  <si>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</si>
  <si>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</si>
  <si>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</si>
  <si>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</si>
  <si>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</si>
  <si>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</si>
  <si>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</si>
  <si>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</si>
  <si>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</si>
  <si>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</si>
  <si>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</si>
  <si>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</si>
  <si>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</si>
  <si>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</si>
  <si>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</si>
  <si>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</si>
  <si>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</si>
  <si>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</si>
  <si>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</si>
  <si>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</si>
  <si>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</si>
  <si>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</si>
  <si>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</si>
  <si>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</si>
  <si>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</si>
  <si>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</si>
  <si>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</si>
  <si>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</si>
  <si>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</si>
  <si>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</si>
  <si>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</si>
  <si>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</si>
  <si>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</si>
  <si>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</si>
  <si>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</si>
  <si>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</si>
  <si>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</si>
  <si>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</si>
  <si>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</si>
  <si>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</si>
  <si>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</si>
  <si>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</si>
  <si>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</si>
  <si>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</si>
  <si>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</si>
  <si>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</si>
  <si>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</si>
  <si>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</si>
  <si>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</si>
  <si>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</si>
  <si>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</si>
  <si>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</si>
  <si>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</si>
  <si>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</si>
  <si>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</si>
  <si>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</si>
  <si>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</si>
  <si>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</si>
  <si>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</si>
  <si>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</si>
  <si>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</si>
  <si>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</si>
  <si>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</si>
  <si>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</si>
  <si>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</si>
  <si>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</si>
  <si>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</si>
  <si>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</si>
  <si>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</si>
  <si>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</si>
  <si>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</si>
  <si>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</si>
  <si>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</si>
  <si>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</si>
  <si>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</si>
  <si>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</si>
  <si>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</si>
  <si>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</si>
  <si>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</si>
  <si>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</si>
  <si>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</si>
  <si>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</si>
  <si>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</si>
  <si>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</si>
  <si>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</si>
  <si>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</si>
  <si>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</si>
  <si>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</si>
  <si>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</si>
  <si>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</si>
  <si>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</si>
  <si>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</si>
  <si>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</si>
  <si>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</si>
  <si>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</si>
  <si>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</si>
  <si>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</si>
  <si>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</si>
  <si>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</si>
  <si>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</si>
  <si>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</si>
  <si>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</si>
  <si>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</si>
  <si>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</si>
  <si>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</si>
  <si>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</si>
  <si>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</si>
  <si>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</si>
  <si>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</si>
  <si>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</si>
  <si>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</si>
  <si>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</si>
  <si>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</si>
  <si>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</si>
  <si>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</si>
  <si>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</si>
  <si>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</si>
  <si>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</si>
  <si>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</si>
  <si>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</si>
  <si>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</si>
  <si>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</si>
  <si>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</si>
  <si>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</si>
  <si>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</si>
  <si>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</si>
  <si>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</si>
  <si>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</si>
  <si>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</si>
  <si>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</si>
  <si>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</si>
  <si>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</si>
  <si>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</si>
  <si>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</si>
  <si>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</si>
  <si>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</si>
  <si>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</si>
  <si>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</si>
  <si>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</si>
  <si>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</si>
  <si>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</si>
  <si>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</si>
  <si>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</si>
  <si>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</si>
  <si>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</si>
  <si>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</si>
  <si>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</si>
  <si>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</si>
  <si>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</si>
  <si>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</si>
  <si>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</si>
  <si>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</si>
  <si>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</si>
  <si>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</si>
  <si>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</si>
  <si>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</si>
  <si>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</si>
  <si>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</si>
  <si>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</si>
  <si>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</si>
  <si>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</si>
  <si>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</si>
  <si>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</si>
  <si>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</si>
  <si>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</si>
  <si>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</si>
  <si>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</si>
  <si>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</si>
  <si>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</si>
  <si>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</si>
  <si>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</si>
  <si>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</si>
  <si>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</si>
  <si>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</si>
  <si>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</si>
  <si>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</si>
  <si>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</si>
  <si>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</si>
  <si>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</si>
  <si>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</si>
  <si>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</si>
  <si>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</si>
  <si>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</si>
  <si>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</si>
  <si>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</si>
  <si>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</si>
  <si>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</si>
  <si>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</si>
  <si>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</si>
  <si>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</si>
  <si>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</si>
  <si>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</si>
  <si>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</si>
  <si>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</si>
  <si>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</si>
  <si>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</si>
  <si>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</si>
  <si>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</si>
  <si>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</si>
  <si>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</si>
  <si>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</si>
  <si>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</si>
  <si>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</si>
  <si>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</si>
  <si>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</si>
  <si>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</si>
  <si>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</si>
  <si>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</si>
  <si>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</si>
  <si>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</si>
  <si>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</si>
  <si>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</si>
  <si>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</si>
  <si>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</si>
  <si>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</si>
  <si>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</si>
  <si>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</si>
  <si>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</si>
  <si>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</si>
  <si>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</si>
  <si>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</si>
  <si>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</si>
  <si>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</si>
  <si>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</si>
  <si>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</si>
  <si>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</si>
  <si>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</si>
  <si>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</si>
  <si>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</si>
  <si>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</si>
  <si>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</si>
  <si>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</si>
  <si>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</si>
  <si>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</si>
  <si>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</si>
  <si>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</si>
  <si>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</si>
  <si>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</si>
  <si>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</si>
  <si>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</si>
  <si>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</si>
  <si>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</si>
  <si>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</si>
  <si>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</si>
  <si>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</si>
  <si>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</si>
  <si>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</si>
  <si>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</si>
  <si>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</si>
  <si>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</si>
  <si>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</si>
  <si>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</si>
  <si>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</si>
  <si>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</si>
  <si>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</si>
  <si>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</si>
  <si>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</si>
  <si>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</si>
  <si>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</si>
  <si>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</si>
  <si>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</si>
  <si>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</si>
  <si>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</si>
  <si>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</si>
  <si>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</si>
  <si>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</si>
  <si>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</si>
  <si>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</si>
  <si>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</si>
  <si>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</si>
  <si>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</si>
  <si>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</si>
  <si>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</si>
  <si>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</si>
  <si>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</si>
  <si>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</si>
  <si>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</si>
  <si>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</si>
  <si>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</si>
  <si>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</si>
  <si>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</si>
  <si>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</si>
  <si>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</si>
  <si>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</si>
  <si>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</si>
  <si>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</si>
  <si>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</si>
  <si>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</si>
  <si>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</si>
  <si>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</si>
  <si>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</si>
  <si>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</si>
  <si>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</si>
  <si>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</si>
  <si>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</si>
  <si>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</si>
  <si>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</si>
  <si>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</si>
  <si>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</si>
  <si>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</si>
  <si>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</si>
  <si>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</si>
  <si>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</si>
  <si>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</si>
  <si>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</si>
  <si>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</si>
  <si>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</si>
  <si>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</si>
  <si>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</si>
  <si>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</si>
  <si>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</si>
  <si>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</si>
  <si>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</si>
  <si>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</si>
  <si>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</si>
  <si>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</si>
  <si>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</si>
  <si>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</si>
  <si>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</si>
  <si>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</si>
  <si>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</si>
  <si>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</si>
  <si>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</si>
  <si>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</si>
  <si>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</si>
  <si>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</si>
  <si>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</si>
  <si>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</si>
  <si>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</si>
  <si>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</si>
  <si>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</si>
  <si>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</si>
  <si>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</si>
  <si>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</si>
  <si>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</si>
  <si>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</si>
  <si>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</si>
  <si>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</si>
  <si>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</si>
  <si>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</si>
  <si>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</si>
  <si>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</si>
  <si>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</si>
  <si>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</si>
  <si>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</si>
  <si>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</si>
  <si>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</si>
  <si>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</si>
  <si>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</si>
  <si>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</si>
  <si>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</si>
  <si>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</si>
  <si>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</si>
  <si>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</si>
  <si>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</si>
  <si>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</si>
  <si>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</si>
  <si>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</si>
  <si>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</si>
  <si>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</si>
  <si>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</si>
  <si>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</si>
  <si>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</si>
  <si>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</si>
  <si>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</si>
  <si>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</si>
  <si>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</si>
  <si>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</si>
  <si>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</si>
  <si>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</si>
  <si>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</si>
  <si>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</si>
  <si>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</si>
  <si>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</si>
  <si>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</si>
  <si>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</si>
  <si>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</si>
  <si>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</si>
  <si>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</si>
  <si>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</si>
  <si>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</si>
  <si>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</si>
  <si>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</si>
  <si>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</si>
  <si>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</si>
  <si>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</si>
  <si>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</si>
  <si>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</si>
  <si>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</si>
  <si>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</si>
  <si>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</si>
  <si>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</si>
  <si>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</si>
  <si>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</si>
  <si>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</si>
  <si>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</si>
  <si>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</si>
  <si>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</si>
  <si>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</si>
  <si>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</si>
  <si>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</si>
  <si>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</si>
  <si>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</si>
  <si>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</si>
  <si>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</si>
  <si>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</si>
  <si>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</si>
  <si>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</si>
  <si>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</si>
  <si>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</si>
  <si>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</si>
  <si>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</si>
  <si>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</si>
  <si>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</si>
  <si>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</si>
  <si>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</si>
  <si>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</si>
  <si>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</si>
  <si>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</si>
  <si>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</si>
  <si>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</si>
  <si>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</si>
  <si>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</si>
  <si>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</si>
  <si>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</si>
  <si>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</si>
  <si>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</si>
  <si>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</si>
  <si>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</si>
  <si>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</si>
  <si>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</si>
  <si>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</si>
  <si>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</si>
  <si>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</si>
  <si>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</si>
  <si>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</si>
  <si>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</si>
  <si>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</si>
  <si>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</si>
  <si>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</si>
  <si>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</si>
  <si>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</si>
  <si>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</si>
  <si>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</si>
  <si>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</si>
  <si>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</si>
  <si>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</si>
  <si>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</si>
  <si>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</si>
  <si>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</si>
  <si>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</si>
  <si>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</si>
  <si>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</si>
  <si>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</si>
  <si>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</si>
  <si>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</si>
  <si>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</si>
  <si>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</si>
  <si>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</si>
  <si>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</si>
  <si>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</si>
  <si>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</si>
  <si>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</si>
  <si>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</si>
  <si>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</si>
  <si>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</si>
  <si>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</si>
  <si>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</si>
  <si>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</si>
  <si>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</si>
  <si>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</si>
  <si>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</si>
  <si>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</si>
  <si>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</si>
  <si>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</si>
  <si>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</si>
  <si>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</si>
  <si>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</si>
  <si>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</si>
  <si>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</si>
  <si>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</si>
  <si>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</si>
  <si>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</si>
  <si>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</si>
  <si>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</si>
  <si>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</si>
  <si>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</si>
  <si>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</si>
  <si>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</si>
  <si>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</si>
  <si>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</si>
  <si>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</si>
  <si>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</si>
  <si>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</si>
  <si>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</si>
  <si>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</si>
  <si>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</si>
  <si>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</si>
  <si>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</si>
  <si>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</si>
  <si>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</si>
  <si>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</si>
  <si>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</si>
  <si>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</si>
  <si>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</si>
  <si>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</si>
  <si>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</si>
  <si>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</si>
  <si>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</si>
  <si>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</si>
  <si>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</si>
  <si>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</si>
  <si>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</si>
  <si>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</si>
  <si>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</si>
  <si>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</si>
  <si>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</si>
  <si>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</si>
  <si>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</si>
  <si>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</si>
  <si>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</si>
  <si>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</si>
  <si>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</si>
  <si>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</si>
  <si>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</si>
  <si>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</si>
  <si>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</si>
  <si>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</si>
  <si>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</si>
  <si>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</si>
  <si>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</si>
  <si>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</si>
  <si>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</si>
  <si>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</si>
  <si>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</si>
  <si>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</si>
  <si>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</si>
  <si>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</si>
  <si>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</si>
  <si>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</si>
  <si>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</si>
  <si>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</si>
  <si>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</si>
  <si>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</si>
  <si>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</si>
  <si>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</si>
  <si>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</si>
  <si>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</si>
  <si>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</si>
  <si>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</si>
  <si>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</si>
  <si>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</si>
  <si>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</si>
  <si>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</si>
  <si>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</si>
  <si>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</si>
  <si>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</si>
  <si>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</si>
  <si>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</si>
  <si>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</si>
  <si>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</si>
  <si>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</si>
  <si>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</si>
  <si>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</si>
  <si>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</si>
  <si>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</si>
  <si>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</si>
  <si>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</si>
  <si>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</si>
  <si>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</si>
  <si>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</si>
  <si>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</si>
  <si>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</si>
  <si>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</si>
  <si>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</si>
  <si>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</si>
  <si>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</si>
  <si>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</si>
  <si>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</si>
  <si>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</si>
  <si>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</si>
  <si>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</si>
  <si>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</si>
  <si>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</si>
  <si>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</si>
  <si>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</si>
  <si>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</si>
  <si>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</si>
  <si>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</si>
  <si>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</si>
  <si>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</si>
  <si>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</si>
  <si>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</si>
  <si>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</si>
  <si>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</si>
  <si>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</si>
  <si>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</si>
  <si>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</si>
  <si>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</si>
  <si>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</si>
  <si>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</si>
  <si>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</si>
  <si>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</si>
  <si>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</si>
  <si>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</si>
  <si>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</si>
  <si>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</si>
  <si>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</si>
  <si>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</si>
  <si>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</si>
  <si>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</si>
  <si>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</si>
  <si>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</si>
  <si>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</si>
  <si>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</si>
  <si>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</si>
  <si>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</si>
  <si>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</si>
  <si>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</si>
  <si>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</si>
  <si>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</si>
  <si>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</si>
  <si>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</si>
  <si>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</si>
  <si>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</si>
  <si>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</si>
  <si>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</si>
  <si>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</si>
  <si>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</si>
  <si>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</si>
  <si>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</si>
  <si>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</si>
  <si>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</si>
  <si>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</si>
  <si>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</si>
  <si>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</si>
  <si>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</si>
  <si>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</si>
  <si>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</si>
  <si>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</si>
  <si>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</si>
  <si>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</si>
  <si>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</si>
  <si>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</si>
  <si>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</si>
  <si>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</si>
  <si>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</si>
  <si>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</si>
  <si>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</si>
  <si>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</si>
  <si>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</si>
  <si>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</si>
  <si>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</si>
  <si>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</si>
  <si>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</si>
  <si>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</si>
  <si>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</si>
  <si>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</si>
  <si>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</si>
  <si>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</si>
  <si>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</si>
  <si>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</si>
  <si>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</si>
  <si>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</si>
  <si>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</si>
  <si>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</si>
  <si>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</si>
  <si>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</si>
  <si>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</si>
  <si>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</si>
  <si>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</si>
  <si>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</si>
  <si>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</si>
  <si>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</si>
  <si>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</si>
  <si>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</si>
  <si>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</si>
  <si>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</si>
  <si>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</si>
  <si>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</si>
  <si>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</si>
  <si>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</si>
  <si>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</si>
  <si>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</si>
  <si>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</si>
  <si>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</si>
  <si>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</si>
  <si>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</si>
  <si>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</si>
  <si>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</si>
  <si>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</si>
  <si>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</si>
  <si>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</si>
  <si>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</si>
  <si>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</si>
  <si>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</si>
  <si>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</si>
  <si>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</si>
  <si>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</si>
  <si>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</si>
  <si>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</si>
  <si>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</si>
  <si>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</si>
  <si>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</si>
  <si>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</si>
  <si>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</si>
  <si>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</si>
  <si>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</si>
  <si>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</si>
  <si>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</si>
  <si>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</si>
  <si>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</si>
  <si>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</si>
  <si>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</si>
  <si>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</si>
  <si>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</si>
  <si>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</si>
  <si>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</si>
  <si>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</si>
  <si>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</si>
  <si>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</si>
  <si>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</si>
  <si>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</si>
  <si>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</si>
  <si>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</si>
  <si>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</si>
  <si>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</si>
  <si>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</si>
  <si>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</si>
  <si>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</si>
  <si>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</si>
  <si>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</si>
  <si>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</si>
  <si>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</si>
  <si>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</si>
  <si>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</si>
  <si>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</si>
  <si>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</si>
  <si>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</si>
  <si>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</si>
  <si>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</si>
  <si>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</si>
  <si>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</si>
  <si>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</si>
  <si>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</si>
  <si>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</si>
  <si>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</si>
  <si>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</si>
  <si>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</si>
  <si>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</si>
  <si>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</si>
  <si>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</si>
  <si>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</si>
  <si>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</si>
  <si>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</si>
  <si>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</si>
  <si>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</si>
  <si>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</si>
  <si>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</si>
  <si>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</si>
  <si>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</si>
  <si>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</si>
  <si>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</si>
  <si>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</si>
  <si>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</si>
  <si>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</si>
  <si>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</si>
  <si>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</si>
  <si>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</si>
  <si>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</si>
  <si>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</si>
  <si>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</si>
  <si>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</si>
  <si>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</si>
  <si>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</si>
  <si>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</si>
  <si>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</si>
  <si>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</si>
  <si>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</si>
  <si>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</si>
  <si>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</si>
  <si>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</si>
  <si>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</si>
  <si>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</si>
  <si>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</si>
  <si>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</si>
  <si>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</si>
  <si>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</si>
  <si>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</si>
  <si>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</si>
  <si>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</si>
  <si>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</si>
  <si>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</si>
  <si>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</si>
  <si>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</si>
  <si>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</si>
  <si>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</si>
  <si>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</si>
  <si>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</si>
  <si>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</si>
  <si>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</si>
  <si>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</si>
  <si>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</si>
  <si>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</si>
  <si>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</si>
  <si>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</si>
  <si>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</si>
  <si>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</si>
  <si>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</si>
  <si>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</si>
  <si>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</si>
  <si>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</si>
  <si>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</si>
  <si>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</si>
  <si>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</si>
  <si>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</si>
  <si>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</si>
  <si>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</si>
  <si>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</si>
  <si>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</si>
  <si>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</si>
  <si>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</si>
  <si>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</si>
  <si>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</si>
  <si>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</si>
  <si>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</si>
  <si>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</si>
  <si>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</si>
  <si>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</si>
  <si>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</si>
  <si>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</si>
  <si>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</si>
  <si>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</si>
  <si>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</si>
  <si>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</si>
  <si>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</si>
  <si>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</si>
  <si>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</si>
  <si>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</si>
  <si>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</si>
  <si>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</si>
  <si>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</si>
  <si>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</si>
  <si>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</si>
  <si>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</si>
  <si>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</si>
  <si>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</si>
  <si>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</si>
  <si>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</si>
  <si>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</si>
  <si>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</si>
  <si>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</si>
  <si>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</si>
  <si>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</si>
  <si>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</si>
  <si>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</si>
  <si>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</si>
  <si>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</si>
  <si>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</si>
  <si>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</si>
  <si>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</si>
  <si>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</si>
  <si>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</si>
  <si>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</si>
  <si>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</si>
  <si>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</si>
  <si>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</si>
  <si>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</si>
  <si>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</si>
  <si>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</si>
  <si>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</si>
  <si>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</si>
  <si>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</si>
  <si>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</si>
  <si>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</si>
  <si>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</si>
  <si>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</si>
  <si>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</si>
  <si>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</si>
  <si>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</si>
  <si>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</si>
  <si>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</si>
  <si>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</si>
  <si>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</si>
  <si>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</si>
  <si>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</si>
  <si>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</si>
  <si>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</si>
  <si>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</si>
  <si>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</si>
  <si>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</si>
  <si>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</si>
  <si>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</si>
  <si>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</si>
  <si>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</si>
  <si>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</si>
  <si>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</si>
  <si>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</si>
  <si>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</si>
  <si>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</si>
  <si>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</si>
  <si>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</si>
  <si>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</si>
  <si>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</si>
  <si>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</si>
  <si>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</si>
  <si>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</si>
  <si>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</si>
  <si>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</si>
  <si>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</si>
  <si>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</si>
  <si>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</si>
  <si>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</si>
  <si>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</si>
  <si>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</si>
  <si>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</si>
  <si>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</si>
  <si>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</si>
  <si>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</si>
  <si>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</si>
  <si>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</si>
  <si>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</si>
  <si>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</si>
  <si>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</si>
  <si>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</si>
  <si>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</si>
  <si>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</si>
  <si>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</si>
  <si>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</si>
  <si>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</si>
  <si>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</si>
  <si>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</si>
  <si>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</si>
  <si>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</si>
  <si>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</si>
  <si>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</si>
  <si>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</si>
  <si>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</si>
  <si>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</si>
  <si>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</si>
  <si>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</si>
  <si>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</si>
  <si>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</si>
  <si>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</si>
  <si>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</si>
  <si>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</si>
  <si>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</si>
  <si>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</si>
  <si>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</si>
  <si>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</si>
  <si>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</si>
  <si>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</si>
  <si>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</si>
  <si>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</si>
  <si>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</si>
  <si>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</si>
  <si>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</si>
  <si>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</si>
  <si>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</si>
  <si>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</si>
  <si>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</si>
  <si>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</si>
  <si>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</si>
  <si>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</si>
  <si>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</si>
  <si>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</si>
  <si>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</si>
  <si>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</si>
  <si>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</si>
  <si>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</si>
  <si>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</si>
  <si>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</si>
  <si>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</si>
  <si>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</si>
  <si>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</si>
  <si>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</si>
  <si>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</si>
  <si>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</si>
  <si>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</si>
  <si>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</si>
  <si>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</si>
  <si>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</si>
  <si>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</si>
  <si>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</si>
  <si>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</si>
  <si>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</si>
  <si>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</si>
  <si>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</si>
  <si>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</si>
  <si>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</si>
  <si>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</si>
  <si>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</si>
  <si>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</si>
  <si>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</si>
  <si>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</si>
  <si>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</si>
  <si>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</si>
  <si>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</si>
  <si>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</si>
  <si>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</si>
  <si>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</si>
  <si>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</si>
  <si>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</si>
  <si>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</si>
  <si>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</si>
  <si>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</si>
  <si>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</si>
  <si>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</si>
  <si>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</si>
  <si>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</si>
  <si>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</si>
  <si>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</si>
  <si>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</si>
  <si>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</si>
  <si>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</si>
  <si>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</si>
  <si>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</si>
  <si>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</si>
  <si>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</si>
  <si>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</si>
  <si>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</si>
  <si>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</si>
  <si>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</si>
  <si>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</si>
  <si>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</si>
  <si>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</si>
  <si>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</si>
  <si>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</si>
  <si>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</si>
  <si>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</si>
  <si>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</si>
  <si>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</si>
  <si>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</si>
  <si>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</si>
  <si>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</si>
  <si>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</si>
  <si>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</si>
  <si>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</si>
  <si>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</si>
  <si>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</si>
  <si>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</si>
  <si>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</si>
  <si>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</si>
  <si>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</si>
  <si>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</si>
  <si>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</si>
  <si>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</si>
  <si>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</si>
  <si>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</si>
  <si>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</si>
  <si>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</si>
  <si>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</si>
  <si>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</si>
  <si>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</si>
  <si>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</si>
  <si>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</si>
  <si>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</si>
  <si>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</si>
  <si>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</si>
  <si>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</si>
  <si>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</si>
  <si>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</si>
  <si>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</si>
  <si>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</si>
  <si>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</si>
  <si>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</si>
  <si>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</si>
  <si>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</si>
  <si>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</si>
  <si>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</si>
  <si>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</si>
  <si>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</si>
  <si>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</si>
  <si>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</si>
  <si>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</si>
  <si>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</si>
  <si>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</si>
  <si>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</si>
  <si>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</si>
  <si>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</si>
  <si>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</si>
  <si>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</si>
  <si>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</si>
  <si>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</si>
  <si>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</si>
  <si>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</si>
  <si>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</si>
  <si>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</si>
  <si>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</si>
  <si>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</si>
  <si>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</si>
  <si>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</si>
  <si>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</si>
  <si>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</si>
  <si>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</si>
  <si>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</si>
  <si>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</si>
  <si>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</si>
  <si>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</si>
  <si>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</si>
  <si>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</si>
  <si>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</si>
  <si>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</si>
  <si>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</si>
  <si>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</si>
  <si>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</si>
  <si>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</si>
  <si>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</si>
  <si>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</si>
  <si>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</si>
  <si>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</si>
  <si>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</si>
  <si>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</si>
  <si>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</si>
  <si>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</si>
  <si>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</si>
  <si>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</si>
  <si>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</si>
  <si>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</si>
  <si>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</si>
  <si>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</si>
  <si>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</si>
  <si>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</si>
  <si>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</si>
  <si>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</si>
  <si>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</si>
  <si>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</si>
  <si>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</si>
  <si>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</si>
  <si>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</si>
  <si>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</si>
  <si>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</si>
  <si>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</si>
  <si>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</si>
  <si>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</si>
  <si>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</si>
  <si>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</si>
  <si>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</si>
  <si>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</si>
  <si>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</si>
  <si>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</si>
  <si>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</si>
  <si>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</si>
  <si>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</si>
  <si>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</si>
  <si>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</si>
  <si>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</si>
  <si>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</si>
  <si>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</si>
  <si>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</si>
  <si>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</si>
  <si>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</si>
  <si>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</si>
  <si>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</si>
  <si>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</si>
  <si>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</si>
  <si>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</si>
  <si>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</si>
  <si>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</si>
  <si>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</si>
  <si>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</si>
  <si>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</si>
  <si>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</si>
  <si>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</si>
  <si>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</si>
  <si>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</si>
  <si>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</si>
  <si>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</si>
  <si>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</si>
  <si>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</si>
  <si>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</si>
  <si>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</si>
  <si>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</si>
  <si>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</si>
  <si>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</si>
  <si>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</si>
  <si>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</si>
  <si>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</si>
  <si>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</si>
  <si>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</si>
  <si>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</si>
  <si>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</si>
  <si>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</si>
  <si>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</si>
  <si>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</si>
  <si>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</si>
  <si>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</si>
  <si>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</si>
  <si>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</si>
  <si>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</si>
  <si>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</si>
  <si>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</si>
  <si>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</si>
  <si>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</si>
  <si>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</si>
  <si>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</si>
  <si>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</si>
  <si>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</si>
  <si>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</si>
  <si>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</si>
  <si>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</si>
  <si>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</si>
  <si>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</si>
  <si>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</si>
  <si>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</si>
  <si>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</si>
  <si>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</si>
  <si>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</si>
  <si>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</si>
  <si>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</si>
  <si>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</si>
  <si>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</si>
  <si>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</si>
  <si>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</si>
  <si>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</si>
  <si>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</si>
  <si>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</si>
  <si>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</si>
  <si>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</si>
  <si>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</si>
  <si>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</si>
  <si>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</si>
  <si>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</si>
  <si>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</si>
  <si>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</si>
  <si>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</si>
  <si>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</si>
  <si>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</si>
  <si>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</si>
  <si>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</si>
  <si>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</si>
  <si>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</si>
  <si>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</si>
  <si>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</si>
  <si>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</si>
  <si>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</si>
  <si>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</si>
  <si>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</si>
  <si>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</si>
  <si>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</si>
  <si>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</si>
  <si>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</si>
  <si>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</si>
  <si>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</si>
  <si>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</si>
  <si>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</si>
  <si>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</si>
  <si>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</si>
  <si>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</si>
  <si>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</si>
  <si>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</si>
  <si>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</si>
  <si>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</si>
  <si>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</si>
  <si>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</si>
  <si>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</si>
  <si>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</si>
  <si>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</si>
  <si>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</si>
  <si>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</si>
  <si>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</si>
  <si>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</si>
  <si>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</si>
  <si>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</si>
  <si>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</si>
  <si>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</si>
  <si>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</si>
  <si>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</si>
  <si>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</si>
  <si>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</si>
  <si>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</si>
  <si>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</si>
  <si>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</si>
  <si>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</si>
  <si>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</si>
  <si>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</si>
  <si>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</si>
  <si>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</si>
  <si>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</si>
  <si>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</si>
  <si>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</si>
  <si>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</si>
  <si>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</si>
  <si>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</si>
  <si>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</si>
  <si>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</si>
  <si>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</si>
  <si>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</si>
  <si>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</si>
  <si>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</si>
  <si>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</si>
  <si>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</si>
  <si>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</si>
  <si>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</si>
  <si>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</si>
  <si>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</si>
  <si>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</si>
  <si>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</si>
  <si>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</si>
  <si>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</si>
  <si>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</si>
  <si>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</si>
  <si>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</si>
  <si>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</si>
  <si>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</si>
  <si>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</si>
  <si>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</si>
  <si>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</si>
  <si>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</si>
  <si>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</si>
  <si>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</si>
  <si>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</si>
  <si>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</si>
  <si>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</si>
  <si>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</si>
  <si>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</si>
  <si>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</si>
  <si>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</si>
  <si>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</si>
  <si>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</si>
  <si>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</si>
  <si>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</si>
  <si>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</si>
  <si>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</si>
  <si>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</si>
  <si>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</si>
  <si>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</si>
  <si>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</si>
  <si>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</si>
  <si>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</si>
  <si>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</si>
  <si>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</si>
  <si>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</si>
  <si>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</si>
  <si>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</si>
  <si>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</si>
  <si>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</si>
  <si>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</si>
  <si>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</si>
  <si>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</si>
  <si>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</si>
  <si>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</si>
  <si>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</si>
  <si>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</si>
  <si>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</si>
  <si>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</si>
  <si>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</si>
  <si>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</si>
  <si>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</si>
  <si>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</si>
  <si>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</si>
  <si>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</si>
  <si>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</si>
  <si>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</si>
  <si>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</si>
  <si>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</si>
  <si>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</si>
  <si>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</si>
  <si>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</si>
  <si>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</si>
  <si>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</si>
  <si>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</si>
  <si>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</si>
  <si>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</si>
  <si>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</si>
  <si>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</si>
  <si>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</si>
  <si>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</si>
  <si>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</si>
  <si>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</si>
  <si>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</si>
  <si>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</si>
  <si>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</si>
  <si>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</si>
  <si>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</si>
  <si>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</si>
  <si>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</si>
  <si>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</si>
  <si>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</si>
  <si>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</si>
  <si>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</si>
  <si>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</si>
  <si>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</si>
  <si>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</si>
  <si>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</si>
  <si>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</si>
  <si>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</si>
  <si>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</si>
  <si>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</si>
  <si>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</si>
  <si>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</si>
  <si>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</si>
  <si>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</si>
  <si>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</si>
  <si>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</si>
  <si>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</si>
  <si>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</si>
  <si>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</si>
  <si>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</si>
  <si>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</si>
  <si>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</si>
  <si>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</si>
  <si>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</si>
  <si>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</si>
  <si>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</si>
  <si>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</si>
  <si>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</si>
  <si>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</si>
  <si>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</si>
  <si>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</si>
  <si>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</si>
  <si>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</si>
  <si>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</si>
  <si>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</si>
  <si>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</si>
  <si>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</si>
  <si>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</si>
  <si>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</si>
  <si>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</si>
  <si>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</si>
  <si>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</si>
  <si>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</si>
  <si>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</si>
  <si>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</si>
  <si>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</si>
  <si>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</si>
  <si>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</si>
  <si>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</si>
  <si>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</si>
  <si>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</si>
  <si>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</si>
  <si>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</si>
  <si>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</si>
  <si>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</si>
  <si>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</si>
  <si>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</si>
  <si>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</si>
  <si>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</si>
  <si>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</si>
  <si>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</si>
  <si>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</si>
  <si>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</si>
  <si>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</si>
  <si>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</si>
  <si>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</si>
  <si>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</si>
  <si>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</si>
  <si>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</si>
  <si>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</si>
  <si>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</si>
  <si>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</si>
  <si>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</si>
  <si>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</si>
  <si>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</si>
  <si>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</si>
  <si>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</si>
  <si>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</si>
  <si>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</si>
  <si>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</si>
  <si>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</si>
  <si>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</si>
  <si>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</si>
  <si>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</si>
  <si>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</si>
  <si>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</si>
  <si>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</si>
  <si>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</si>
  <si>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</si>
  <si>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</si>
  <si>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</si>
  <si>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</si>
  <si>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</si>
  <si>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</si>
  <si>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</si>
  <si>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</si>
  <si>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</si>
  <si>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</si>
  <si>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</si>
  <si>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</si>
  <si>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</si>
  <si>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</si>
  <si>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</si>
  <si>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</si>
  <si>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</si>
  <si>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</si>
  <si>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</si>
  <si>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</si>
  <si>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</si>
  <si>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</si>
  <si>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</si>
  <si>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</si>
  <si>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</si>
  <si>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</si>
  <si>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</si>
  <si>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</si>
  <si>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</si>
  <si>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</si>
  <si>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</si>
  <si>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</si>
  <si>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</si>
  <si>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</si>
  <si>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</si>
  <si>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</si>
  <si>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</si>
  <si>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</si>
  <si>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</si>
  <si>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</si>
  <si>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</si>
  <si>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</si>
  <si>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</si>
  <si>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</si>
  <si>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</si>
  <si>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</si>
  <si>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</si>
  <si>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</si>
  <si>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</si>
  <si>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</si>
  <si>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</si>
  <si>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</si>
  <si>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</si>
  <si>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</si>
  <si>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</si>
  <si>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</si>
  <si>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</si>
  <si>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</si>
  <si>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</si>
  <si>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</si>
  <si>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</si>
  <si>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</si>
  <si>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</si>
  <si>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</si>
  <si>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</si>
  <si>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</si>
  <si>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</si>
  <si>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</si>
  <si>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</si>
  <si>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</si>
  <si>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</si>
  <si>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</si>
  <si>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</si>
  <si>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</si>
  <si>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</si>
  <si>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</si>
  <si>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</si>
  <si>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</si>
  <si>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</si>
  <si>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</si>
  <si>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</si>
  <si>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</si>
  <si>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</si>
  <si>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</si>
  <si>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</si>
  <si>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</si>
  <si>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</si>
  <si>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</si>
  <si>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</si>
  <si>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</si>
  <si>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</si>
  <si>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</si>
  <si>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</si>
  <si>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</si>
  <si>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</si>
  <si>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</si>
  <si>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</si>
  <si>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</si>
  <si>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</si>
  <si>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</si>
  <si>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</si>
  <si>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</si>
  <si>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</si>
  <si>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</si>
  <si>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</si>
  <si>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</si>
  <si>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</si>
  <si>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</si>
  <si>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</si>
  <si>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</si>
  <si>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</si>
  <si>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</si>
  <si>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</si>
  <si>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</si>
  <si>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</si>
  <si>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</si>
  <si>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</si>
  <si>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</si>
  <si>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</si>
  <si>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</si>
  <si>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</si>
  <si>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</si>
  <si>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</si>
  <si>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</si>
  <si>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</si>
  <si>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</si>
  <si>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</si>
  <si>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</si>
  <si>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</si>
  <si>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</si>
  <si>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</si>
  <si>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</si>
  <si>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</si>
  <si>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</si>
  <si>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</si>
  <si>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</si>
  <si>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</si>
  <si>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</si>
  <si>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</si>
  <si>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</si>
  <si>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</si>
  <si>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</si>
  <si>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</si>
  <si>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</si>
  <si>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</si>
  <si>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</si>
  <si>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</si>
  <si>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</si>
  <si>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</si>
  <si>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</si>
  <si>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</si>
  <si>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</si>
  <si>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</si>
  <si>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</si>
  <si>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</si>
  <si>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</si>
  <si>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</si>
  <si>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</si>
  <si>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</si>
  <si>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</si>
  <si>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</si>
  <si>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</si>
  <si>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</si>
  <si>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</si>
  <si>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</si>
  <si>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</si>
  <si>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</si>
  <si>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</si>
  <si>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</si>
  <si>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</si>
  <si>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</si>
  <si>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</si>
  <si>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</si>
  <si>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</si>
  <si>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</si>
  <si>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</si>
  <si>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</si>
  <si>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</si>
  <si>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</si>
  <si>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</si>
  <si>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</si>
  <si>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</si>
  <si>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</si>
  <si>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</si>
  <si>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</si>
  <si>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</si>
  <si>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</si>
  <si>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</si>
  <si>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</si>
  <si>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</si>
  <si>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</si>
  <si>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</si>
  <si>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</si>
  <si>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</si>
  <si>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</si>
  <si>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</si>
  <si>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</si>
  <si>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</si>
  <si>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</si>
  <si>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</si>
  <si>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</si>
  <si>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</si>
  <si>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</si>
  <si>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</si>
  <si>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</si>
  <si>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</si>
  <si>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</si>
  <si>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</si>
  <si>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</si>
  <si>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</si>
  <si>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</si>
  <si>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</si>
  <si>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</si>
  <si>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</si>
  <si>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</si>
  <si>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</si>
  <si>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</si>
  <si>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</si>
  <si>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</si>
  <si>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</si>
  <si>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</si>
  <si>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</si>
  <si>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</si>
  <si>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</si>
  <si>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</si>
  <si>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</si>
  <si>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</si>
  <si>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</si>
  <si>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</si>
  <si>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</si>
  <si>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</si>
  <si>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</si>
  <si>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</si>
  <si>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</si>
  <si>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</si>
  <si>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</si>
  <si>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</si>
  <si>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</si>
  <si>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</si>
  <si>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</si>
  <si>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</si>
  <si>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</si>
  <si>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</si>
  <si>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</si>
  <si>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</si>
  <si>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</si>
  <si>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</si>
  <si>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</si>
  <si>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</si>
  <si>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</si>
  <si>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</si>
  <si>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</si>
  <si>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</si>
  <si>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</si>
  <si>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</si>
  <si>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</si>
  <si>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</si>
  <si>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</si>
  <si>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</si>
  <si>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</si>
  <si>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</si>
  <si>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</si>
  <si>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</si>
  <si>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</si>
  <si>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</si>
  <si>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</si>
  <si>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</si>
  <si>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</si>
  <si>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</si>
  <si>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</si>
  <si>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</si>
  <si>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</si>
  <si>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</si>
  <si>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</si>
  <si>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</si>
  <si>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</si>
  <si>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</si>
  <si>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</si>
  <si>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</si>
  <si>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</si>
  <si>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</si>
  <si>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</si>
  <si>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</si>
  <si>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</si>
  <si>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</si>
  <si>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</si>
  <si>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</si>
  <si>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</si>
  <si>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</si>
  <si>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</si>
  <si>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</si>
  <si>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</si>
  <si>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</si>
  <si>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</si>
  <si>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</si>
  <si>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</si>
  <si>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</si>
  <si>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</si>
  <si>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</si>
  <si>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</si>
  <si>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</si>
  <si>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</si>
  <si>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</si>
  <si>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</si>
  <si>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</si>
  <si>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</si>
  <si>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</si>
  <si>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</si>
  <si>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</si>
  <si>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</si>
  <si>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</si>
  <si>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</si>
  <si>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</si>
  <si>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</si>
  <si>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</si>
  <si>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</si>
  <si>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</si>
  <si>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</si>
  <si>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</si>
  <si>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</si>
  <si>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</si>
  <si>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</si>
  <si>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</si>
  <si>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</si>
  <si>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</si>
  <si>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</si>
  <si>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</si>
  <si>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</si>
  <si>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</si>
  <si>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</si>
  <si>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</si>
  <si>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</si>
  <si>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</si>
  <si>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</si>
  <si>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</si>
  <si>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</si>
  <si>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</si>
  <si>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</si>
  <si>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</si>
  <si>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</si>
  <si>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</si>
  <si>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</si>
  <si>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</si>
  <si>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</si>
  <si>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</si>
  <si>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</si>
  <si>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</si>
  <si>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</si>
  <si>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</si>
  <si>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</si>
  <si>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</si>
  <si>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</si>
  <si>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</si>
  <si>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</si>
  <si>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</si>
  <si>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</si>
  <si>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</si>
  <si>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</si>
  <si>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</si>
  <si>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</si>
  <si>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</si>
  <si>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</si>
  <si>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</si>
  <si>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</si>
  <si>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</si>
  <si>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</si>
  <si>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</si>
  <si>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</si>
  <si>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</si>
  <si>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</si>
  <si>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</si>
  <si>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</si>
  <si>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</si>
  <si>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</si>
  <si>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</si>
  <si>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</si>
  <si>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</si>
  <si>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</si>
  <si>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</si>
  <si>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</si>
  <si>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</si>
  <si>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</si>
  <si>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</si>
  <si>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</si>
  <si>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</si>
  <si>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</si>
  <si>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</si>
  <si>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</si>
  <si>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</si>
  <si>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</si>
  <si>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</si>
  <si>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</si>
  <si>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</si>
  <si>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</si>
  <si>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</si>
  <si>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</si>
  <si>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</si>
  <si>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</si>
  <si>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</si>
  <si>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</si>
  <si>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</si>
  <si>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</si>
  <si>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</si>
  <si>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</si>
  <si>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</si>
  <si>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</si>
  <si>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</si>
  <si>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</si>
  <si>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</si>
  <si>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</si>
  <si>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</si>
  <si>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</si>
  <si>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</si>
  <si>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</si>
  <si>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</si>
  <si>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</si>
  <si>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</si>
  <si>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</si>
  <si>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</si>
  <si>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</si>
  <si>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</si>
  <si>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</si>
  <si>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</si>
  <si>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</si>
  <si>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</si>
  <si>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</si>
  <si>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</si>
  <si>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</si>
  <si>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</si>
  <si>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</si>
  <si>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</si>
  <si>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</si>
  <si>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</si>
  <si>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</si>
  <si>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</si>
  <si>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</si>
  <si>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</si>
  <si>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</si>
  <si>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</si>
  <si>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</si>
  <si>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</si>
  <si>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</si>
  <si>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</si>
  <si>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</si>
  <si>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</si>
  <si>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</si>
  <si>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</si>
  <si>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</si>
  <si>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</si>
  <si>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</si>
  <si>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</si>
  <si>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</si>
  <si>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</si>
  <si>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</si>
  <si>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</si>
  <si>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</si>
  <si>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</si>
  <si>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</si>
  <si>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</si>
  <si>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</si>
  <si>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</si>
  <si>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</si>
  <si>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</si>
  <si>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</si>
  <si>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</si>
  <si>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</si>
  <si>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</si>
  <si>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</si>
  <si>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</si>
  <si>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</si>
  <si>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</si>
  <si>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</si>
  <si>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</si>
  <si>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</si>
  <si>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</si>
  <si>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</si>
  <si>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</si>
  <si>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</si>
  <si>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</si>
  <si>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</si>
  <si>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</si>
  <si>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</si>
  <si>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</si>
  <si>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</si>
  <si>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</si>
  <si>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</si>
  <si>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</si>
  <si>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</si>
  <si>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</si>
  <si>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</si>
  <si>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</si>
  <si>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</si>
  <si>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</si>
  <si>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</si>
  <si>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</si>
  <si>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</si>
  <si>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</si>
  <si>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</si>
  <si>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</si>
  <si>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</si>
  <si>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</si>
  <si>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</si>
  <si>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</si>
  <si>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</si>
  <si>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</si>
  <si>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</si>
  <si>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</si>
  <si>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</si>
  <si>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</si>
  <si>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</si>
  <si>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</si>
  <si>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</si>
  <si>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</si>
  <si>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</si>
  <si>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</si>
  <si>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</si>
  <si>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</si>
  <si>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</si>
  <si>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</si>
  <si>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</si>
  <si>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</si>
  <si>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</si>
  <si>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</si>
  <si>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</si>
  <si>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</si>
  <si>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</si>
  <si>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</si>
  <si>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</si>
  <si>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</si>
  <si>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</si>
  <si>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</si>
  <si>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</si>
  <si>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</si>
  <si>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</si>
  <si>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</si>
  <si>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</si>
  <si>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</si>
  <si>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</si>
  <si>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</si>
  <si>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</si>
  <si>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</si>
  <si>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</si>
  <si>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</si>
  <si>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</si>
  <si>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</si>
  <si>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</si>
  <si>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</si>
  <si>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</si>
  <si>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</si>
  <si>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</si>
  <si>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</si>
  <si>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</si>
  <si>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</si>
  <si>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</si>
  <si>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</si>
  <si>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</si>
  <si>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</si>
  <si>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</si>
  <si>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</si>
  <si>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</si>
  <si>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</si>
  <si>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</si>
  <si>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</si>
  <si>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</si>
  <si>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</si>
  <si>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</si>
  <si>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</si>
  <si>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</si>
  <si>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</si>
  <si>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</si>
  <si>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</si>
  <si>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</si>
  <si>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</si>
  <si>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</si>
  <si>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</si>
  <si>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</si>
  <si>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</si>
  <si>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</si>
  <si>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</si>
  <si>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</si>
  <si>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</si>
  <si>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</si>
  <si>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</si>
  <si>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郑燚</t>
  </si>
  <si>
    <t>崔锴</t>
  </si>
  <si>
    <t>抵押</t>
  </si>
  <si>
    <t>房地产抵押价值</t>
  </si>
  <si>
    <t>其他：</t>
  </si>
  <si>
    <t>企业</t>
  </si>
  <si>
    <t>出让</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</si>
  <si>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</si>
  <si>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否</t>
  </si>
  <si>
    <t>居住项目</t>
  </si>
  <si>
    <t>无</t>
  </si>
  <si>
    <t>在建</t>
  </si>
  <si>
    <t>通路</t>
  </si>
  <si>
    <t>通电</t>
  </si>
  <si>
    <t>通讯</t>
  </si>
  <si>
    <t>通上水</t>
  </si>
  <si>
    <t>通下水</t>
  </si>
  <si>
    <t>是</t>
  </si>
  <si>
    <t>佛山恒大悦府（大沥）项目A地块在建工程</t>
  </si>
  <si>
    <t>地块</t>
  </si>
  <si>
    <t xml:space="preserve">  类别 </t>
  </si>
  <si>
    <t>总量</t>
  </si>
  <si>
    <t>建筑面积（㎡）</t>
  </si>
  <si>
    <t>地下面积（㎡）</t>
  </si>
  <si>
    <t>备注</t>
  </si>
  <si>
    <t>A地块</t>
  </si>
  <si>
    <t>高层住宅
20座（-2/32F）
主体</t>
  </si>
  <si>
    <t>住宅</t>
  </si>
  <si>
    <t>高层住宅
21座（-2/32F）
主体</t>
  </si>
  <si>
    <t>高层住宅
22座（-2/32F）
主体</t>
  </si>
  <si>
    <t>高层住宅
23座（-2/32F）
主体</t>
  </si>
  <si>
    <t>高层住宅
24座（-2/32F）
主体</t>
  </si>
  <si>
    <t>高层住宅
25座（-2/32F）
主体</t>
  </si>
  <si>
    <t>高层住宅
26座（-2/32F）
主体</t>
  </si>
  <si>
    <t>高层住宅
27座（-2/32F）
主体</t>
  </si>
  <si>
    <t>高层住宅
28座（-2/32F）
主体</t>
  </si>
  <si>
    <t>高层住宅
29座（-2/32F）
主体</t>
  </si>
  <si>
    <t>独立商业
30座（-2/4F）
主体</t>
  </si>
  <si>
    <t>地上</t>
  </si>
  <si>
    <t>普通住宅</t>
  </si>
  <si>
    <t>独立商业</t>
  </si>
  <si>
    <t>住宅</t>
    <phoneticPr fontId="7" type="noConversion"/>
  </si>
  <si>
    <t>商业</t>
    <phoneticPr fontId="7" type="noConversion"/>
  </si>
  <si>
    <t>主题结构封顶</t>
    <phoneticPr fontId="143" type="noConversion"/>
  </si>
  <si>
    <t xml:space="preserve"> </t>
    <phoneticPr fontId="143" type="noConversion"/>
  </si>
  <si>
    <t xml:space="preserve"> </t>
    <phoneticPr fontId="143" type="noConversion"/>
  </si>
  <si>
    <t xml:space="preserve"> </t>
    <phoneticPr fontId="143" type="noConversion"/>
  </si>
  <si>
    <t>较好</t>
    <phoneticPr fontId="41" type="noConversion"/>
  </si>
  <si>
    <t>较好</t>
    <phoneticPr fontId="25" type="noConversion"/>
  </si>
  <si>
    <t>较好</t>
    <phoneticPr fontId="41" type="noConversion"/>
  </si>
  <si>
    <t>六通</t>
    <phoneticPr fontId="25" type="noConversion"/>
  </si>
  <si>
    <t>成本法</t>
  </si>
  <si>
    <t>假设开发法</t>
  </si>
  <si>
    <t>住宅</t>
    <phoneticPr fontId="143" type="noConversion"/>
  </si>
  <si>
    <t>楼号</t>
    <phoneticPr fontId="143" type="noConversion"/>
  </si>
  <si>
    <t>商业</t>
    <phoneticPr fontId="143" type="noConversion"/>
  </si>
  <si>
    <t>设备</t>
    <phoneticPr fontId="143" type="noConversion"/>
  </si>
  <si>
    <t>成本比率</t>
  </si>
  <si>
    <t>现状</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</si>
</sst>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98"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2" fontId="0" fillId="0" borderId="0" xfId="0" applyNumberFormat="1">
      <alignment vertical="center"/>
    </xf>
    <xf numFmtId="9" fontId="0" fillId="0" borderId="0" xfId="17" applyFont="1">
      <alignment vertical="center"/>
    </xf>
    <xf numFmtId="9" fontId="0" fillId="5" borderId="0" xfId="17" applyFont="1" applyFill="1">
      <alignment vertical="center"/>
    </xf>
    <xf numFmtId="0" fontId="50" fillId="5" borderId="0" xfId="0" applyFont="1" applyFill="1" applyAlignment="1" applyProtection="1">
      <alignment horizontal="center" vertical="center"/>
      <protection locked="0"/>
    </xf>
    <xf numFmtId="0" fontId="80" fillId="5" borderId="0" xfId="0" applyFont="1" applyFill="1" applyAlignment="1" applyProtection="1">
      <alignment horizontal="center" vertical="center"/>
      <protection locked="0"/>
    </xf>
    <xf numFmtId="9" fontId="50" fillId="5"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170486</xdr:colOff>
      <xdr:row>34</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14286" cy="5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出让国有建设用地使用权及在建建筑物房地产抵押价值预评估</v>
      </c>
    </row>
    <row r="3" spans="1:2" s="1596" customFormat="1">
      <c r="A3" s="1594" t="s">
        <v>1217</v>
      </c>
      <c r="B3" s="1595">
        <f>'预评函-封皮'!B40</f>
        <v>0</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受贵公司委托，我公司对出让国有建设用地使用权及在建建筑物房地产抵押价值进行了预评估。</v>
      </c>
    </row>
    <row r="7" spans="1:2" s="1596" customFormat="1">
      <c r="A7" s="1594" t="s">
        <v>1260</v>
      </c>
      <c r="B7" s="1595" t="str">
        <f>'预评函-1'!A7</f>
        <v>估价对象为出让国有建设用地使用权及在建建筑物房地产，为所有。根据《国有土地使用证》[]，估价对象（分摊）出让国有建设用地使用权面积为33165.41平方米。根据《房屋所有权证》[]，估价对象建筑面积为143860.73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出让国有建设用地使用权及在建建筑物房地产,属开发建设的居住项目，该项目尚在开发建设中。根据《国有土地使用证》[]，估价对象（分摊）出让国有建设用地使用权面积为33165.41平方米。根据《房屋所有权证》[]，估价对象规划建筑面积为143860.73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2019年4月2日（评估专业人员实地查勘之日）</v>
      </c>
    </row>
    <row r="13" spans="1:2" s="1596" customFormat="1">
      <c r="A13" s="1594" t="s">
        <v>1223</v>
      </c>
      <c r="B13" s="1595" t="str">
        <f>'预评函-1'!A18</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本次评估采用的主估价方法为成本法和假设开发法。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232686</v>
      </c>
    </row>
    <row r="21" spans="1:2" s="1596" customFormat="1">
      <c r="A21" s="1594" t="s">
        <v>1231</v>
      </c>
      <c r="B21" s="1595">
        <f ca="1">'预评函-2'!D7</f>
        <v>16174</v>
      </c>
    </row>
    <row r="22" spans="1:2" s="1596" customFormat="1">
      <c r="A22" s="1594" t="s">
        <v>1232</v>
      </c>
      <c r="B22" s="1595" t="str">
        <f ca="1">'预评函-2'!D6</f>
        <v>贰拾叁亿贰仟陆佰捌拾陆万元整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232686</v>
      </c>
    </row>
    <row r="31" spans="1:2" s="1596" customFormat="1">
      <c r="A31" s="1594" t="s">
        <v>1270</v>
      </c>
      <c r="B31" s="1595">
        <f ca="1">'预评函-2'!D15</f>
        <v>16174</v>
      </c>
    </row>
    <row r="32" spans="1:2" s="1596" customFormat="1">
      <c r="A32" s="1594" t="s">
        <v>1237</v>
      </c>
      <c r="B32" s="1595" t="str">
        <f ca="1">'预评函-2'!D14</f>
        <v>贰拾叁亿贰仟陆佰捌拾陆万元整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出让国有建设用地使用权及在建建筑物房地产</v>
      </c>
    </row>
    <row r="42" spans="1:2" s="1596" customFormat="1">
      <c r="A42" s="1594" t="s">
        <v>1284</v>
      </c>
      <c r="B42" s="1595" t="str">
        <f>'预评函-3'!B2</f>
        <v>建筑面积</v>
      </c>
    </row>
    <row r="43" spans="1:2" s="1596" customFormat="1">
      <c r="A43" s="1594" t="s">
        <v>1285</v>
      </c>
      <c r="B43" s="1595">
        <f>'预评函-3'!B4</f>
        <v>143860.73000000001</v>
      </c>
    </row>
    <row r="44" spans="1:2" s="1596" customFormat="1">
      <c r="A44" s="1594" t="s">
        <v>1269</v>
      </c>
      <c r="B44" s="1595" t="str">
        <f>'预评函-3'!C2</f>
        <v>(分摊)土地面积</v>
      </c>
    </row>
    <row r="45" spans="1:2" s="1596" customFormat="1">
      <c r="A45" s="1594" t="s">
        <v>1241</v>
      </c>
      <c r="B45" s="1595">
        <f>'预评函-3'!C4</f>
        <v>33165.410000000003</v>
      </c>
    </row>
    <row r="46" spans="1:2" s="1596" customFormat="1">
      <c r="A46" s="1594" t="s">
        <v>1267</v>
      </c>
      <c r="B46" s="1595" t="str">
        <f>'预评函-3'!D2</f>
        <v>出让国有建设用地使用权价值</v>
      </c>
    </row>
    <row r="47" spans="1:2" s="1596" customFormat="1">
      <c r="A47" s="1594" t="s">
        <v>1242</v>
      </c>
      <c r="B47" s="1595">
        <f ca="1">'预评函-3'!D4</f>
        <v>203600</v>
      </c>
    </row>
    <row r="48" spans="1:2" s="1596" customFormat="1">
      <c r="A48" s="1594" t="s">
        <v>1243</v>
      </c>
      <c r="B48" s="1595">
        <f ca="1">'预评函-3'!E4</f>
        <v>14152</v>
      </c>
    </row>
    <row r="49" spans="1:2" s="1596" customFormat="1">
      <c r="A49" s="1594" t="s">
        <v>1244</v>
      </c>
      <c r="B49" s="1595" t="str">
        <f ca="1">'预评函-3'!D5</f>
        <v>贰拾亿叁仟陆佰万元整</v>
      </c>
    </row>
    <row r="50" spans="1:2" s="1596" customFormat="1">
      <c r="A50" s="1594" t="s">
        <v>1268</v>
      </c>
      <c r="B50" s="1595" t="str">
        <f>'预评函-3'!F2</f>
        <v>在建建筑物价值</v>
      </c>
    </row>
    <row r="51" spans="1:2" s="1596" customFormat="1">
      <c r="A51" s="1594" t="s">
        <v>1245</v>
      </c>
      <c r="B51" s="1595">
        <f ca="1">'预评函-3'!F4</f>
        <v>29086</v>
      </c>
    </row>
    <row r="52" spans="1:2" s="1596" customFormat="1">
      <c r="A52" s="1594" t="s">
        <v>1246</v>
      </c>
      <c r="B52" s="1595">
        <f ca="1">'预评函-3'!G4</f>
        <v>2022</v>
      </c>
    </row>
    <row r="53" spans="1:2" s="1596" customFormat="1">
      <c r="A53" s="1594" t="s">
        <v>1274</v>
      </c>
      <c r="B53" s="1595" t="str">
        <f ca="1">'预评函-3'!F5</f>
        <v>贰亿玖仟零捌拾陆万元整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5" t="s">
        <v>861</v>
      </c>
      <c r="C54" s="2022" t="s">
        <v>1277</v>
      </c>
    </row>
    <row r="55" spans="1:4">
      <c r="A55" s="3003"/>
      <c r="B55" s="2025" t="s">
        <v>862</v>
      </c>
      <c r="C55" s="2022" t="s">
        <v>1278</v>
      </c>
    </row>
    <row r="56" spans="1:4">
      <c r="A56" s="3003"/>
      <c r="B56" s="2025" t="s">
        <v>863</v>
      </c>
      <c r="C56" s="2022" t="s">
        <v>1282</v>
      </c>
    </row>
    <row r="57" spans="1:4">
      <c r="A57" s="300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G34" sqref="G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2" t="str">
        <f>IF(B10="北京市","北京市",C10)&amp;F10&amp;IF(结果表!G1="在建","出让国有建设用地使用权及在建建筑物",IF(结果表!G1="土地","出让国有建设用地使用权",))&amp;B9&amp;"预评估"</f>
        <v>出让国有建设用地使用权及在建建筑物房地产抵押价值预评估</v>
      </c>
      <c r="C1" s="3013"/>
      <c r="D1" s="3013"/>
      <c r="E1" s="3013"/>
      <c r="F1" s="3013"/>
      <c r="G1" s="3013"/>
      <c r="H1" s="3013"/>
      <c r="I1" s="301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1774</v>
      </c>
      <c r="B3" s="2039">
        <v>43557</v>
      </c>
      <c r="C3" s="2040" t="s">
        <v>1775</v>
      </c>
      <c r="D3" s="2039">
        <f>B3</f>
        <v>43557</v>
      </c>
      <c r="E3" s="2029"/>
      <c r="F3" s="2029"/>
      <c r="G3" s="2029"/>
      <c r="H3" s="2029"/>
      <c r="I3" s="2029"/>
      <c r="J3" s="2029"/>
      <c r="K3" s="2030"/>
      <c r="L3" s="2031"/>
      <c r="M3" s="2031"/>
      <c r="N3" s="2032"/>
      <c r="O3" s="2033"/>
      <c r="P3" s="2032"/>
      <c r="Q3" s="2032"/>
      <c r="R3" s="2032"/>
      <c r="S3" s="2034"/>
    </row>
    <row r="4" spans="1:19" ht="18" customHeight="1" thickBot="1">
      <c r="A4" s="2041" t="s">
        <v>1776</v>
      </c>
      <c r="B4" s="2042" t="s">
        <v>3045</v>
      </c>
      <c r="C4" s="1040">
        <f ca="1">SUMIF(注册房地产估价师,B4,估价师及机构信息!B3:B24)</f>
        <v>1120070131</v>
      </c>
      <c r="D4" s="2042" t="s">
        <v>3046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3047</v>
      </c>
      <c r="C8" s="2059"/>
      <c r="D8" s="3015" t="s">
        <v>1781</v>
      </c>
      <c r="E8" s="2060" t="s">
        <v>3048</v>
      </c>
      <c r="F8" s="2061"/>
      <c r="G8" s="2029"/>
      <c r="H8" s="2029"/>
      <c r="I8" s="2029"/>
      <c r="J8" s="2045"/>
      <c r="K8" s="2046"/>
      <c r="L8" s="2031"/>
      <c r="M8" s="2031"/>
      <c r="N8" s="2032"/>
      <c r="O8" s="2033"/>
      <c r="P8" s="2032"/>
      <c r="Q8" s="2032"/>
      <c r="R8" s="2032"/>
    </row>
    <row r="9" spans="1:19" ht="18" customHeight="1" thickBot="1">
      <c r="A9" s="2043" t="s">
        <v>1782</v>
      </c>
      <c r="B9" s="2062" t="s">
        <v>3048</v>
      </c>
      <c r="C9" s="2063"/>
      <c r="D9" s="3016"/>
      <c r="E9" s="2062" t="s">
        <v>70</v>
      </c>
      <c r="F9" s="2064"/>
      <c r="G9" s="2065"/>
      <c r="H9" s="2065"/>
      <c r="I9" s="2065"/>
      <c r="J9" s="2045"/>
      <c r="K9" s="2057"/>
      <c r="L9" s="2031"/>
      <c r="M9" s="2031"/>
      <c r="N9" s="2032"/>
      <c r="O9" s="2033"/>
      <c r="P9" s="2032"/>
      <c r="Q9" s="2032"/>
      <c r="R9" s="2032"/>
    </row>
    <row r="10" spans="1:19" ht="18" customHeight="1" thickTop="1">
      <c r="A10" s="2066" t="s">
        <v>1783</v>
      </c>
      <c r="B10" s="2067" t="s">
        <v>3049</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3050</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3051</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v>67993</v>
      </c>
      <c r="E13" s="2083">
        <v>57035</v>
      </c>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66.94</v>
      </c>
      <c r="E15" s="1052">
        <f>IF(B12="出让",IF(E13="","",ROUNDDOWN(MIN((E13-$D$3)/365,E14),2)),E14)</f>
        <v>36.92</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2"/>
      <c r="C16" s="3023"/>
      <c r="D16" s="3024"/>
      <c r="E16" s="2089" t="s">
        <v>1798</v>
      </c>
      <c r="F16" s="3025"/>
      <c r="G16" s="3026"/>
      <c r="H16" s="3026"/>
      <c r="I16" s="3027"/>
      <c r="J16" s="2032"/>
      <c r="K16" s="2086"/>
      <c r="L16" s="2087"/>
      <c r="M16" s="2087"/>
      <c r="N16" s="2088"/>
      <c r="O16" s="2087"/>
      <c r="P16" s="2088"/>
      <c r="Q16" s="2032"/>
      <c r="R16" s="2032"/>
    </row>
    <row r="17" spans="1:22" ht="18" customHeight="1">
      <c r="A17" s="2090" t="s">
        <v>1799</v>
      </c>
      <c r="B17" s="2038" t="s">
        <v>1800</v>
      </c>
      <c r="C17" s="1057">
        <f>'数据-汇总表'!E3</f>
        <v>143860.73000000001</v>
      </c>
      <c r="D17" s="2091" t="s">
        <v>1801</v>
      </c>
      <c r="E17" s="3028" t="s">
        <v>3052</v>
      </c>
      <c r="F17" s="3029"/>
      <c r="G17" s="3029"/>
      <c r="H17" s="3029"/>
      <c r="I17" s="3030"/>
      <c r="J17" s="2032"/>
      <c r="K17" s="2092"/>
      <c r="L17" s="2087"/>
      <c r="M17" s="2087"/>
      <c r="N17" s="2088"/>
      <c r="O17" s="2087"/>
      <c r="P17" s="2088"/>
      <c r="Q17" s="2032"/>
      <c r="R17" s="2032"/>
      <c r="S17" s="2032"/>
      <c r="T17" s="2032"/>
      <c r="U17" s="2032"/>
      <c r="V17" s="2032"/>
    </row>
    <row r="18" spans="1:22" ht="36" customHeight="1" thickBot="1">
      <c r="A18" s="2093" t="s">
        <v>70</v>
      </c>
      <c r="B18" s="2041" t="s">
        <v>1802</v>
      </c>
      <c r="C18" s="1447">
        <f>'数据-汇总表'!D3</f>
        <v>33165.410000000003</v>
      </c>
      <c r="D18" s="2094" t="s">
        <v>1801</v>
      </c>
      <c r="E18" s="3031" t="s">
        <v>1803</v>
      </c>
      <c r="F18" s="3032"/>
      <c r="G18" s="3032"/>
      <c r="H18" s="3032"/>
      <c r="I18" s="3033"/>
      <c r="J18" s="2032"/>
      <c r="K18" s="2092"/>
      <c r="L18" s="2087"/>
      <c r="M18" s="2087"/>
      <c r="N18" s="2088"/>
      <c r="O18" s="2087"/>
      <c r="P18" s="2088"/>
      <c r="Q18" s="2032"/>
      <c r="R18" s="2032"/>
      <c r="S18" s="2032"/>
      <c r="T18" s="2032"/>
      <c r="U18" s="2032"/>
      <c r="V18" s="2032"/>
    </row>
    <row r="19" spans="1:22" ht="37.5" customHeight="1" thickTop="1" thickBot="1">
      <c r="A19" s="373" t="s">
        <v>1804</v>
      </c>
      <c r="B19" s="352" t="s">
        <v>1805</v>
      </c>
      <c r="C19" s="2095" t="s">
        <v>3053</v>
      </c>
      <c r="D19" s="2096" t="s">
        <v>1806</v>
      </c>
      <c r="E19" s="2097" t="s">
        <v>70</v>
      </c>
      <c r="F19" s="2098" t="str">
        <f>IF(AND(C19="是",E19="否"),"是否提供他项权证或相关说明","")</f>
        <v/>
      </c>
      <c r="G19" s="2099" t="s">
        <v>70</v>
      </c>
      <c r="H19" s="2045"/>
      <c r="I19" s="2045"/>
      <c r="J19" s="2045"/>
      <c r="K19" s="2057"/>
      <c r="L19" s="2031"/>
      <c r="M19" s="2031"/>
      <c r="N19" s="2088"/>
      <c r="O19" s="2087"/>
      <c r="P19" s="2088"/>
      <c r="Q19" s="2032"/>
      <c r="R19" s="2032"/>
      <c r="S19" s="2032"/>
      <c r="T19" s="2032"/>
      <c r="U19" s="2032"/>
      <c r="V19" s="2032"/>
    </row>
    <row r="20" spans="1:22" ht="18" customHeight="1">
      <c r="A20" s="2100" t="s">
        <v>1807</v>
      </c>
      <c r="B20" s="3018" t="s">
        <v>1808</v>
      </c>
      <c r="C20" s="3019"/>
      <c r="D20" s="3020" t="s">
        <v>1809</v>
      </c>
      <c r="E20" s="3021"/>
      <c r="F20" s="2101" t="s">
        <v>1810</v>
      </c>
      <c r="G20" s="2045"/>
      <c r="H20" s="2045"/>
      <c r="I20" s="2045"/>
      <c r="J20" s="2045"/>
      <c r="K20" s="3017"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c r="C21" s="2103"/>
      <c r="D21" s="2104"/>
      <c r="E21" s="2105"/>
      <c r="F21" s="2106"/>
      <c r="G21" s="2045"/>
      <c r="H21" s="2045"/>
      <c r="I21" s="2045"/>
      <c r="J21" s="2045"/>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8"/>
      <c r="O21" s="2087"/>
      <c r="P21" s="2088"/>
      <c r="Q21" s="2032"/>
      <c r="R21" s="2032"/>
      <c r="S21" s="2032"/>
      <c r="T21" s="2032"/>
      <c r="U21" s="2032"/>
      <c r="V21" s="2032"/>
    </row>
    <row r="22" spans="1:22" ht="24.75" customHeight="1" thickBot="1">
      <c r="A22" s="2100"/>
      <c r="B22" s="2107" t="s">
        <v>1812</v>
      </c>
      <c r="C22" s="2103" t="s">
        <v>1813</v>
      </c>
      <c r="D22" s="2029"/>
      <c r="E22" s="2029"/>
      <c r="F22" s="2108"/>
      <c r="G22" s="2045"/>
      <c r="H22" s="2045"/>
      <c r="I22" s="2045"/>
      <c r="J22" s="2045"/>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1814</v>
      </c>
      <c r="B23" s="183" t="s">
        <v>1815</v>
      </c>
      <c r="C23" s="2110"/>
      <c r="D23" s="2111" t="s">
        <v>1815</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1816</v>
      </c>
      <c r="C24" s="2115"/>
      <c r="D24" s="2109" t="s">
        <v>1816</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1817</v>
      </c>
      <c r="C25" s="2115"/>
      <c r="D25" s="2109" t="s">
        <v>1817</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1818</v>
      </c>
      <c r="C26" s="2119"/>
      <c r="D26" s="2120" t="s">
        <v>1819</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5" t="s">
        <v>1820</v>
      </c>
      <c r="B27" s="2066" t="s">
        <v>1821</v>
      </c>
      <c r="C27" s="2123" t="s">
        <v>3054</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5"/>
      <c r="B28" s="2038" t="s">
        <v>1822</v>
      </c>
      <c r="C28" s="2125" t="s">
        <v>3055</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5"/>
      <c r="B29" s="2038" t="s">
        <v>1823</v>
      </c>
      <c r="C29" s="2128" t="s">
        <v>3053</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06"/>
      <c r="B30" s="2038" t="s">
        <v>1824</v>
      </c>
      <c r="C30" s="3007"/>
      <c r="D30" s="300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9" t="s">
        <v>1825</v>
      </c>
      <c r="B31" s="2130" t="s">
        <v>3056</v>
      </c>
      <c r="C31" s="2131" t="str">
        <f>IF(B31="现房","成新及维护状况正常否",IF(B31="在建","工程状态是否正常",IF(B31="土地","是否闲置","-")))</f>
        <v>工程状态是否正常</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1826</v>
      </c>
      <c r="B34" s="2137" t="s">
        <v>3057</v>
      </c>
      <c r="C34" s="2137" t="s">
        <v>3058</v>
      </c>
      <c r="D34" s="2137" t="s">
        <v>3059</v>
      </c>
      <c r="E34" s="2137" t="s">
        <v>3060</v>
      </c>
      <c r="F34" s="2137" t="s">
        <v>3061</v>
      </c>
      <c r="G34" s="2137"/>
      <c r="H34" s="2137"/>
      <c r="I34" s="2045"/>
      <c r="J34" s="2045"/>
      <c r="K34" s="1798">
        <f>COUNTIF(B34:H34,"——")</f>
        <v>0</v>
      </c>
      <c r="L34" s="2078" t="s">
        <v>1827</v>
      </c>
      <c r="M34" s="2078" t="s">
        <v>1828</v>
      </c>
      <c r="N34" s="2078" t="s">
        <v>1829</v>
      </c>
      <c r="O34" s="2078" t="s">
        <v>1830</v>
      </c>
      <c r="P34" s="2078" t="s">
        <v>1831</v>
      </c>
      <c r="Q34" s="2078" t="s">
        <v>1832</v>
      </c>
      <c r="R34" s="2078" t="s">
        <v>1833</v>
      </c>
      <c r="S34" s="3004" t="s">
        <v>1834</v>
      </c>
      <c r="T34" s="2138" t="str">
        <f>NUMBERSTRING(7-K34,1)&amp;"通"</f>
        <v>七通</v>
      </c>
      <c r="U34" s="2032"/>
      <c r="V34" s="2032"/>
    </row>
    <row r="35" spans="1:22" ht="18" customHeight="1">
      <c r="A35" s="2139"/>
      <c r="B35" s="3011" t="s">
        <v>1835</v>
      </c>
      <c r="C35" s="3011"/>
      <c r="D35" s="3011"/>
      <c r="E35" s="3011"/>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4"/>
      <c r="T35" s="48" t="str">
        <f>IF(T34="一通",L35,IF(T34="二通",M35,IF(T34="三通",N35,IF(T34="四通",O35,IF(T34="五通",P35,IF(T34="六通",Q35,R35))))))</f>
        <v>通路、通电、通讯、通上水、通下水、、</v>
      </c>
      <c r="U35" s="2032"/>
      <c r="V35" s="2032"/>
    </row>
    <row r="36" spans="1:22" ht="18" customHeight="1">
      <c r="A36" s="2141"/>
      <c r="B36" s="2140" t="s">
        <v>1836</v>
      </c>
      <c r="C36" s="2140" t="s">
        <v>1837</v>
      </c>
      <c r="D36" s="2140" t="s">
        <v>1838</v>
      </c>
      <c r="E36" s="2140" t="s">
        <v>1839</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1840</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1841</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1842</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1843</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1844</v>
      </c>
      <c r="B42" s="1798" t="s">
        <v>1845</v>
      </c>
      <c r="C42" s="1798" t="s">
        <v>1846</v>
      </c>
      <c r="D42" s="1798" t="s">
        <v>1847</v>
      </c>
      <c r="E42" s="1798" t="s">
        <v>1848</v>
      </c>
      <c r="F42" s="1798" t="s">
        <v>1849</v>
      </c>
      <c r="G42" s="1798" t="s">
        <v>1850</v>
      </c>
      <c r="H42" s="1798" t="s">
        <v>1851</v>
      </c>
      <c r="I42" s="1798" t="s">
        <v>1852</v>
      </c>
      <c r="J42" s="2156" t="s">
        <v>1853</v>
      </c>
      <c r="K42" s="2079" t="s">
        <v>1854</v>
      </c>
      <c r="L42" s="2079" t="s">
        <v>1855</v>
      </c>
      <c r="M42" s="2079" t="s">
        <v>1856</v>
      </c>
      <c r="N42" s="1798" t="s">
        <v>1857</v>
      </c>
      <c r="O42" s="1798" t="s">
        <v>1858</v>
      </c>
      <c r="P42" s="1798" t="s">
        <v>1859</v>
      </c>
      <c r="Q42" s="2078" t="s">
        <v>1860</v>
      </c>
      <c r="R42" s="2078" t="s">
        <v>1861</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1864</v>
      </c>
      <c r="B2" s="11" t="s">
        <v>1865</v>
      </c>
      <c r="C2" s="11" t="s">
        <v>1866</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1867</v>
      </c>
      <c r="AZ2" s="1273" t="s">
        <v>1868</v>
      </c>
      <c r="BA2" s="11" t="s">
        <v>1869</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36974.400000000001</v>
      </c>
      <c r="B3" s="14">
        <f>IF(C3="否",G5-AT5,G5)</f>
        <v>160382.87000000002</v>
      </c>
      <c r="C3" s="2172" t="s">
        <v>3062</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1870</v>
      </c>
      <c r="B5" s="1806"/>
      <c r="C5" s="1806"/>
      <c r="D5" s="1809"/>
      <c r="E5" s="16" t="s">
        <v>1</v>
      </c>
      <c r="F5" s="16">
        <f>SUM(F13:F587)</f>
        <v>0</v>
      </c>
      <c r="G5" s="16">
        <f>SUM(G13:G587)</f>
        <v>160382.87000000002</v>
      </c>
      <c r="H5" s="16">
        <f t="shared" ref="H5:AT5" si="0">SUM(H13:H656)</f>
        <v>158479.80000000002</v>
      </c>
      <c r="I5" s="16">
        <f t="shared" si="0"/>
        <v>132395.37000000002</v>
      </c>
      <c r="J5" s="16">
        <f t="shared" si="0"/>
        <v>0</v>
      </c>
      <c r="K5" s="16">
        <f t="shared" si="0"/>
        <v>26084.430000000004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1903.0699999999997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1903.0699999999997</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143860.73000000001</v>
      </c>
      <c r="BA5" s="18">
        <f t="shared" si="1"/>
        <v>142018.21000000002</v>
      </c>
      <c r="BB5" s="18">
        <f t="shared" si="1"/>
        <v>118740.57</v>
      </c>
      <c r="BC5" s="18">
        <f t="shared" si="1"/>
        <v>23277.64</v>
      </c>
      <c r="BD5" s="18">
        <f t="shared" si="1"/>
        <v>0</v>
      </c>
      <c r="BE5" s="18">
        <f t="shared" si="1"/>
        <v>0</v>
      </c>
      <c r="BF5" s="18">
        <f t="shared" si="1"/>
        <v>0</v>
      </c>
      <c r="BG5" s="18">
        <f t="shared" si="1"/>
        <v>0</v>
      </c>
      <c r="BH5" s="18">
        <f t="shared" si="1"/>
        <v>0</v>
      </c>
      <c r="BI5" s="18">
        <f t="shared" si="1"/>
        <v>0</v>
      </c>
      <c r="BJ5" s="18">
        <f t="shared" si="1"/>
        <v>0</v>
      </c>
      <c r="BK5" s="18">
        <f t="shared" si="1"/>
        <v>0</v>
      </c>
      <c r="BL5" s="18">
        <f t="shared" si="1"/>
        <v>1842.5199999999998</v>
      </c>
      <c r="BM5" s="18">
        <f t="shared" si="1"/>
        <v>0</v>
      </c>
      <c r="BN5" s="18">
        <f t="shared" si="1"/>
        <v>0</v>
      </c>
      <c r="BO5" s="18">
        <f t="shared" si="1"/>
        <v>0</v>
      </c>
      <c r="BP5" s="18">
        <f t="shared" si="1"/>
        <v>0</v>
      </c>
      <c r="BQ5" s="18">
        <f t="shared" si="1"/>
        <v>1842.5199999999998</v>
      </c>
      <c r="BR5" s="18">
        <f t="shared" si="1"/>
        <v>0</v>
      </c>
      <c r="BS5" s="18">
        <f t="shared" si="1"/>
        <v>0</v>
      </c>
      <c r="BT5" s="19">
        <f t="shared" si="1"/>
        <v>0</v>
      </c>
    </row>
    <row r="6" spans="1:72" s="2181" customFormat="1" ht="12.75">
      <c r="A6" s="15" t="s">
        <v>1871</v>
      </c>
      <c r="B6" s="2178"/>
      <c r="C6" s="2178"/>
      <c r="D6" s="2179"/>
      <c r="E6" s="16">
        <f>H6+AC6+AT6</f>
        <v>36974.400000000001</v>
      </c>
      <c r="F6" s="16" t="s">
        <v>1</v>
      </c>
      <c r="G6" s="16" t="s">
        <v>2</v>
      </c>
      <c r="H6" s="20">
        <f>SUMIF(I$12:AB$12,"总值",I6:AB6)</f>
        <v>36535.67</v>
      </c>
      <c r="I6" s="16">
        <f t="shared" ref="I6:AB6" si="2">ROUND($A$3*I5/$B$3,2)</f>
        <v>30522.21</v>
      </c>
      <c r="J6" s="16">
        <f t="shared" si="2"/>
        <v>0</v>
      </c>
      <c r="K6" s="16">
        <f t="shared" si="2"/>
        <v>6013.46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438.73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438.73</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1871</v>
      </c>
      <c r="AW6" s="2178"/>
      <c r="AX6" s="2178"/>
      <c r="AY6" s="21">
        <f>IF(AY3&gt;0,AY3,ROUND($A$3*AZ5/$B$3,2))</f>
        <v>33165.410000000003</v>
      </c>
      <c r="AZ6" s="16" t="s">
        <v>3</v>
      </c>
      <c r="BA6" s="16">
        <f>ROUND($AY$6*BA5/$AZ$5,2)</f>
        <v>32740.639999999999</v>
      </c>
      <c r="BB6" s="16">
        <f>ROUND($AY$6*BB5/$AZ$5,2)</f>
        <v>27374.25</v>
      </c>
      <c r="BC6" s="16">
        <f t="shared" ref="BC6:BH6" si="4">ROUND($AY$6*BC5/$AZ$5,2)</f>
        <v>5366.39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424.77</v>
      </c>
      <c r="BM6" s="16">
        <f t="shared" si="5"/>
        <v>0</v>
      </c>
      <c r="BN6" s="16">
        <f t="shared" si="5"/>
        <v>0</v>
      </c>
      <c r="BO6" s="16">
        <f t="shared" si="5"/>
        <v>0</v>
      </c>
      <c r="BP6" s="16">
        <f t="shared" si="5"/>
        <v>0</v>
      </c>
      <c r="BQ6" s="16">
        <f t="shared" si="5"/>
        <v>424.77</v>
      </c>
      <c r="BR6" s="16">
        <f t="shared" si="5"/>
        <v>0</v>
      </c>
      <c r="BS6" s="16">
        <f t="shared" si="5"/>
        <v>0</v>
      </c>
      <c r="BT6" s="22">
        <f t="shared" si="5"/>
        <v>0</v>
      </c>
    </row>
    <row r="7" spans="1:72" s="2171" customFormat="1" ht="24.75">
      <c r="A7" s="2113" t="s">
        <v>1872</v>
      </c>
      <c r="B7" s="2113" t="s">
        <v>1873</v>
      </c>
      <c r="C7" s="2113" t="s">
        <v>1874</v>
      </c>
      <c r="D7" s="2113" t="s">
        <v>1875</v>
      </c>
      <c r="E7" s="2113" t="s">
        <v>1876</v>
      </c>
      <c r="F7" s="2113" t="s">
        <v>1877</v>
      </c>
      <c r="G7" s="2182" t="s">
        <v>1878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1879</v>
      </c>
      <c r="AV7" s="23" t="s">
        <v>1880</v>
      </c>
      <c r="AW7" s="2170" t="s">
        <v>1881</v>
      </c>
      <c r="AX7" s="23" t="s">
        <v>1874</v>
      </c>
      <c r="AY7" s="1806" t="s">
        <v>1882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1883</v>
      </c>
      <c r="H8" s="2188" t="s">
        <v>1884</v>
      </c>
      <c r="I8" s="2189"/>
      <c r="J8" s="1821"/>
      <c r="K8" s="1821"/>
      <c r="L8" s="1821"/>
      <c r="M8" s="1821"/>
      <c r="N8" s="1821"/>
      <c r="O8" s="1821"/>
      <c r="P8" s="1821"/>
      <c r="Q8" s="1821"/>
      <c r="R8" s="1821"/>
      <c r="S8" s="1821"/>
      <c r="T8" s="1821"/>
      <c r="U8" s="1821"/>
      <c r="V8" s="2190"/>
      <c r="W8" s="1821"/>
      <c r="X8" s="1821"/>
      <c r="Y8" s="1821"/>
      <c r="Z8" s="1821"/>
      <c r="AA8" s="2190"/>
      <c r="AB8" s="2191"/>
      <c r="AC8" s="984" t="s">
        <v>1885</v>
      </c>
      <c r="AD8" s="2192"/>
      <c r="AE8" s="2184"/>
      <c r="AF8" s="1821"/>
      <c r="AG8" s="1821"/>
      <c r="AH8" s="1821"/>
      <c r="AI8" s="1821"/>
      <c r="AJ8" s="1821"/>
      <c r="AK8" s="1821"/>
      <c r="AL8" s="1821"/>
      <c r="AM8" s="1821"/>
      <c r="AN8" s="1821"/>
      <c r="AO8" s="1821"/>
      <c r="AP8" s="1821"/>
      <c r="AQ8" s="1821"/>
      <c r="AR8" s="1821"/>
      <c r="AS8" s="1821"/>
      <c r="AT8" s="1295" t="s">
        <v>1886</v>
      </c>
      <c r="AU8" s="2186" t="s">
        <v>1887</v>
      </c>
      <c r="AV8" s="1295"/>
      <c r="AW8" s="2169"/>
      <c r="AX8" s="1295"/>
      <c r="AY8" s="2170"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1890</v>
      </c>
      <c r="I9" s="2195" t="s">
        <v>3083</v>
      </c>
      <c r="J9" s="984"/>
      <c r="K9" s="2195" t="s">
        <v>3083</v>
      </c>
      <c r="L9" s="984"/>
      <c r="M9" s="2195"/>
      <c r="N9" s="984"/>
      <c r="O9" s="2195"/>
      <c r="P9" s="984"/>
      <c r="Q9" s="2195"/>
      <c r="R9" s="984"/>
      <c r="S9" s="2195"/>
      <c r="T9" s="984"/>
      <c r="U9" s="2195"/>
      <c r="V9" s="984"/>
      <c r="W9" s="2195"/>
      <c r="X9" s="2196"/>
      <c r="Y9" s="2195"/>
      <c r="Z9" s="984"/>
      <c r="AA9" s="2195"/>
      <c r="AB9" s="984"/>
      <c r="AC9" s="2187"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7"/>
      <c r="AT9" s="2186"/>
      <c r="AU9" s="2186" t="s">
        <v>1893</v>
      </c>
      <c r="AV9" s="1295"/>
      <c r="AW9" s="2169"/>
      <c r="AX9" s="1295"/>
      <c r="AY9" s="28"/>
      <c r="AZ9" s="28" t="s">
        <v>1883</v>
      </c>
      <c r="BA9" s="2198" t="s">
        <v>1894</v>
      </c>
      <c r="BB9" s="2199"/>
      <c r="BC9" s="1341"/>
      <c r="BD9" s="1341"/>
      <c r="BE9" s="1341"/>
      <c r="BF9" s="1341"/>
      <c r="BG9" s="1341"/>
      <c r="BH9" s="1341"/>
      <c r="BI9" s="1341"/>
      <c r="BJ9" s="1341"/>
      <c r="BK9" s="2200"/>
      <c r="BL9" s="15" t="s">
        <v>1895</v>
      </c>
      <c r="BM9" s="1821"/>
      <c r="BN9" s="2189"/>
      <c r="BO9" s="1821"/>
      <c r="BP9" s="1821"/>
      <c r="BQ9" s="1821"/>
      <c r="BR9" s="1821"/>
      <c r="BS9" s="1821"/>
      <c r="BT9" s="26"/>
    </row>
    <row r="10" spans="1:72" s="2193" customFormat="1" ht="12.75">
      <c r="A10" s="2186"/>
      <c r="B10" s="2186"/>
      <c r="C10" s="2186"/>
      <c r="D10" s="2186"/>
      <c r="E10" s="2186"/>
      <c r="F10" s="2186"/>
      <c r="G10" s="1295"/>
      <c r="H10" s="28"/>
      <c r="I10" s="2195" t="s">
        <v>3072</v>
      </c>
      <c r="J10" s="984"/>
      <c r="K10" s="2201" t="s">
        <v>1373</v>
      </c>
      <c r="L10" s="984"/>
      <c r="M10" s="2201"/>
      <c r="N10" s="984"/>
      <c r="O10" s="2201"/>
      <c r="P10" s="984"/>
      <c r="Q10" s="2201"/>
      <c r="R10" s="984"/>
      <c r="S10" s="2201"/>
      <c r="T10" s="984"/>
      <c r="U10" s="2201"/>
      <c r="V10" s="984"/>
      <c r="W10" s="2201"/>
      <c r="X10" s="984"/>
      <c r="Y10" s="2201"/>
      <c r="Z10" s="984"/>
      <c r="AA10" s="2201"/>
      <c r="AB10" s="984"/>
      <c r="AC10" s="1295"/>
      <c r="AD10" s="15" t="s">
        <v>1896</v>
      </c>
      <c r="AE10" s="2202"/>
      <c r="AF10" s="15" t="s">
        <v>1896</v>
      </c>
      <c r="AG10" s="2202"/>
      <c r="AH10" s="15" t="s">
        <v>1897</v>
      </c>
      <c r="AI10" s="2202"/>
      <c r="AJ10" s="15" t="s">
        <v>1897</v>
      </c>
      <c r="AK10" s="2202"/>
      <c r="AL10" s="15" t="s">
        <v>1898</v>
      </c>
      <c r="AM10" s="1301"/>
      <c r="AN10" s="15" t="s">
        <v>1898</v>
      </c>
      <c r="AO10" s="1301"/>
      <c r="AP10" s="15" t="s">
        <v>1899</v>
      </c>
      <c r="AQ10" s="1301"/>
      <c r="AR10" s="15" t="s">
        <v>1899</v>
      </c>
      <c r="AS10" s="1301"/>
      <c r="AT10" s="2186"/>
      <c r="AU10" s="2186"/>
      <c r="AV10" s="1295"/>
      <c r="AW10" s="2169"/>
      <c r="AX10" s="1295"/>
      <c r="AY10" s="28"/>
      <c r="AZ10" s="28"/>
      <c r="BA10" s="2203" t="s">
        <v>1890</v>
      </c>
      <c r="BB10" s="2204" t="str">
        <f>I9</f>
        <v>地上</v>
      </c>
      <c r="BC10" s="29" t="str">
        <f>K9</f>
        <v>地上</v>
      </c>
      <c r="BD10" s="29">
        <f>M9</f>
        <v>0</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3084</v>
      </c>
      <c r="J11" s="2207"/>
      <c r="K11" s="2206" t="s">
        <v>3085</v>
      </c>
      <c r="L11" s="2207"/>
      <c r="M11" s="2206"/>
      <c r="N11" s="2207"/>
      <c r="O11" s="2206"/>
      <c r="P11" s="2207"/>
      <c r="Q11" s="2206"/>
      <c r="R11" s="2207"/>
      <c r="S11" s="2206"/>
      <c r="T11" s="2207"/>
      <c r="U11" s="2206"/>
      <c r="V11" s="2207"/>
      <c r="W11" s="2206"/>
      <c r="X11" s="2207"/>
      <c r="Y11" s="2206"/>
      <c r="Z11" s="2207"/>
      <c r="AA11" s="2206"/>
      <c r="AB11" s="2207"/>
      <c r="AC11" s="1295"/>
      <c r="AD11" s="2208" t="s">
        <v>1900</v>
      </c>
      <c r="AE11" s="1822"/>
      <c r="AF11" s="2208" t="s">
        <v>1900</v>
      </c>
      <c r="AG11" s="1822"/>
      <c r="AH11" s="2208" t="s">
        <v>1901</v>
      </c>
      <c r="AI11" s="2209"/>
      <c r="AJ11" s="2208" t="s">
        <v>1901</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13"/>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11" t="s">
        <v>1903</v>
      </c>
      <c r="AT12" s="2214"/>
      <c r="AU12" s="2211"/>
      <c r="AV12" s="31"/>
      <c r="AW12" s="2170"/>
      <c r="AX12" s="31"/>
      <c r="AY12" s="2215"/>
      <c r="AZ12" s="28"/>
      <c r="BA12" s="2203"/>
      <c r="BB12" s="24" t="str">
        <f>I11</f>
        <v>普通住宅</v>
      </c>
      <c r="BC12" s="2216" t="str">
        <f>K11</f>
        <v>独立商业</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20</v>
      </c>
      <c r="D13" s="2217" t="s">
        <v>3062</v>
      </c>
      <c r="E13" s="16">
        <f>IF($C$3="是",ROUND($A$3*G13/$B$3,2),ROUND($A$3*(G13-AT13)/$B$3,2))</f>
        <v>3660.19</v>
      </c>
      <c r="F13" s="32"/>
      <c r="G13" s="33">
        <f>H13+AC13+AT13</f>
        <v>15876.72</v>
      </c>
      <c r="H13" s="20">
        <f>SUMIF(I$12:AB$12,"总值",I13:AB13)</f>
        <v>15731.67</v>
      </c>
      <c r="I13" s="2218">
        <v>12315.9</v>
      </c>
      <c r="J13" s="2218"/>
      <c r="K13" s="2218">
        <v>3415.77</v>
      </c>
      <c r="L13" s="2218"/>
      <c r="M13" s="2218"/>
      <c r="N13" s="2218"/>
      <c r="O13" s="2218"/>
      <c r="P13" s="2218"/>
      <c r="Q13" s="2218"/>
      <c r="R13" s="2218"/>
      <c r="S13" s="2218"/>
      <c r="T13" s="2218"/>
      <c r="U13" s="2218"/>
      <c r="V13" s="2218"/>
      <c r="W13" s="2218"/>
      <c r="X13" s="2218"/>
      <c r="Y13" s="2218"/>
      <c r="Z13" s="2218"/>
      <c r="AA13" s="2218"/>
      <c r="AB13" s="2218"/>
      <c r="AC13" s="16">
        <f>SUMIF(AD$12:AS$12,"总值",AD13:AS13)</f>
        <v>145.05000000000001</v>
      </c>
      <c r="AD13" s="2219"/>
      <c r="AE13" s="2219"/>
      <c r="AF13" s="2219"/>
      <c r="AG13" s="2219"/>
      <c r="AH13" s="2219"/>
      <c r="AI13" s="2219"/>
      <c r="AJ13" s="2219"/>
      <c r="AK13" s="2219"/>
      <c r="AL13" s="2219">
        <v>145.05000000000001</v>
      </c>
      <c r="AM13" s="2219"/>
      <c r="AN13" s="2219"/>
      <c r="AO13" s="2219"/>
      <c r="AP13" s="2219"/>
      <c r="AQ13" s="2219"/>
      <c r="AR13" s="2219"/>
      <c r="AS13" s="2219"/>
      <c r="AT13" s="2220"/>
      <c r="AU13" s="2221"/>
      <c r="AV13" s="11">
        <f t="shared" ref="AV13:AX17" si="6">A13</f>
        <v>0</v>
      </c>
      <c r="AW13" s="11">
        <f t="shared" si="6"/>
        <v>0</v>
      </c>
      <c r="AX13" s="11">
        <f t="shared" si="6"/>
        <v>20</v>
      </c>
      <c r="AY13" s="1809">
        <f>ROUND($AY$6*AZ13/$AZ$5,2)</f>
        <v>3660.19</v>
      </c>
      <c r="AZ13" s="16">
        <f>BA13+BL13</f>
        <v>15876.72</v>
      </c>
      <c r="BA13" s="16">
        <f>SUM(BB13:BK13)</f>
        <v>15731.67</v>
      </c>
      <c r="BB13" s="16">
        <f>IF($D13="是",I13-J13,0)</f>
        <v>12315.9</v>
      </c>
      <c r="BC13" s="16">
        <f>IF($D13="是",K13-L13,0)</f>
        <v>3415.77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145.05000000000001</v>
      </c>
      <c r="BM13" s="16">
        <f>IF($D13="是",AD13-AE13,0)</f>
        <v>0</v>
      </c>
      <c r="BN13" s="16">
        <f>IF($D13="是",AF13-AG13,0)</f>
        <v>0</v>
      </c>
      <c r="BO13" s="16">
        <f>IF($D13="是",AH13-AI13,0)</f>
        <v>0</v>
      </c>
      <c r="BP13" s="16">
        <f>IF($D13="是",AJ13-AK13,0)</f>
        <v>0</v>
      </c>
      <c r="BQ13" s="16">
        <f>IF($D13="是",AL13-AM13,0)</f>
        <v>145.05000000000001</v>
      </c>
      <c r="BR13" s="16">
        <f>IF($D13="是",AN13-AO13,0)</f>
        <v>0</v>
      </c>
      <c r="BS13" s="16">
        <f>IF($D13="是",AP13-AQ13,0)</f>
        <v>0</v>
      </c>
      <c r="BT13" s="22">
        <f>IF($D13="是",AR13-AS13,0)</f>
        <v>0</v>
      </c>
    </row>
    <row r="14" spans="1:72" s="2171" customFormat="1" ht="12.75">
      <c r="A14" s="1275"/>
      <c r="B14" s="1275"/>
      <c r="C14" s="1275">
        <v>21</v>
      </c>
      <c r="D14" s="2217" t="s">
        <v>3062</v>
      </c>
      <c r="E14" s="16">
        <f>IF($C$3="是",ROUND($A$3*G14/$B$3,2),ROUND($A$3*(G14-AT14)/$B$3,2))</f>
        <v>3540.17</v>
      </c>
      <c r="F14" s="32"/>
      <c r="G14" s="33">
        <f>H14+AC14+AT14</f>
        <v>15356.12</v>
      </c>
      <c r="H14" s="20">
        <f>SUMIF(I$12:AB$12,"总值",I14:AB14)</f>
        <v>15146.51</v>
      </c>
      <c r="I14" s="2218">
        <v>13812.6</v>
      </c>
      <c r="J14" s="2218"/>
      <c r="K14" s="2218">
        <v>1333.91</v>
      </c>
      <c r="L14" s="2218"/>
      <c r="M14" s="2218"/>
      <c r="N14" s="2218"/>
      <c r="O14" s="2218"/>
      <c r="P14" s="2218"/>
      <c r="Q14" s="2218"/>
      <c r="R14" s="2218"/>
      <c r="S14" s="2218"/>
      <c r="T14" s="2218"/>
      <c r="U14" s="2218"/>
      <c r="V14" s="2218"/>
      <c r="W14" s="2218"/>
      <c r="X14" s="2218"/>
      <c r="Y14" s="2218"/>
      <c r="Z14" s="2218"/>
      <c r="AA14" s="2218"/>
      <c r="AB14" s="2218"/>
      <c r="AC14" s="16">
        <f>SUMIF(AD$12:AS$12,"总值",AD14:AS14)</f>
        <v>209.61</v>
      </c>
      <c r="AD14" s="2219"/>
      <c r="AE14" s="2219"/>
      <c r="AF14" s="2219"/>
      <c r="AG14" s="2219"/>
      <c r="AH14" s="2219"/>
      <c r="AI14" s="2219"/>
      <c r="AJ14" s="2219"/>
      <c r="AK14" s="2219"/>
      <c r="AL14" s="2219">
        <v>209.61</v>
      </c>
      <c r="AM14" s="2219"/>
      <c r="AN14" s="2219"/>
      <c r="AO14" s="2219"/>
      <c r="AP14" s="2219"/>
      <c r="AQ14" s="2219"/>
      <c r="AR14" s="2219"/>
      <c r="AS14" s="2219"/>
      <c r="AT14" s="2220"/>
      <c r="AU14" s="2221"/>
      <c r="AV14" s="11">
        <f t="shared" si="6"/>
        <v>0</v>
      </c>
      <c r="AW14" s="11">
        <f t="shared" si="6"/>
        <v>0</v>
      </c>
      <c r="AX14" s="11">
        <f t="shared" si="6"/>
        <v>21</v>
      </c>
      <c r="AY14" s="1809">
        <f>ROUND($AY$6*AZ14/$AZ$5,2)</f>
        <v>3540.17</v>
      </c>
      <c r="AZ14" s="16">
        <f>BA14+BL14</f>
        <v>15356.12</v>
      </c>
      <c r="BA14" s="16">
        <f>SUM(BB14:BK14)</f>
        <v>15146.51</v>
      </c>
      <c r="BB14" s="16">
        <f>IF($D14="是",I14-J14,0)</f>
        <v>13812.6</v>
      </c>
      <c r="BC14" s="16">
        <f>IF($D14="是",K14-L14,0)</f>
        <v>1333.91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209.61</v>
      </c>
      <c r="BM14" s="16">
        <f>IF($D14="是",AD14-AE14,0)</f>
        <v>0</v>
      </c>
      <c r="BN14" s="16">
        <f>IF($D14="是",AF14-AG14,0)</f>
        <v>0</v>
      </c>
      <c r="BO14" s="16">
        <f>IF($D14="是",AH14-AI14,0)</f>
        <v>0</v>
      </c>
      <c r="BP14" s="16">
        <f>IF($D14="是",AJ14-AK14,0)</f>
        <v>0</v>
      </c>
      <c r="BQ14" s="16">
        <f>IF($D14="是",AL14-AM14,0)</f>
        <v>209.61</v>
      </c>
      <c r="BR14" s="16">
        <f>IF($D14="是",AN14-AO14,0)</f>
        <v>0</v>
      </c>
      <c r="BS14" s="16">
        <f>IF($D14="是",AP14-AQ14,0)</f>
        <v>0</v>
      </c>
      <c r="BT14" s="22">
        <f>IF($D14="是",AR14-AS14,0)</f>
        <v>0</v>
      </c>
    </row>
    <row r="15" spans="1:72" s="2171" customFormat="1" ht="12.75">
      <c r="A15" s="1275"/>
      <c r="B15" s="1275"/>
      <c r="C15" s="1275">
        <v>22</v>
      </c>
      <c r="D15" s="2217" t="s">
        <v>3062</v>
      </c>
      <c r="E15" s="16">
        <f>IF($C$3="是",ROUND($A$3*G15/$B$3,2),ROUND($A$3*(G15-AT15)/$B$3,2))</f>
        <v>3541.81</v>
      </c>
      <c r="F15" s="32"/>
      <c r="G15" s="33">
        <f>H15+AC15+AT15</f>
        <v>15363.21</v>
      </c>
      <c r="H15" s="20">
        <f>SUMIF(I$12:AB$12,"总值",I15:AB15)</f>
        <v>15094.42</v>
      </c>
      <c r="I15" s="2218">
        <v>13786.5</v>
      </c>
      <c r="J15" s="2218"/>
      <c r="K15" s="2218">
        <v>1307.92</v>
      </c>
      <c r="L15" s="2218"/>
      <c r="M15" s="2218"/>
      <c r="N15" s="2218"/>
      <c r="O15" s="2218"/>
      <c r="P15" s="2218"/>
      <c r="Q15" s="2218"/>
      <c r="R15" s="2218"/>
      <c r="S15" s="2218"/>
      <c r="T15" s="2218"/>
      <c r="U15" s="2218"/>
      <c r="V15" s="2218"/>
      <c r="W15" s="2218"/>
      <c r="X15" s="2218"/>
      <c r="Y15" s="2218"/>
      <c r="Z15" s="2218"/>
      <c r="AA15" s="2218"/>
      <c r="AB15" s="2218"/>
      <c r="AC15" s="16">
        <f>SUMIF(AD$12:AS$12,"总值",AD15:AS15)</f>
        <v>268.78999999999996</v>
      </c>
      <c r="AD15" s="2219"/>
      <c r="AE15" s="2219"/>
      <c r="AF15" s="2219"/>
      <c r="AG15" s="2219"/>
      <c r="AH15" s="2219"/>
      <c r="AI15" s="2219"/>
      <c r="AJ15" s="2219"/>
      <c r="AK15" s="2219"/>
      <c r="AL15" s="2219">
        <v>268.78999999999996</v>
      </c>
      <c r="AM15" s="2219"/>
      <c r="AN15" s="2219"/>
      <c r="AO15" s="2219"/>
      <c r="AP15" s="2219"/>
      <c r="AQ15" s="2219"/>
      <c r="AR15" s="2219"/>
      <c r="AS15" s="2219"/>
      <c r="AT15" s="2220"/>
      <c r="AU15" s="2221"/>
      <c r="AV15" s="11">
        <f t="shared" si="6"/>
        <v>0</v>
      </c>
      <c r="AW15" s="11">
        <f t="shared" si="6"/>
        <v>0</v>
      </c>
      <c r="AX15" s="11">
        <f t="shared" si="6"/>
        <v>22</v>
      </c>
      <c r="AY15" s="1809">
        <f>ROUND($AY$6*AZ15/$AZ$5,2)</f>
        <v>3541.81</v>
      </c>
      <c r="AZ15" s="16">
        <f>BA15+BL15</f>
        <v>15363.21</v>
      </c>
      <c r="BA15" s="16">
        <f>SUM(BB15:BK15)</f>
        <v>15094.42</v>
      </c>
      <c r="BB15" s="16">
        <f>IF($D15="是",I15-J15,0)</f>
        <v>13786.5</v>
      </c>
      <c r="BC15" s="16">
        <f>IF($D15="是",K15-L15,0)</f>
        <v>1307.92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268.78999999999996</v>
      </c>
      <c r="BM15" s="16">
        <f>IF($D15="是",AD15-AE15,0)</f>
        <v>0</v>
      </c>
      <c r="BN15" s="16">
        <f>IF($D15="是",AF15-AG15,0)</f>
        <v>0</v>
      </c>
      <c r="BO15" s="16">
        <f>IF($D15="是",AH15-AI15,0)</f>
        <v>0</v>
      </c>
      <c r="BP15" s="16">
        <f>IF($D15="是",AJ15-AK15,0)</f>
        <v>0</v>
      </c>
      <c r="BQ15" s="16">
        <f>IF($D15="是",AL15-AM15,0)</f>
        <v>268.78999999999996</v>
      </c>
      <c r="BR15" s="16">
        <f>IF($D15="是",AN15-AO15,0)</f>
        <v>0</v>
      </c>
      <c r="BS15" s="16">
        <f>IF($D15="是",AP15-AQ15,0)</f>
        <v>0</v>
      </c>
      <c r="BT15" s="22">
        <f>IF($D15="是",AR15-AS15,0)</f>
        <v>0</v>
      </c>
    </row>
    <row r="16" spans="1:72" s="2171" customFormat="1" ht="12.75">
      <c r="A16" s="1275"/>
      <c r="B16" s="1275"/>
      <c r="C16" s="1275">
        <v>23</v>
      </c>
      <c r="D16" s="2217" t="s">
        <v>3062</v>
      </c>
      <c r="E16" s="16">
        <f>IF($C$3="是",ROUND($A$3*G16/$B$3,2),ROUND($A$3*(G16-AT16)/$B$3,2))</f>
        <v>3464.57</v>
      </c>
      <c r="F16" s="32"/>
      <c r="G16" s="33">
        <f>H16+AC16+AT16</f>
        <v>15028.19</v>
      </c>
      <c r="H16" s="20">
        <f>SUMIF(I$12:AB$12,"总值",I16:AB16)</f>
        <v>14896.65</v>
      </c>
      <c r="I16" s="2218">
        <v>12357.9</v>
      </c>
      <c r="J16" s="2218"/>
      <c r="K16" s="2218">
        <v>2538.75</v>
      </c>
      <c r="L16" s="2218"/>
      <c r="M16" s="2218"/>
      <c r="N16" s="2218"/>
      <c r="O16" s="2218"/>
      <c r="P16" s="2218"/>
      <c r="Q16" s="2218"/>
      <c r="R16" s="2218"/>
      <c r="S16" s="2218"/>
      <c r="T16" s="2218"/>
      <c r="U16" s="2218"/>
      <c r="V16" s="2218"/>
      <c r="W16" s="2218"/>
      <c r="X16" s="2218"/>
      <c r="Y16" s="2218"/>
      <c r="Z16" s="2218"/>
      <c r="AA16" s="2218"/>
      <c r="AB16" s="2218"/>
      <c r="AC16" s="16">
        <f>SUMIF(AD$12:AS$12,"总值",AD16:AS16)</f>
        <v>131.54</v>
      </c>
      <c r="AD16" s="2219"/>
      <c r="AE16" s="2219"/>
      <c r="AF16" s="2219"/>
      <c r="AG16" s="2219"/>
      <c r="AH16" s="2219"/>
      <c r="AI16" s="2219"/>
      <c r="AJ16" s="2219"/>
      <c r="AK16" s="2219"/>
      <c r="AL16" s="2219">
        <v>131.54</v>
      </c>
      <c r="AM16" s="2219"/>
      <c r="AN16" s="2219"/>
      <c r="AO16" s="2219"/>
      <c r="AP16" s="2219"/>
      <c r="AQ16" s="2219"/>
      <c r="AR16" s="2219"/>
      <c r="AS16" s="2219"/>
      <c r="AT16" s="2220"/>
      <c r="AU16" s="2221"/>
      <c r="AV16" s="11">
        <f t="shared" si="6"/>
        <v>0</v>
      </c>
      <c r="AW16" s="11">
        <f t="shared" si="6"/>
        <v>0</v>
      </c>
      <c r="AX16" s="11">
        <f t="shared" si="6"/>
        <v>23</v>
      </c>
      <c r="AY16" s="1809">
        <f>ROUND($AY$6*AZ16/$AZ$5,2)</f>
        <v>3464.57</v>
      </c>
      <c r="AZ16" s="16">
        <f>BA16+BL16</f>
        <v>15028.19</v>
      </c>
      <c r="BA16" s="16">
        <f>SUM(BB16:BK16)</f>
        <v>14896.65</v>
      </c>
      <c r="BB16" s="16">
        <f>IF($D16="是",I16-J16,0)</f>
        <v>12357.9</v>
      </c>
      <c r="BC16" s="16">
        <f>IF($D16="是",K16-L16,0)</f>
        <v>2538.75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131.54</v>
      </c>
      <c r="BM16" s="16">
        <f>IF($D16="是",AD16-AE16,0)</f>
        <v>0</v>
      </c>
      <c r="BN16" s="16">
        <f>IF($D16="是",AF16-AG16,0)</f>
        <v>0</v>
      </c>
      <c r="BO16" s="16">
        <f>IF($D16="是",AH16-AI16,0)</f>
        <v>0</v>
      </c>
      <c r="BP16" s="16">
        <f>IF($D16="是",AJ16-AK16,0)</f>
        <v>0</v>
      </c>
      <c r="BQ16" s="16">
        <f>IF($D16="是",AL16-AM16,0)</f>
        <v>131.54</v>
      </c>
      <c r="BR16" s="16">
        <f>IF($D16="是",AN16-AO16,0)</f>
        <v>0</v>
      </c>
      <c r="BS16" s="16">
        <f>IF($D16="是",AP16-AQ16,0)</f>
        <v>0</v>
      </c>
      <c r="BT16" s="22">
        <f>IF($D16="是",AR16-AS16,0)</f>
        <v>0</v>
      </c>
    </row>
    <row r="17" spans="1:72" s="2171" customFormat="1" ht="12.75">
      <c r="A17" s="1275"/>
      <c r="B17" s="1275"/>
      <c r="C17" s="1275">
        <v>24</v>
      </c>
      <c r="D17" s="2217" t="s">
        <v>3062</v>
      </c>
      <c r="E17" s="16">
        <f>IF($C$3="是",ROUND($A$3*G17/$B$3,2),ROUND($A$3*(G17-AT17)/$B$3,2))</f>
        <v>3081.67</v>
      </c>
      <c r="F17" s="32"/>
      <c r="G17" s="33">
        <f>H17+AC17+AT17</f>
        <v>13367.28</v>
      </c>
      <c r="H17" s="20">
        <f>SUMIF(I$12:AB$12,"总值",I17:AB17)</f>
        <v>13279.52</v>
      </c>
      <c r="I17" s="2218">
        <v>12321.9</v>
      </c>
      <c r="J17" s="2218"/>
      <c r="K17" s="2218">
        <v>957.62000000000012</v>
      </c>
      <c r="L17" s="2218"/>
      <c r="M17" s="2218"/>
      <c r="N17" s="2218"/>
      <c r="O17" s="2218"/>
      <c r="P17" s="2218"/>
      <c r="Q17" s="2218"/>
      <c r="R17" s="2218"/>
      <c r="S17" s="2218"/>
      <c r="T17" s="2218"/>
      <c r="U17" s="2218"/>
      <c r="V17" s="2218"/>
      <c r="W17" s="2218"/>
      <c r="X17" s="2218"/>
      <c r="Y17" s="2218"/>
      <c r="Z17" s="2218"/>
      <c r="AA17" s="2218"/>
      <c r="AB17" s="2218"/>
      <c r="AC17" s="16">
        <f>SUMIF(AD$12:AS$12,"总值",AD17:AS17)</f>
        <v>87.76</v>
      </c>
      <c r="AD17" s="2219"/>
      <c r="AE17" s="2219"/>
      <c r="AF17" s="2219"/>
      <c r="AG17" s="2219"/>
      <c r="AH17" s="2219"/>
      <c r="AI17" s="2219"/>
      <c r="AJ17" s="2219"/>
      <c r="AK17" s="2219"/>
      <c r="AL17" s="2219">
        <v>87.76</v>
      </c>
      <c r="AM17" s="2219"/>
      <c r="AN17" s="2219"/>
      <c r="AO17" s="2219"/>
      <c r="AP17" s="2219"/>
      <c r="AQ17" s="2219"/>
      <c r="AR17" s="2219"/>
      <c r="AS17" s="2219"/>
      <c r="AT17" s="2220"/>
      <c r="AU17" s="2221"/>
      <c r="AV17" s="11">
        <f t="shared" si="6"/>
        <v>0</v>
      </c>
      <c r="AW17" s="11">
        <f t="shared" si="6"/>
        <v>0</v>
      </c>
      <c r="AX17" s="11">
        <f t="shared" si="6"/>
        <v>24</v>
      </c>
      <c r="AY17" s="1809">
        <f>ROUND($AY$6*AZ17/$AZ$5,2)</f>
        <v>3081.67</v>
      </c>
      <c r="AZ17" s="16">
        <f>BA17+BL17</f>
        <v>13367.28</v>
      </c>
      <c r="BA17" s="16">
        <f>SUM(BB17:BK17)</f>
        <v>13279.52</v>
      </c>
      <c r="BB17" s="16">
        <f>IF($D17="是",I17-J17,0)</f>
        <v>12321.9</v>
      </c>
      <c r="BC17" s="16">
        <f>IF($D17="是",K17-L17,0)</f>
        <v>957.62000000000012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87.76</v>
      </c>
      <c r="BM17" s="16">
        <f>IF($D17="是",AD17-AE17,0)</f>
        <v>0</v>
      </c>
      <c r="BN17" s="16">
        <f>IF($D17="是",AF17-AG17,0)</f>
        <v>0</v>
      </c>
      <c r="BO17" s="16">
        <f>IF($D17="是",AH17-AI17,0)</f>
        <v>0</v>
      </c>
      <c r="BP17" s="16">
        <f>IF($D17="是",AJ17-AK17,0)</f>
        <v>0</v>
      </c>
      <c r="BQ17" s="16">
        <f>IF($D17="是",AL17-AM17,0)</f>
        <v>87.76</v>
      </c>
      <c r="BR17" s="16">
        <f>IF($D17="是",AN17-AO17,0)</f>
        <v>0</v>
      </c>
      <c r="BS17" s="16">
        <f>IF($D17="是",AP17-AQ17,0)</f>
        <v>0</v>
      </c>
      <c r="BT17" s="22">
        <f>IF($D17="是",AR17-AS17,0)</f>
        <v>0</v>
      </c>
    </row>
    <row r="18" spans="1:72">
      <c r="A18" s="9"/>
      <c r="B18" s="34"/>
      <c r="C18" s="1275">
        <v>25</v>
      </c>
      <c r="D18" s="2217" t="s">
        <v>3062</v>
      </c>
      <c r="E18" s="35">
        <f t="shared" ref="E18:E112" si="7">IF($C$3="是",ROUND($A$3*G18/$B$3,2),ROUND($A$3*(G18-AT18)/$B$3,2))</f>
        <v>3464.46</v>
      </c>
      <c r="F18" s="36"/>
      <c r="G18" s="37">
        <f t="shared" ref="G18:G109" si="8">H18+AC18+AT18</f>
        <v>15027.699999999999</v>
      </c>
      <c r="H18" s="38">
        <f t="shared" ref="H18:H109" si="9">SUMIF(I$12:AB$12,"总值",I18:AB18)</f>
        <v>14789.56</v>
      </c>
      <c r="I18" s="39">
        <v>13809.3</v>
      </c>
      <c r="J18" s="39"/>
      <c r="K18" s="39">
        <v>980.26</v>
      </c>
      <c r="L18" s="39"/>
      <c r="M18" s="39"/>
      <c r="N18" s="39"/>
      <c r="O18" s="39"/>
      <c r="P18" s="39"/>
      <c r="Q18" s="39"/>
      <c r="R18" s="39"/>
      <c r="S18" s="39"/>
      <c r="T18" s="39"/>
      <c r="U18" s="39"/>
      <c r="V18" s="39"/>
      <c r="W18" s="39"/>
      <c r="X18" s="39"/>
      <c r="Y18" s="39"/>
      <c r="Z18" s="39"/>
      <c r="AA18" s="39"/>
      <c r="AB18" s="39"/>
      <c r="AC18" s="35">
        <f t="shared" ref="AC18:AC109" si="10">SUMIF(AD$12:AS$12,"总值",AD18:AS18)</f>
        <v>238.14</v>
      </c>
      <c r="AD18" s="40"/>
      <c r="AE18" s="40"/>
      <c r="AF18" s="40"/>
      <c r="AG18" s="40"/>
      <c r="AH18" s="40"/>
      <c r="AI18" s="40"/>
      <c r="AJ18" s="40"/>
      <c r="AK18" s="40"/>
      <c r="AL18" s="40">
        <v>238.14</v>
      </c>
      <c r="AM18" s="40"/>
      <c r="AN18" s="40"/>
      <c r="AO18" s="40"/>
      <c r="AP18" s="40"/>
      <c r="AQ18" s="40"/>
      <c r="AR18" s="40"/>
      <c r="AS18" s="40"/>
      <c r="AT18" s="41"/>
      <c r="AU18" s="2223"/>
      <c r="AV18" s="1798">
        <f t="shared" ref="AV18:AV112" si="11">A18</f>
        <v>0</v>
      </c>
      <c r="AW18" s="1798">
        <f t="shared" ref="AW18:AW112" si="12">B18</f>
        <v>0</v>
      </c>
      <c r="AX18" s="1798">
        <f t="shared" ref="AX18:AX112" si="13">C18</f>
        <v>25</v>
      </c>
      <c r="AY18" s="42">
        <f t="shared" ref="AY18:AY109" si="14">ROUND($AY$6*AZ18/$AZ$5,2)</f>
        <v>3464.46</v>
      </c>
      <c r="AZ18" s="35">
        <f t="shared" ref="AZ18:AZ109" si="15">BA18+BL18</f>
        <v>15027.699999999999</v>
      </c>
      <c r="BA18" s="35">
        <f t="shared" ref="BA18:BA109" si="16">SUM(BB18:BK18)</f>
        <v>14789.56</v>
      </c>
      <c r="BB18" s="35">
        <f t="shared" ref="BB18:BB109" si="17">IF($D18="是",I18-J18,0)</f>
        <v>13809.3</v>
      </c>
      <c r="BC18" s="35">
        <f t="shared" ref="BC18:BC109" si="18">IF($D18="是",K18-L18,0)</f>
        <v>980.26</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238.14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238.14</v>
      </c>
      <c r="BR18" s="35">
        <f t="shared" ref="BR18:BR109" si="33">IF($D18="是",AN18-AO18,0)</f>
        <v>0</v>
      </c>
      <c r="BS18" s="35">
        <f t="shared" ref="BS18:BS109" si="34">IF($D18="是",AP18-AQ18,0)</f>
        <v>0</v>
      </c>
      <c r="BT18" s="43">
        <f t="shared" ref="BT18:BT109" si="35">IF($D18="是",AR18-AS18,0)</f>
        <v>0</v>
      </c>
    </row>
    <row r="19" spans="1:72">
      <c r="A19" s="9"/>
      <c r="B19" s="34"/>
      <c r="C19" s="1275">
        <v>26</v>
      </c>
      <c r="D19" s="2217" t="s">
        <v>3062</v>
      </c>
      <c r="E19" s="35">
        <f t="shared" si="7"/>
        <v>3361.48</v>
      </c>
      <c r="F19" s="36"/>
      <c r="G19" s="37">
        <f t="shared" si="8"/>
        <v>14580.99</v>
      </c>
      <c r="H19" s="38">
        <f t="shared" si="9"/>
        <v>14255.97</v>
      </c>
      <c r="I19" s="39">
        <v>14255.97</v>
      </c>
      <c r="J19" s="39"/>
      <c r="K19" s="39"/>
      <c r="L19" s="39"/>
      <c r="M19" s="39"/>
      <c r="N19" s="39"/>
      <c r="O19" s="39"/>
      <c r="P19" s="39"/>
      <c r="Q19" s="39"/>
      <c r="R19" s="39"/>
      <c r="S19" s="39"/>
      <c r="T19" s="39"/>
      <c r="U19" s="39"/>
      <c r="V19" s="39"/>
      <c r="W19" s="39"/>
      <c r="X19" s="39"/>
      <c r="Y19" s="39"/>
      <c r="Z19" s="39"/>
      <c r="AA19" s="39"/>
      <c r="AB19" s="39"/>
      <c r="AC19" s="35">
        <f t="shared" si="10"/>
        <v>325.02</v>
      </c>
      <c r="AD19" s="40"/>
      <c r="AE19" s="40"/>
      <c r="AF19" s="40"/>
      <c r="AG19" s="40"/>
      <c r="AH19" s="40"/>
      <c r="AI19" s="40"/>
      <c r="AJ19" s="40"/>
      <c r="AK19" s="40"/>
      <c r="AL19" s="40">
        <v>325.02</v>
      </c>
      <c r="AM19" s="40"/>
      <c r="AN19" s="40"/>
      <c r="AO19" s="40"/>
      <c r="AP19" s="40"/>
      <c r="AQ19" s="40"/>
      <c r="AR19" s="40"/>
      <c r="AS19" s="40"/>
      <c r="AT19" s="41"/>
      <c r="AU19" s="2223"/>
      <c r="AV19" s="1798">
        <f t="shared" si="11"/>
        <v>0</v>
      </c>
      <c r="AW19" s="1798">
        <f t="shared" si="12"/>
        <v>0</v>
      </c>
      <c r="AX19" s="1798">
        <f t="shared" si="13"/>
        <v>26</v>
      </c>
      <c r="AY19" s="42">
        <f t="shared" si="14"/>
        <v>3361.48</v>
      </c>
      <c r="AZ19" s="35">
        <f t="shared" si="15"/>
        <v>14580.99</v>
      </c>
      <c r="BA19" s="35">
        <f t="shared" si="16"/>
        <v>14255.97</v>
      </c>
      <c r="BB19" s="35">
        <f t="shared" si="17"/>
        <v>14255.97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325.02</v>
      </c>
      <c r="BM19" s="35">
        <f t="shared" si="28"/>
        <v>0</v>
      </c>
      <c r="BN19" s="35">
        <f t="shared" si="29"/>
        <v>0</v>
      </c>
      <c r="BO19" s="35">
        <f t="shared" si="30"/>
        <v>0</v>
      </c>
      <c r="BP19" s="35">
        <f t="shared" si="31"/>
        <v>0</v>
      </c>
      <c r="BQ19" s="35">
        <f t="shared" si="32"/>
        <v>325.02</v>
      </c>
      <c r="BR19" s="35">
        <f t="shared" si="33"/>
        <v>0</v>
      </c>
      <c r="BS19" s="35">
        <f t="shared" si="34"/>
        <v>0</v>
      </c>
      <c r="BT19" s="43">
        <f t="shared" si="35"/>
        <v>0</v>
      </c>
    </row>
    <row r="20" spans="1:72">
      <c r="A20" s="9"/>
      <c r="B20" s="34"/>
      <c r="C20" s="1275">
        <v>27</v>
      </c>
      <c r="D20" s="2217" t="s">
        <v>3062</v>
      </c>
      <c r="E20" s="35">
        <f t="shared" si="7"/>
        <v>3130.9</v>
      </c>
      <c r="F20" s="36"/>
      <c r="G20" s="37">
        <f t="shared" si="8"/>
        <v>13580.8</v>
      </c>
      <c r="H20" s="38">
        <f t="shared" si="9"/>
        <v>13420.66</v>
      </c>
      <c r="I20" s="39">
        <v>12293.1</v>
      </c>
      <c r="J20" s="39"/>
      <c r="K20" s="39">
        <v>1127.56</v>
      </c>
      <c r="L20" s="39"/>
      <c r="M20" s="39"/>
      <c r="N20" s="39"/>
      <c r="O20" s="39"/>
      <c r="P20" s="39"/>
      <c r="Q20" s="39"/>
      <c r="R20" s="39"/>
      <c r="S20" s="39"/>
      <c r="T20" s="39"/>
      <c r="U20" s="39"/>
      <c r="V20" s="39"/>
      <c r="W20" s="39"/>
      <c r="X20" s="39"/>
      <c r="Y20" s="39"/>
      <c r="Z20" s="39"/>
      <c r="AA20" s="39"/>
      <c r="AB20" s="39"/>
      <c r="AC20" s="35">
        <f t="shared" si="10"/>
        <v>160.13999999999999</v>
      </c>
      <c r="AD20" s="40"/>
      <c r="AE20" s="40"/>
      <c r="AF20" s="40"/>
      <c r="AG20" s="40"/>
      <c r="AH20" s="40"/>
      <c r="AI20" s="40"/>
      <c r="AJ20" s="40"/>
      <c r="AK20" s="40"/>
      <c r="AL20" s="40">
        <v>160.13999999999999</v>
      </c>
      <c r="AM20" s="40"/>
      <c r="AN20" s="40"/>
      <c r="AO20" s="40"/>
      <c r="AP20" s="40"/>
      <c r="AQ20" s="40"/>
      <c r="AR20" s="40"/>
      <c r="AS20" s="40"/>
      <c r="AT20" s="41"/>
      <c r="AU20" s="2223"/>
      <c r="AV20" s="1798">
        <f t="shared" si="11"/>
        <v>0</v>
      </c>
      <c r="AW20" s="1798">
        <f t="shared" si="12"/>
        <v>0</v>
      </c>
      <c r="AX20" s="1798">
        <f t="shared" si="13"/>
        <v>27</v>
      </c>
      <c r="AY20" s="42">
        <f t="shared" si="14"/>
        <v>3130.89</v>
      </c>
      <c r="AZ20" s="35">
        <f t="shared" si="15"/>
        <v>13580.8</v>
      </c>
      <c r="BA20" s="35">
        <f t="shared" si="16"/>
        <v>13420.66</v>
      </c>
      <c r="BB20" s="35">
        <f t="shared" si="17"/>
        <v>12293.1</v>
      </c>
      <c r="BC20" s="35">
        <f t="shared" si="18"/>
        <v>1127.56</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160.13999999999999</v>
      </c>
      <c r="BM20" s="35">
        <f t="shared" si="28"/>
        <v>0</v>
      </c>
      <c r="BN20" s="35">
        <f t="shared" si="29"/>
        <v>0</v>
      </c>
      <c r="BO20" s="35">
        <f t="shared" si="30"/>
        <v>0</v>
      </c>
      <c r="BP20" s="35">
        <f t="shared" si="31"/>
        <v>0</v>
      </c>
      <c r="BQ20" s="35">
        <f t="shared" si="32"/>
        <v>160.13999999999999</v>
      </c>
      <c r="BR20" s="35">
        <f t="shared" si="33"/>
        <v>0</v>
      </c>
      <c r="BS20" s="35">
        <f t="shared" si="34"/>
        <v>0</v>
      </c>
      <c r="BT20" s="43">
        <f t="shared" si="35"/>
        <v>0</v>
      </c>
    </row>
    <row r="21" spans="1:72">
      <c r="A21" s="9"/>
      <c r="B21" s="34"/>
      <c r="C21" s="1275">
        <v>28</v>
      </c>
      <c r="D21" s="2217" t="s">
        <v>3053</v>
      </c>
      <c r="E21" s="35">
        <f t="shared" si="7"/>
        <v>3808.99</v>
      </c>
      <c r="F21" s="36"/>
      <c r="G21" s="37">
        <f t="shared" si="8"/>
        <v>16522.14</v>
      </c>
      <c r="H21" s="38">
        <f t="shared" si="9"/>
        <v>16461.59</v>
      </c>
      <c r="I21" s="39">
        <v>13654.8</v>
      </c>
      <c r="J21" s="39"/>
      <c r="K21" s="39">
        <v>2806.79</v>
      </c>
      <c r="L21" s="39"/>
      <c r="M21" s="39"/>
      <c r="N21" s="39"/>
      <c r="O21" s="39"/>
      <c r="P21" s="39"/>
      <c r="Q21" s="39"/>
      <c r="R21" s="39"/>
      <c r="S21" s="39"/>
      <c r="T21" s="39"/>
      <c r="U21" s="39"/>
      <c r="V21" s="39"/>
      <c r="W21" s="39"/>
      <c r="X21" s="39"/>
      <c r="Y21" s="39"/>
      <c r="Z21" s="39"/>
      <c r="AA21" s="39"/>
      <c r="AB21" s="39"/>
      <c r="AC21" s="35">
        <f t="shared" si="10"/>
        <v>60.55</v>
      </c>
      <c r="AD21" s="40"/>
      <c r="AE21" s="40"/>
      <c r="AF21" s="40"/>
      <c r="AG21" s="40"/>
      <c r="AH21" s="40"/>
      <c r="AI21" s="40"/>
      <c r="AJ21" s="40"/>
      <c r="AK21" s="40"/>
      <c r="AL21" s="40">
        <v>60.55</v>
      </c>
      <c r="AM21" s="40"/>
      <c r="AN21" s="40"/>
      <c r="AO21" s="40"/>
      <c r="AP21" s="40"/>
      <c r="AQ21" s="40"/>
      <c r="AR21" s="40"/>
      <c r="AS21" s="40"/>
      <c r="AT21" s="41"/>
      <c r="AU21" s="2223"/>
      <c r="AV21" s="1798">
        <f t="shared" si="11"/>
        <v>0</v>
      </c>
      <c r="AW21" s="1798">
        <f t="shared" si="12"/>
        <v>0</v>
      </c>
      <c r="AX21" s="1798">
        <f t="shared" si="13"/>
        <v>28</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v>29</v>
      </c>
      <c r="D22" s="2217" t="s">
        <v>3062</v>
      </c>
      <c r="E22" s="35">
        <f t="shared" si="7"/>
        <v>3898.26</v>
      </c>
      <c r="F22" s="36"/>
      <c r="G22" s="37">
        <f t="shared" si="8"/>
        <v>16909.37</v>
      </c>
      <c r="H22" s="38">
        <f t="shared" si="9"/>
        <v>16776.71</v>
      </c>
      <c r="I22" s="39">
        <v>13787.4</v>
      </c>
      <c r="J22" s="39"/>
      <c r="K22" s="39">
        <v>2989.31</v>
      </c>
      <c r="L22" s="39"/>
      <c r="M22" s="39"/>
      <c r="N22" s="39"/>
      <c r="O22" s="39"/>
      <c r="P22" s="39"/>
      <c r="Q22" s="39"/>
      <c r="R22" s="39"/>
      <c r="S22" s="39"/>
      <c r="T22" s="39"/>
      <c r="U22" s="39"/>
      <c r="V22" s="39"/>
      <c r="W22" s="39"/>
      <c r="X22" s="39"/>
      <c r="Y22" s="39"/>
      <c r="Z22" s="39"/>
      <c r="AA22" s="39"/>
      <c r="AB22" s="39"/>
      <c r="AC22" s="35">
        <f t="shared" si="10"/>
        <v>132.66</v>
      </c>
      <c r="AD22" s="40"/>
      <c r="AE22" s="40"/>
      <c r="AF22" s="40"/>
      <c r="AG22" s="40"/>
      <c r="AH22" s="40"/>
      <c r="AI22" s="40"/>
      <c r="AJ22" s="40"/>
      <c r="AK22" s="40"/>
      <c r="AL22" s="40">
        <v>132.66</v>
      </c>
      <c r="AM22" s="40"/>
      <c r="AN22" s="40"/>
      <c r="AO22" s="40"/>
      <c r="AP22" s="40"/>
      <c r="AQ22" s="40"/>
      <c r="AR22" s="40"/>
      <c r="AS22" s="40"/>
      <c r="AT22" s="41"/>
      <c r="AU22" s="2223"/>
      <c r="AV22" s="1798">
        <f t="shared" si="11"/>
        <v>0</v>
      </c>
      <c r="AW22" s="1798">
        <f t="shared" si="12"/>
        <v>0</v>
      </c>
      <c r="AX22" s="1798">
        <f t="shared" si="13"/>
        <v>29</v>
      </c>
      <c r="AY22" s="42">
        <f t="shared" si="14"/>
        <v>3898.26</v>
      </c>
      <c r="AZ22" s="35">
        <f t="shared" si="15"/>
        <v>16909.37</v>
      </c>
      <c r="BA22" s="35">
        <f t="shared" si="16"/>
        <v>16776.71</v>
      </c>
      <c r="BB22" s="35">
        <f t="shared" si="17"/>
        <v>13787.4</v>
      </c>
      <c r="BC22" s="35">
        <f t="shared" si="18"/>
        <v>2989.31</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132.66</v>
      </c>
      <c r="BM22" s="35">
        <f t="shared" si="28"/>
        <v>0</v>
      </c>
      <c r="BN22" s="35">
        <f t="shared" si="29"/>
        <v>0</v>
      </c>
      <c r="BO22" s="35">
        <f t="shared" si="30"/>
        <v>0</v>
      </c>
      <c r="BP22" s="35">
        <f t="shared" si="31"/>
        <v>0</v>
      </c>
      <c r="BQ22" s="35">
        <f t="shared" si="32"/>
        <v>132.66</v>
      </c>
      <c r="BR22" s="35">
        <f t="shared" si="33"/>
        <v>0</v>
      </c>
      <c r="BS22" s="35">
        <f t="shared" si="34"/>
        <v>0</v>
      </c>
      <c r="BT22" s="43">
        <f t="shared" si="35"/>
        <v>0</v>
      </c>
    </row>
    <row r="23" spans="1:72">
      <c r="A23" s="9"/>
      <c r="B23" s="34"/>
      <c r="C23" s="1275">
        <v>30</v>
      </c>
      <c r="D23" s="2217" t="s">
        <v>3062</v>
      </c>
      <c r="E23" s="35">
        <f t="shared" si="7"/>
        <v>2021.9</v>
      </c>
      <c r="F23" s="36"/>
      <c r="G23" s="37">
        <f t="shared" si="8"/>
        <v>8770.35</v>
      </c>
      <c r="H23" s="38">
        <f t="shared" si="9"/>
        <v>8626.5400000000009</v>
      </c>
      <c r="I23" s="39"/>
      <c r="J23" s="39"/>
      <c r="K23" s="39">
        <v>8626.5400000000009</v>
      </c>
      <c r="L23" s="39"/>
      <c r="M23" s="39"/>
      <c r="N23" s="39"/>
      <c r="O23" s="39"/>
      <c r="P23" s="39"/>
      <c r="Q23" s="39"/>
      <c r="R23" s="39"/>
      <c r="S23" s="39"/>
      <c r="T23" s="39"/>
      <c r="U23" s="39"/>
      <c r="V23" s="39"/>
      <c r="W23" s="39"/>
      <c r="X23" s="39"/>
      <c r="Y23" s="39"/>
      <c r="Z23" s="39"/>
      <c r="AA23" s="39"/>
      <c r="AB23" s="39"/>
      <c r="AC23" s="35">
        <f t="shared" si="10"/>
        <v>143.81</v>
      </c>
      <c r="AD23" s="40"/>
      <c r="AE23" s="40"/>
      <c r="AF23" s="40"/>
      <c r="AG23" s="40"/>
      <c r="AH23" s="40"/>
      <c r="AI23" s="40"/>
      <c r="AJ23" s="40"/>
      <c r="AK23" s="40"/>
      <c r="AL23" s="40">
        <v>143.81</v>
      </c>
      <c r="AM23" s="40"/>
      <c r="AN23" s="40"/>
      <c r="AO23" s="40"/>
      <c r="AP23" s="40"/>
      <c r="AQ23" s="40"/>
      <c r="AR23" s="40"/>
      <c r="AS23" s="40"/>
      <c r="AT23" s="41"/>
      <c r="AU23" s="2223"/>
      <c r="AV23" s="1798">
        <f t="shared" si="11"/>
        <v>0</v>
      </c>
      <c r="AW23" s="1798">
        <f t="shared" si="12"/>
        <v>0</v>
      </c>
      <c r="AX23" s="1798">
        <f t="shared" si="13"/>
        <v>30</v>
      </c>
      <c r="AY23" s="42">
        <f t="shared" si="14"/>
        <v>2021.9</v>
      </c>
      <c r="AZ23" s="35">
        <f t="shared" si="15"/>
        <v>8770.35</v>
      </c>
      <c r="BA23" s="35">
        <f t="shared" si="16"/>
        <v>8626.5400000000009</v>
      </c>
      <c r="BB23" s="35">
        <f t="shared" si="17"/>
        <v>0</v>
      </c>
      <c r="BC23" s="35">
        <f t="shared" si="18"/>
        <v>8626.5400000000009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143.81</v>
      </c>
      <c r="BM23" s="35">
        <f t="shared" si="28"/>
        <v>0</v>
      </c>
      <c r="BN23" s="35">
        <f t="shared" si="29"/>
        <v>0</v>
      </c>
      <c r="BO23" s="35">
        <f t="shared" si="30"/>
        <v>0</v>
      </c>
      <c r="BP23" s="35">
        <f t="shared" si="31"/>
        <v>0</v>
      </c>
      <c r="BQ23" s="35">
        <f t="shared" si="32"/>
        <v>143.81</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1929</v>
      </c>
      <c r="B1" s="1395"/>
      <c r="C1" s="1395"/>
      <c r="D1" s="1395"/>
      <c r="E1" s="1395"/>
      <c r="F1" s="1395"/>
      <c r="G1" s="1395"/>
      <c r="H1" s="1395"/>
      <c r="I1" s="1395"/>
      <c r="J1" s="1395"/>
      <c r="K1" s="1395"/>
      <c r="L1" s="1395"/>
      <c r="M1" s="1395"/>
      <c r="N1" s="1395"/>
      <c r="O1" s="1395"/>
      <c r="P1" s="1395"/>
    </row>
    <row r="2" spans="1:16" ht="15">
      <c r="A2" s="3045" t="s">
        <v>1930</v>
      </c>
      <c r="B2" s="3045"/>
      <c r="C2" s="3045"/>
      <c r="D2" s="970" t="s">
        <v>1906</v>
      </c>
      <c r="E2" s="2231" t="s">
        <v>1907</v>
      </c>
      <c r="F2" s="1395"/>
      <c r="G2" s="2232"/>
      <c r="H2" s="2233"/>
      <c r="I2" s="2234" t="s">
        <v>1931</v>
      </c>
      <c r="J2" s="1395"/>
      <c r="K2" s="1395"/>
      <c r="L2" s="1395"/>
      <c r="M2" s="1395"/>
      <c r="N2" s="1430"/>
      <c r="O2" s="1395"/>
      <c r="P2" s="1395"/>
    </row>
    <row r="3" spans="1:16" ht="15.75" thickBot="1">
      <c r="A3" s="3046" t="s">
        <v>1904</v>
      </c>
      <c r="B3" s="3046"/>
      <c r="C3" s="3046"/>
      <c r="D3" s="46">
        <f>'数据-基础表'!AY6</f>
        <v>33165.410000000003</v>
      </c>
      <c r="E3" s="46">
        <f>'数据-基础表'!AZ5</f>
        <v>143860.73000000001</v>
      </c>
      <c r="F3" s="1395"/>
      <c r="G3" s="1402"/>
      <c r="H3" s="1250" t="s">
        <v>1905</v>
      </c>
      <c r="I3" s="55">
        <f>ROUND('数据-基础表'!B3/'数据-基础表'!A3,2)</f>
        <v>4.34</v>
      </c>
      <c r="J3" s="1395"/>
      <c r="K3" s="1395"/>
      <c r="L3" s="1395"/>
      <c r="M3" s="1395"/>
      <c r="N3" s="1430"/>
      <c r="O3" s="1395"/>
      <c r="P3" s="1395"/>
    </row>
    <row r="4" spans="1:16" ht="15">
      <c r="A4" s="3047"/>
      <c r="B4" s="3048"/>
      <c r="C4" s="3049"/>
      <c r="D4" s="2235" t="s">
        <v>1906</v>
      </c>
      <c r="E4" s="2236" t="s">
        <v>1907</v>
      </c>
      <c r="F4" s="1395"/>
      <c r="G4" s="2237" t="s">
        <v>1932</v>
      </c>
      <c r="H4" s="1250" t="s">
        <v>1912</v>
      </c>
      <c r="I4" s="55">
        <f>ROUND(SUMIF('数据-基础表'!I9:AS9,"地上",'数据-基础表'!I5:AS5)/'数据-基础表'!A3,2)</f>
        <v>4.34</v>
      </c>
      <c r="J4" s="1395"/>
      <c r="K4" s="1395"/>
      <c r="L4" s="1395"/>
      <c r="M4" s="1395"/>
      <c r="N4" s="1430"/>
      <c r="O4" s="1395"/>
      <c r="P4" s="1395"/>
    </row>
    <row r="5" spans="1:16">
      <c r="A5" s="47" t="s">
        <v>1908</v>
      </c>
      <c r="B5" s="3050" t="s">
        <v>1909</v>
      </c>
      <c r="C5" s="3050"/>
      <c r="D5" s="48">
        <f>ROUND($D$3*E5/$E$3,2)</f>
        <v>27374.25</v>
      </c>
      <c r="E5" s="49">
        <f>SUMIF('数据-基础表'!$11:$11,"住宅",'数据-基础表'!$5:$5)</f>
        <v>118740.57</v>
      </c>
      <c r="F5" s="1395"/>
      <c r="G5" s="1402"/>
      <c r="H5" s="1250" t="s">
        <v>1905</v>
      </c>
      <c r="I5" s="55">
        <f>ROUND(E31/D31,2)</f>
        <v>4.34</v>
      </c>
      <c r="J5" s="1395"/>
      <c r="K5" s="1395"/>
      <c r="L5" s="1395"/>
      <c r="M5" s="1395"/>
      <c r="N5" s="1395"/>
      <c r="O5" s="1395"/>
      <c r="P5" s="1395"/>
    </row>
    <row r="6" spans="1:16" ht="15" thickBot="1">
      <c r="A6" s="2238"/>
      <c r="B6" s="3050" t="s">
        <v>1910</v>
      </c>
      <c r="C6" s="3050"/>
      <c r="D6" s="48">
        <f>ROUND($D$3*E6/$E$3,2)</f>
        <v>5791.16</v>
      </c>
      <c r="E6" s="49">
        <f>E3-E5</f>
        <v>25120.160000000003</v>
      </c>
      <c r="F6" s="1395"/>
      <c r="G6" s="2239" t="s">
        <v>1911</v>
      </c>
      <c r="H6" s="1402" t="s">
        <v>1912</v>
      </c>
      <c r="I6" s="942">
        <f>ROUND(F31/D31,2)</f>
        <v>4.34</v>
      </c>
      <c r="J6" s="1395"/>
      <c r="K6" s="1395"/>
      <c r="L6" s="1395"/>
      <c r="M6" s="1395"/>
      <c r="N6" s="1395"/>
      <c r="O6" s="1395"/>
      <c r="P6" s="1395"/>
    </row>
    <row r="7" spans="1:16" ht="15">
      <c r="A7" s="3042"/>
      <c r="B7" s="3043"/>
      <c r="C7" s="3044"/>
      <c r="D7" s="2235" t="s">
        <v>1906</v>
      </c>
      <c r="E7" s="2240" t="s">
        <v>1913</v>
      </c>
      <c r="F7" s="1395"/>
      <c r="G7" s="2232" t="s">
        <v>1914</v>
      </c>
      <c r="H7" s="64"/>
      <c r="I7" s="420"/>
      <c r="J7" s="1395"/>
      <c r="K7" s="1395"/>
      <c r="L7" s="1395"/>
      <c r="M7" s="1395"/>
      <c r="N7" s="1395"/>
      <c r="O7" s="1395"/>
      <c r="P7" s="1395"/>
    </row>
    <row r="8" spans="1:16">
      <c r="A8" s="47" t="s">
        <v>1915</v>
      </c>
      <c r="B8" s="50" t="s">
        <v>1916</v>
      </c>
      <c r="C8" s="48" t="s">
        <v>1917</v>
      </c>
      <c r="D8" s="48">
        <f t="shared" ref="D8:D15" si="0">ROUND($D$3*E8/$E$3,2)</f>
        <v>32740.639999999999</v>
      </c>
      <c r="E8" s="51">
        <f>SUMIF('数据-基础表'!BB10:BK10,"地上",'数据-基础表'!BB5:BK5)</f>
        <v>142018.21000000002</v>
      </c>
      <c r="F8" s="1395"/>
      <c r="G8" s="2241"/>
      <c r="H8" s="2241"/>
      <c r="I8" s="1395"/>
      <c r="J8" s="1395"/>
      <c r="K8" s="1395"/>
      <c r="L8" s="1395"/>
      <c r="M8" s="1395"/>
      <c r="N8" s="1395"/>
      <c r="O8" s="1395"/>
      <c r="P8" s="1395"/>
    </row>
    <row r="9" spans="1:16">
      <c r="A9" s="2242"/>
      <c r="B9" s="2243"/>
      <c r="C9" s="48" t="s">
        <v>1918</v>
      </c>
      <c r="D9" s="48">
        <f t="shared" si="0"/>
        <v>0</v>
      </c>
      <c r="E9" s="52">
        <v>0</v>
      </c>
      <c r="F9" s="1395"/>
      <c r="G9" s="2241"/>
      <c r="H9" s="2241"/>
      <c r="I9" s="1395"/>
      <c r="J9" s="1395"/>
      <c r="K9" s="1395"/>
      <c r="L9" s="1395"/>
      <c r="M9" s="1395"/>
      <c r="N9" s="1395"/>
      <c r="O9" s="1395"/>
      <c r="P9" s="1395"/>
    </row>
    <row r="10" spans="1:16">
      <c r="A10" s="2242"/>
      <c r="B10" s="2243"/>
      <c r="C10" s="48" t="s">
        <v>1927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1919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1928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1922</v>
      </c>
      <c r="D16" s="50">
        <f>SUM(D8:D15)</f>
        <v>32740.639999999999</v>
      </c>
      <c r="E16" s="53">
        <f>SUM(E8:E15)</f>
        <v>142018.21000000002</v>
      </c>
      <c r="F16" s="1395"/>
      <c r="G16" s="2241"/>
      <c r="H16" s="2244" t="s">
        <v>1934</v>
      </c>
      <c r="I16" s="2245"/>
      <c r="J16" s="1395"/>
      <c r="K16" s="3039" t="s">
        <v>1934</v>
      </c>
      <c r="L16" s="3040"/>
      <c r="M16" s="3040"/>
      <c r="N16" s="3040"/>
      <c r="O16" s="3040"/>
      <c r="P16" s="3041"/>
    </row>
    <row r="17" spans="1:19" ht="15">
      <c r="A17" s="2246" t="s">
        <v>1935</v>
      </c>
      <c r="B17" s="2247" t="s">
        <v>1936</v>
      </c>
      <c r="C17" s="2248" t="s">
        <v>1937</v>
      </c>
      <c r="D17" s="2249" t="s">
        <v>1925</v>
      </c>
      <c r="E17" s="2250" t="s">
        <v>1926</v>
      </c>
      <c r="F17" s="2251"/>
      <c r="G17" s="2252"/>
      <c r="H17" s="2253" t="s">
        <v>1938</v>
      </c>
      <c r="I17" s="2254" t="s">
        <v>1923</v>
      </c>
      <c r="J17" s="1395"/>
      <c r="K17" s="3036" t="s">
        <v>1939</v>
      </c>
      <c r="L17" s="3037"/>
      <c r="M17" s="3038"/>
      <c r="N17" s="3036" t="s">
        <v>1940</v>
      </c>
      <c r="O17" s="3037"/>
      <c r="P17" s="3038"/>
      <c r="R17" s="2232" t="s">
        <v>1941</v>
      </c>
      <c r="S17" s="64"/>
    </row>
    <row r="18" spans="1:19" ht="15">
      <c r="A18" s="2242"/>
      <c r="B18" s="2255"/>
      <c r="C18" s="2256"/>
      <c r="D18" s="2257"/>
      <c r="E18" s="2258" t="s">
        <v>1942</v>
      </c>
      <c r="F18" s="2259" t="s">
        <v>1943</v>
      </c>
      <c r="G18" s="2260" t="s">
        <v>1944</v>
      </c>
      <c r="H18" s="1265" t="s">
        <v>1945</v>
      </c>
      <c r="I18" s="2261" t="s">
        <v>1946</v>
      </c>
      <c r="J18" s="1395"/>
      <c r="K18" s="1265" t="s">
        <v>1947</v>
      </c>
      <c r="L18" s="2262" t="s">
        <v>1948</v>
      </c>
      <c r="M18" s="1049" t="s">
        <v>1949</v>
      </c>
      <c r="N18" s="1265" t="s">
        <v>1947</v>
      </c>
      <c r="O18" s="2262" t="s">
        <v>1948</v>
      </c>
      <c r="P18" s="1049" t="s">
        <v>1949</v>
      </c>
      <c r="R18" s="1250" t="s">
        <v>1950</v>
      </c>
      <c r="S18" s="1250" t="s">
        <v>1951</v>
      </c>
    </row>
    <row r="19" spans="1:19">
      <c r="A19" s="2263"/>
      <c r="B19" s="50" t="s">
        <v>1924</v>
      </c>
      <c r="C19" s="2948" t="s">
        <v>3086</v>
      </c>
      <c r="D19" s="48">
        <f>ROUND($D$3*E19/$E$3,2)</f>
        <v>27374.25</v>
      </c>
      <c r="E19" s="56">
        <f t="shared" ref="E19:E26" si="1">SUM(F19:G19)</f>
        <v>118740.57</v>
      </c>
      <c r="F19" s="57">
        <f>'数据-基础表'!BB5</f>
        <v>118740.57</v>
      </c>
      <c r="G19" s="58"/>
      <c r="H19" s="723">
        <f>ROUND($D$3*I19/$E$3,2)</f>
        <v>355.15</v>
      </c>
      <c r="I19" s="51">
        <f t="shared" ref="I19:I26" si="2">IF($I$17="自定义",P19,M19)</f>
        <v>1540.52</v>
      </c>
      <c r="J19" s="1395"/>
      <c r="K19" s="1394">
        <f t="shared" ref="K19:K26" si="3">ROUND(E$28*E19/E$27,2)</f>
        <v>1540.52</v>
      </c>
      <c r="L19" s="1250">
        <f t="shared" ref="L19:L26" si="4">ROUND(IF(COUNTIF(C19,"*住宅*")&gt;0,E$29*E19/E$32,0),2)</f>
        <v>0</v>
      </c>
      <c r="M19" s="1406">
        <f>K19+L19</f>
        <v>1540.52</v>
      </c>
      <c r="N19" s="2265"/>
      <c r="O19" s="2266"/>
      <c r="P19" s="1406">
        <f>N19+O19</f>
        <v>0</v>
      </c>
      <c r="R19" s="1250">
        <f t="shared" ref="R19:S26" si="5">D19+H19</f>
        <v>27729.4</v>
      </c>
      <c r="S19" s="1251">
        <f t="shared" si="5"/>
        <v>120281.09000000001</v>
      </c>
    </row>
    <row r="20" spans="1:19">
      <c r="A20" s="2267"/>
      <c r="B20" s="50" t="s">
        <v>1952</v>
      </c>
      <c r="C20" s="2948" t="s">
        <v>3087</v>
      </c>
      <c r="D20" s="48">
        <f t="shared" ref="D20:D26" si="6">ROUND($D$3*E20/$E$3,2)</f>
        <v>5366.39</v>
      </c>
      <c r="E20" s="56">
        <f t="shared" si="1"/>
        <v>23277.64</v>
      </c>
      <c r="F20" s="57">
        <f>'数据-基础表'!BC5</f>
        <v>23277.64</v>
      </c>
      <c r="G20" s="58"/>
      <c r="H20" s="723">
        <f t="shared" ref="H20:H26" si="7">ROUND($D$3*I20/$E$3,2)</f>
        <v>69.62</v>
      </c>
      <c r="I20" s="51">
        <f t="shared" si="2"/>
        <v>302</v>
      </c>
      <c r="J20" s="1395"/>
      <c r="K20" s="1394">
        <f t="shared" si="3"/>
        <v>302</v>
      </c>
      <c r="L20" s="1250">
        <f t="shared" si="4"/>
        <v>0</v>
      </c>
      <c r="M20" s="1406">
        <f t="shared" ref="M20:M26" si="8">K20+L20</f>
        <v>302</v>
      </c>
      <c r="N20" s="2265"/>
      <c r="O20" s="2266"/>
      <c r="P20" s="1406">
        <f t="shared" ref="P20:P26" si="9">N20+O20</f>
        <v>0</v>
      </c>
      <c r="R20" s="1250">
        <f t="shared" si="5"/>
        <v>5436.01</v>
      </c>
      <c r="S20" s="1251">
        <f t="shared" si="5"/>
        <v>23579.64</v>
      </c>
    </row>
    <row r="21" spans="1:19">
      <c r="A21" s="2267"/>
      <c r="B21" s="50" t="s">
        <v>1952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1953</v>
      </c>
      <c r="D27" s="1396">
        <f>SUM(D19:D26)</f>
        <v>32740.639999999999</v>
      </c>
      <c r="E27" s="1397">
        <f>IF(SUM(E19:E26)='数据-基础表'!BA5,SUM(E19:E26),IF(F27="地上面积有误","面积有误","地下面积有误"))</f>
        <v>142018.21000000002</v>
      </c>
      <c r="F27" s="1396">
        <f>IF(SUM(F19:F26)=E8,SUM(F19:F26),"地上面积有误")</f>
        <v>142018.21000000002</v>
      </c>
      <c r="G27" s="1398">
        <f>SUM(G19:G26)</f>
        <v>0</v>
      </c>
      <c r="H27" s="1399">
        <f>SUM(H19:H26)</f>
        <v>424.77</v>
      </c>
      <c r="I27" s="1400">
        <f>SUM(I19:I26)</f>
        <v>1842.52</v>
      </c>
      <c r="J27" s="1395"/>
      <c r="K27" s="1403">
        <f>SUM(K19:K26)</f>
        <v>1842.52</v>
      </c>
      <c r="L27" s="1404">
        <f>SUM(L19:L26)</f>
        <v>0</v>
      </c>
      <c r="M27" s="1407">
        <f>SUM(M19:M26)</f>
        <v>1842.52</v>
      </c>
      <c r="N27" s="1403">
        <f t="shared" ref="N27:O27" si="10">SUM(N19:N26)</f>
        <v>0</v>
      </c>
      <c r="O27" s="1404">
        <f t="shared" si="10"/>
        <v>0</v>
      </c>
      <c r="P27" s="1405">
        <f>SUM(P19:P26)</f>
        <v>0</v>
      </c>
      <c r="R27" s="1252">
        <f>IF(SUM(R19:R26)=$D$3,SUM(R19:R26),SUM(R19:R26)&amp;"误差"&amp;ROUND(SUM(R19:R26)-$D$3,2))</f>
        <v>33165.410000000003</v>
      </c>
      <c r="S27" s="1250">
        <f>IF(SUM(S19:S26)=$E$3,SUM(S19:S26),SUM(S19:S26)&amp;"误差"&amp;ROUND(SUM(S19:S26)-E3,2))</f>
        <v>143860.73000000001</v>
      </c>
    </row>
    <row r="28" spans="1:19">
      <c r="A28" s="2267"/>
      <c r="B28" s="50" t="s">
        <v>1954</v>
      </c>
      <c r="C28" s="1262" t="s">
        <v>1955</v>
      </c>
      <c r="D28" s="48">
        <f>ROUND($D$3*E28/$E$3,2)</f>
        <v>424.77</v>
      </c>
      <c r="E28" s="56">
        <f>SUM(F28:G28)</f>
        <v>1842.5199999999998</v>
      </c>
      <c r="F28" s="64">
        <f>'数据-基础表'!BQ5+'数据-基础表'!BS5</f>
        <v>1842.5199999999998</v>
      </c>
      <c r="G28" s="65">
        <f>'数据-基础表'!BR5+'数据-基础表'!BT5</f>
        <v>0</v>
      </c>
      <c r="H28" s="1395"/>
      <c r="I28" s="1395"/>
      <c r="J28" s="1395"/>
      <c r="K28" s="1395"/>
      <c r="L28" s="1395"/>
      <c r="M28" s="1395"/>
      <c r="N28" s="1395"/>
      <c r="O28" s="1395"/>
      <c r="P28" s="1395"/>
    </row>
    <row r="29" spans="1:19">
      <c r="A29" s="2267"/>
      <c r="B29" s="50" t="s">
        <v>1954</v>
      </c>
      <c r="C29" s="2271"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1953</v>
      </c>
      <c r="D30" s="1396">
        <f>SUM(D28:D29)</f>
        <v>424.77</v>
      </c>
      <c r="E30" s="1396">
        <f>SUM(E28:E29)</f>
        <v>1842.5199999999998</v>
      </c>
      <c r="F30" s="1396">
        <f>SUM(F28:F29)</f>
        <v>1842.5199999999998</v>
      </c>
      <c r="G30" s="1398">
        <f>SUM(G28:G29)</f>
        <v>0</v>
      </c>
      <c r="H30" s="1395"/>
      <c r="I30" s="1395"/>
      <c r="J30" s="1395"/>
      <c r="K30" s="1395"/>
      <c r="L30" s="1395"/>
      <c r="M30" s="1395"/>
      <c r="N30" s="1395"/>
      <c r="O30" s="1395"/>
      <c r="P30" s="1395"/>
    </row>
    <row r="31" spans="1:19" ht="15.75" thickBot="1">
      <c r="A31" s="2273"/>
      <c r="B31" s="2274"/>
      <c r="C31" s="1010" t="s">
        <v>1957</v>
      </c>
      <c r="D31" s="729">
        <f>D27+D30</f>
        <v>33165.409999999996</v>
      </c>
      <c r="E31" s="729">
        <f>E27+E30</f>
        <v>143860.73000000001</v>
      </c>
      <c r="F31" s="730">
        <f>F27+F30</f>
        <v>143860.73000000001</v>
      </c>
      <c r="G31" s="731">
        <f>G27+G30</f>
        <v>0</v>
      </c>
      <c r="H31" s="1395"/>
      <c r="I31" s="1395"/>
      <c r="J31" s="1395"/>
      <c r="K31" s="1395"/>
      <c r="L31" s="1395"/>
      <c r="M31" s="1395"/>
      <c r="N31" s="1395"/>
      <c r="O31" s="1395"/>
      <c r="P31" s="1395"/>
    </row>
    <row r="32" spans="1:19">
      <c r="A32" s="2237"/>
      <c r="B32" s="2237" t="s">
        <v>1958</v>
      </c>
      <c r="C32" s="2237"/>
      <c r="D32" s="2237"/>
      <c r="E32" s="1277">
        <f>SUMIF(C19:C26,"*住宅*",E19:E26)</f>
        <v>118740.57</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1959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1960</v>
      </c>
      <c r="B2" s="1269">
        <f>项目基本情况!D3</f>
        <v>43557</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1961</v>
      </c>
      <c r="B4" s="2285"/>
      <c r="C4" s="2286"/>
      <c r="D4" s="2287"/>
      <c r="E4" s="2286" t="s">
        <v>1962</v>
      </c>
      <c r="F4" s="2286"/>
      <c r="G4" s="2286"/>
      <c r="H4" s="2286"/>
      <c r="I4" s="2286"/>
      <c r="J4" s="2288"/>
      <c r="K4" s="2289"/>
      <c r="L4" s="2290"/>
      <c r="M4" s="2286"/>
      <c r="N4" s="2286" t="s">
        <v>1963</v>
      </c>
      <c r="O4" s="2286"/>
      <c r="P4" s="2286"/>
      <c r="Q4" s="2286"/>
      <c r="R4" s="2286"/>
      <c r="S4" s="2288"/>
      <c r="T4" s="2291" t="str">
        <f>'数据-汇总表'!I17</f>
        <v>按面积比例</v>
      </c>
      <c r="U4" s="2285" t="s">
        <v>1964</v>
      </c>
      <c r="V4" s="2286"/>
      <c r="W4" s="2286"/>
      <c r="X4" s="2286"/>
      <c r="Y4" s="2288"/>
      <c r="Z4" s="2248" t="s">
        <v>1965</v>
      </c>
      <c r="AA4" s="2248"/>
      <c r="AB4" s="2248"/>
      <c r="AC4" s="2248"/>
      <c r="AD4" s="2248"/>
      <c r="AE4" s="2246" t="s">
        <v>1966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1967</v>
      </c>
      <c r="B5" s="2294" t="s">
        <v>1968</v>
      </c>
      <c r="C5" s="2295" t="s">
        <v>1969</v>
      </c>
      <c r="D5" s="2296" t="s">
        <v>1970</v>
      </c>
      <c r="E5" s="1271" t="s">
        <v>1971</v>
      </c>
      <c r="F5" s="2297" t="s">
        <v>1972</v>
      </c>
      <c r="G5" s="1271" t="s">
        <v>1973</v>
      </c>
      <c r="H5" s="1271" t="s">
        <v>1974</v>
      </c>
      <c r="I5" s="1271" t="s">
        <v>1975</v>
      </c>
      <c r="J5" s="2298" t="s">
        <v>1976</v>
      </c>
      <c r="K5" s="2299" t="s">
        <v>1977</v>
      </c>
      <c r="L5" s="2300" t="s">
        <v>1978</v>
      </c>
      <c r="M5" s="2301" t="s">
        <v>1979</v>
      </c>
      <c r="N5" s="2302" t="s">
        <v>1980</v>
      </c>
      <c r="O5" s="2300" t="s">
        <v>1981</v>
      </c>
      <c r="P5" s="2303" t="s">
        <v>1982</v>
      </c>
      <c r="Q5" s="69" t="s">
        <v>1983</v>
      </c>
      <c r="R5" s="2304" t="s">
        <v>1984</v>
      </c>
      <c r="S5" s="2305" t="s">
        <v>1985</v>
      </c>
      <c r="T5" s="2306" t="s">
        <v>1986</v>
      </c>
      <c r="U5" s="1270" t="s">
        <v>1987</v>
      </c>
      <c r="V5" s="1271" t="s">
        <v>1988</v>
      </c>
      <c r="W5" s="1271" t="s">
        <v>1989</v>
      </c>
      <c r="X5" s="71"/>
      <c r="Y5" s="70" t="s">
        <v>1990</v>
      </c>
      <c r="Z5" s="2307" t="s">
        <v>1987</v>
      </c>
      <c r="AA5" s="1271" t="s">
        <v>1988</v>
      </c>
      <c r="AB5" s="1271" t="s">
        <v>1989</v>
      </c>
      <c r="AC5" s="71"/>
      <c r="AD5" s="71" t="s">
        <v>1990</v>
      </c>
      <c r="AE5" s="1270" t="s">
        <v>1991</v>
      </c>
      <c r="AF5" s="1271" t="s">
        <v>1992</v>
      </c>
      <c r="AG5" s="70" t="s">
        <v>1993</v>
      </c>
      <c r="AH5" s="1270" t="s">
        <v>1994</v>
      </c>
      <c r="AI5" s="2307" t="s">
        <v>1995</v>
      </c>
      <c r="AJ5" s="2307" t="s">
        <v>1996</v>
      </c>
      <c r="AK5" s="1271" t="s">
        <v>1997</v>
      </c>
      <c r="AL5" s="1271" t="s">
        <v>1998</v>
      </c>
      <c r="AM5" s="70" t="s">
        <v>1999</v>
      </c>
      <c r="AN5" s="2308" t="s">
        <v>2000</v>
      </c>
      <c r="AO5" s="2078" t="s">
        <v>2001</v>
      </c>
      <c r="AP5" s="1252" t="s">
        <v>2002</v>
      </c>
      <c r="AQ5" s="2309" t="s">
        <v>2003</v>
      </c>
      <c r="AR5" s="2309" t="s">
        <v>2004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3072</v>
      </c>
      <c r="D6" s="1054">
        <f>SUMIF(项目基本情况!D$12:I$12,C6,项目基本情况!D$14:I$14)</f>
        <v>70</v>
      </c>
      <c r="E6" s="1051">
        <f>IF(B6="","",SUMIF(项目基本情况!D$12:I$12,C6,项目基本情况!D$13:I$13))</f>
        <v>67993</v>
      </c>
      <c r="F6" s="72">
        <f>SUMIF(项目基本情况!D$12:I$12,C6,项目基本情况!D$15:I$15)</f>
        <v>66.94</v>
      </c>
      <c r="G6" s="73">
        <f>IF(ISERROR(ROUND(POWER(1+H6,D6-F6)*(POWER(1+H6,F6)-1)/(POWER(1+H6,D6)-1),3)),0,ROUND(POWER(1+H6,D6-F6)*(POWER(1+H6,F6)-1)/(POWER(1+H6,D6)-1),3))</f>
        <v>0.99099999999999999</v>
      </c>
      <c r="H6" s="802">
        <v>0.04</v>
      </c>
      <c r="I6" s="802">
        <v>4.4999999999999998E-2</v>
      </c>
      <c r="J6" s="74">
        <v>8.5000000000000006E-2</v>
      </c>
      <c r="K6" s="1254">
        <f>SUMIF('数据-汇总表'!C$19:C$33,A6,'数据-汇总表'!E$19:E$33)</f>
        <v>118740.57</v>
      </c>
      <c r="L6" s="803">
        <v>3000</v>
      </c>
      <c r="M6" s="75">
        <f t="shared" ref="M6:M14" si="0">ROUND(K6*L6/10000,0)</f>
        <v>35622</v>
      </c>
      <c r="N6" s="801">
        <v>0.46</v>
      </c>
      <c r="O6" s="75">
        <f>IF($N$5="成新度","——",ROUND(M6*N6,0))</f>
        <v>16386</v>
      </c>
      <c r="P6" s="76">
        <f>IF($N$5="成新度","——",M6-O6)</f>
        <v>19236</v>
      </c>
      <c r="Q6" s="804">
        <v>0.15</v>
      </c>
      <c r="R6" s="77">
        <f ca="1">SUMIF('数据-汇总表'!C$19:C$33,A6,'数据-汇总表'!R$19:R$27)</f>
        <v>27729.4</v>
      </c>
      <c r="S6" s="54">
        <f>IF('数据-汇总表'!$I$17="按面积比例",SUMIF('数据-汇总表'!C$19:C$33,A6,'数据-汇总表'!K$19:K$33),SUMIF('数据-汇总表'!C$19:C$33,A6,'数据-汇总表'!N$19:N$33))</f>
        <v>1540.52</v>
      </c>
      <c r="T6" s="1446">
        <f>ROUND($L$14*S6/10000,0)</f>
        <v>339</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13"/>
      <c r="AO6" s="55" t="e">
        <f ca="1">SUMIF(INDIRECT("'"&amp;AN6&amp;"'"&amp;"!A:A"),"总价",INDIRECT("'"&amp;AN6&amp;"'"&amp;"!B:B"))</f>
        <v>#REF!</v>
      </c>
      <c r="AP6" s="2314">
        <f>IF(C6="住宅",K6*L6,0)</f>
        <v>356221710</v>
      </c>
      <c r="AQ6" s="55">
        <f>ROUND($L$14*$N$14*S6/10000,0)</f>
        <v>203</v>
      </c>
      <c r="AR6" s="55">
        <f>ROUND($L$14*(1-$N$14)*S6/10000,0)</f>
        <v>136</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商业</v>
      </c>
      <c r="B7" s="2311" t="str">
        <f t="shared" ref="B7:B13" si="1">IF(A7=0,"","经营性")</f>
        <v>经营性</v>
      </c>
      <c r="C7" s="2312" t="s">
        <v>1373</v>
      </c>
      <c r="D7" s="1054">
        <f>SUMIF(项目基本情况!D$12:I$12,C7,项目基本情况!D$14:I$14)</f>
        <v>40</v>
      </c>
      <c r="E7" s="1051">
        <f>IF(B7="","",SUMIF(项目基本情况!D$12:I$12,C7,项目基本情况!D$13:I$13))</f>
        <v>57035</v>
      </c>
      <c r="F7" s="72">
        <f>SUMIF(项目基本情况!D$12:I$12,C7,项目基本情况!D$15:I$15)</f>
        <v>36.92</v>
      </c>
      <c r="G7" s="73">
        <f t="shared" ref="G7:G11" si="2">IF(ISERROR(ROUND(POWER(1+H7,D7-F7)*(POWER(1+H7,F7)-1)/(POWER(1+H7,D7)-1),3)),0,ROUND(POWER(1+H7,D7-F7)*(POWER(1+H7,F7)-1)/(POWER(1+H7,D7)-1),3))</f>
        <v>0.97299999999999998</v>
      </c>
      <c r="H7" s="802">
        <v>0.05</v>
      </c>
      <c r="I7" s="802">
        <v>5.5E-2</v>
      </c>
      <c r="J7" s="74">
        <f>J6</f>
        <v>8.5000000000000006E-2</v>
      </c>
      <c r="K7" s="1254">
        <f>SUMIF('数据-汇总表'!C$19:C$33,A7,'数据-汇总表'!E$19:E$33)</f>
        <v>23277.64</v>
      </c>
      <c r="L7" s="803">
        <v>2200</v>
      </c>
      <c r="M7" s="75">
        <f t="shared" si="0"/>
        <v>5121</v>
      </c>
      <c r="N7" s="801">
        <v>0.6</v>
      </c>
      <c r="O7" s="75">
        <f t="shared" ref="O7:O14" si="3">IF($N$5="成新度","——",ROUND(M7*N7,0))</f>
        <v>3073</v>
      </c>
      <c r="P7" s="76">
        <f t="shared" ref="P7:P14" si="4">IF($N$5="成新度","——",M7-O7)</f>
        <v>2048</v>
      </c>
      <c r="Q7" s="804">
        <v>0.2</v>
      </c>
      <c r="R7" s="77">
        <f ca="1">SUMIF('数据-汇总表'!C$19:C$33,A7,'数据-汇总表'!R$19:R$27)</f>
        <v>5436.01</v>
      </c>
      <c r="S7" s="54">
        <f>IF('数据-汇总表'!$I$17="按面积比例",SUMIF('数据-汇总表'!C$19:C$33,A7,'数据-汇总表'!K$19:K$33),SUMIF('数据-汇总表'!C$19:C$33,A7,'数据-汇总表'!N$19:N$33))</f>
        <v>302</v>
      </c>
      <c r="T7" s="1446">
        <f t="shared" ref="T7:T13" si="5">ROUND($L$14*S7/10000,0)</f>
        <v>66</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40</v>
      </c>
      <c r="AR7" s="55">
        <f t="shared" ref="AR7:AR13" si="11">ROUND($L$14*(1-$N$14)*S7/10000,0)</f>
        <v>27</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2005</v>
      </c>
      <c r="B14" s="2311" t="s">
        <v>2006</v>
      </c>
      <c r="C14" s="2316" t="s">
        <v>2005</v>
      </c>
      <c r="D14" s="1054"/>
      <c r="E14" s="1051"/>
      <c r="F14" s="72"/>
      <c r="G14" s="73"/>
      <c r="H14" s="1253"/>
      <c r="I14" s="1253"/>
      <c r="J14" s="1253"/>
      <c r="K14" s="1254">
        <f>SUMIF('数据-汇总表'!C$19:C$33,A14,'数据-汇总表'!E$19:E$33)</f>
        <v>1842.5199999999998</v>
      </c>
      <c r="L14" s="91">
        <f>L7</f>
        <v>2200</v>
      </c>
      <c r="M14" s="75">
        <f t="shared" si="0"/>
        <v>405</v>
      </c>
      <c r="N14" s="92">
        <f>N7</f>
        <v>0.6</v>
      </c>
      <c r="O14" s="75">
        <f t="shared" si="3"/>
        <v>243</v>
      </c>
      <c r="P14" s="76">
        <f t="shared" si="4"/>
        <v>162</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2007</v>
      </c>
      <c r="B15" s="2311" t="s">
        <v>2006</v>
      </c>
      <c r="C15" s="2316" t="s">
        <v>2008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2009</v>
      </c>
      <c r="B16" s="97"/>
      <c r="C16" s="1008"/>
      <c r="D16" s="2318"/>
      <c r="E16" s="97"/>
      <c r="F16" s="97"/>
      <c r="G16" s="98">
        <f>ROUND(SUMPRODUCT(G6:G13,K6:K13)/SUMPRODUCT((G6:G13&gt;0)*(K6:K13)),3)</f>
        <v>0.98799999999999999</v>
      </c>
      <c r="H16" s="99">
        <f>ROUND(SUMPRODUCT(H6:H13,K6:K13)/SUMPRODUCT((H6:H13&gt;0)*(K6:K13)),3)</f>
        <v>4.2000000000000003E-2</v>
      </c>
      <c r="I16" s="100"/>
      <c r="J16" s="100"/>
      <c r="K16" s="101">
        <f>SUM(K6:K15)</f>
        <v>143860.73000000001</v>
      </c>
      <c r="L16" s="102">
        <f>ROUND(M16*10000/SUM(K6:K14),0)</f>
        <v>2860</v>
      </c>
      <c r="M16" s="102">
        <f>SUM(M6:M14)</f>
        <v>41148</v>
      </c>
      <c r="N16" s="103">
        <f>ROUND(SUMPRODUCT(M6:M14,N6:N14)/M16,3)</f>
        <v>0.47899999999999998</v>
      </c>
      <c r="O16" s="102">
        <f>SUM(O6:O14)</f>
        <v>19702</v>
      </c>
      <c r="P16" s="102">
        <f>SUM(P6:P14)</f>
        <v>21446</v>
      </c>
      <c r="Q16" s="104">
        <f>ROUND(SUMPRODUCT(Q6:Q13,K6:K13)/SUMPRODUCT((Q6:Q13&gt;0)*(K6:K13)),2)</f>
        <v>0.16</v>
      </c>
      <c r="R16" s="1258">
        <f ca="1">SUM(R6:R13)</f>
        <v>33165.410000000003</v>
      </c>
      <c r="S16" s="105">
        <f>SUM(S6:S13)</f>
        <v>1842.52</v>
      </c>
      <c r="T16" s="106">
        <f>IF(SUMIF(T6:T13,"&lt;9E307")=M14,SUMIF(T6:T13,"&lt;9E307"),"有误，请检查")</f>
        <v>405</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v>1943</v>
      </c>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2010</v>
      </c>
      <c r="B18" s="2284"/>
      <c r="C18" s="2281"/>
      <c r="D18" s="2282"/>
      <c r="E18" s="2281"/>
      <c r="F18" s="2281"/>
      <c r="G18" s="2281"/>
      <c r="H18" s="2281"/>
      <c r="I18" s="2281"/>
      <c r="J18" s="2281"/>
      <c r="K18" s="168"/>
      <c r="L18" s="168">
        <v>2218</v>
      </c>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2011</v>
      </c>
      <c r="B19" s="112">
        <v>0</v>
      </c>
      <c r="C19" s="2281" t="s">
        <v>2012</v>
      </c>
      <c r="D19" s="2282"/>
      <c r="E19" s="2281"/>
      <c r="F19" s="2281"/>
      <c r="G19" s="2281"/>
      <c r="H19" s="2281"/>
      <c r="I19" s="2281"/>
      <c r="J19" s="2281"/>
      <c r="K19" s="168"/>
      <c r="L19" s="168">
        <v>2543</v>
      </c>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2013</v>
      </c>
      <c r="B20" s="113">
        <v>3</v>
      </c>
      <c r="C20" s="2281" t="s">
        <v>2014</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2015</v>
      </c>
      <c r="B21" s="113">
        <v>1.5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2016</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2017</v>
      </c>
      <c r="B23" s="114">
        <f>B19+B21</f>
        <v>1.5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2018</v>
      </c>
      <c r="B24" s="115">
        <f>B20-B21</f>
        <v>1.5</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2019</v>
      </c>
      <c r="B26" s="2324" t="s">
        <v>2020</v>
      </c>
      <c r="C26" s="2325" t="s">
        <v>2021</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2022</v>
      </c>
      <c r="B27" s="116">
        <v>55</v>
      </c>
      <c r="C27" s="1767" t="s">
        <v>2023</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2024</v>
      </c>
      <c r="B28" s="119">
        <v>55</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2025</v>
      </c>
      <c r="B29" s="121"/>
      <c r="C29" s="1767" t="s">
        <v>2026</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2027</v>
      </c>
      <c r="B30" s="724">
        <v>180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2028</v>
      </c>
      <c r="B31" s="120">
        <f>B30-B32</f>
        <v>80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2029</v>
      </c>
      <c r="B32" s="725">
        <v>100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2030</v>
      </c>
      <c r="B33" s="726">
        <v>0.03</v>
      </c>
      <c r="C33" s="1766" t="s">
        <v>2031</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2032</v>
      </c>
      <c r="B34" s="122">
        <v>0.03</v>
      </c>
      <c r="C34" s="1766" t="s">
        <v>2033</v>
      </c>
      <c r="D34" s="2282" t="s">
        <v>2034</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2035</v>
      </c>
      <c r="B35" s="119">
        <f>B30</f>
        <v>180</v>
      </c>
      <c r="C35" s="1766" t="s">
        <v>2036</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2037</v>
      </c>
      <c r="B36" s="123">
        <v>1.4999999999999999E-2</v>
      </c>
      <c r="C36" s="1766" t="s">
        <v>2038</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2039</v>
      </c>
      <c r="B37" s="124">
        <v>0.02</v>
      </c>
      <c r="C37" s="1766" t="s">
        <v>2040</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2041</v>
      </c>
      <c r="B38" s="122">
        <v>0.02</v>
      </c>
      <c r="C38" s="1766" t="s">
        <v>2040</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2042</v>
      </c>
      <c r="B39" s="362">
        <f ca="1">存贷款利率!I1</f>
        <v>1.4999999999999999E-2</v>
      </c>
      <c r="C39" s="1766"/>
      <c r="D39" s="2282"/>
      <c r="E39" s="2281"/>
      <c r="F39" s="2281"/>
      <c r="G39" s="2281">
        <f ca="1">结果表!G19</f>
        <v>232686</v>
      </c>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2043</v>
      </c>
      <c r="B40" s="1303">
        <f ca="1">存贷款利率!G1</f>
        <v>4.7500000000000001E-2</v>
      </c>
      <c r="C40" s="1766" t="s">
        <v>2044</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2045</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2046</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2047</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2048</v>
      </c>
      <c r="B44" s="128">
        <v>7.0000000000000007E-2</v>
      </c>
      <c r="C44" s="1766" t="s">
        <v>2049</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2050</v>
      </c>
      <c r="B45" s="126">
        <v>0.03</v>
      </c>
      <c r="C45" s="1767" t="s">
        <v>2051</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2052</v>
      </c>
      <c r="B46" s="126">
        <v>0.02</v>
      </c>
      <c r="C46" s="1767" t="s">
        <v>2053</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2054</v>
      </c>
      <c r="B47" s="129">
        <v>0</v>
      </c>
      <c r="C47" s="1767" t="s">
        <v>2055</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2056</v>
      </c>
      <c r="B48" s="130">
        <v>0.03</v>
      </c>
      <c r="C48" s="1774" t="s">
        <v>2057</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2058</v>
      </c>
      <c r="B49" s="126">
        <v>5.0000000000000001E-4</v>
      </c>
      <c r="C49" s="1774" t="s">
        <v>2059</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2060</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2061</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2062</v>
      </c>
      <c r="B52" s="133">
        <f>SUMIF(A54:A63,B53,B54:B63)</f>
        <v>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2063</v>
      </c>
      <c r="B53" s="2340" t="s">
        <v>212</v>
      </c>
      <c r="C53" s="1430" t="s">
        <v>2064</v>
      </c>
      <c r="D53" s="2341" t="s">
        <v>2065</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2066</v>
      </c>
      <c r="B54" s="84">
        <v>8</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2067</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2068</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2069</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2070</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2071</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2072</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2073</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2074</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2075</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51" t="s">
        <v>2076</v>
      </c>
      <c r="B1" s="3052"/>
      <c r="C1" s="3052"/>
      <c r="D1" s="3052"/>
      <c r="E1" s="3052"/>
      <c r="F1" s="3052"/>
      <c r="G1" s="305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2077</v>
      </c>
      <c r="D2" s="2370"/>
      <c r="E2" s="2371"/>
      <c r="F2" s="2290"/>
      <c r="G2" s="2369" t="s">
        <v>2078</v>
      </c>
      <c r="H2" s="2372"/>
      <c r="I2" s="2372"/>
      <c r="J2" s="2372"/>
      <c r="K2" s="2372"/>
      <c r="L2" s="2372"/>
      <c r="M2" s="2372"/>
      <c r="N2" s="2372"/>
      <c r="O2" s="2372"/>
      <c r="P2" s="2372"/>
      <c r="Q2" s="2372"/>
      <c r="R2" s="2372"/>
    </row>
    <row r="3" spans="1:29" ht="42.75">
      <c r="A3" s="415" t="s">
        <v>2079</v>
      </c>
      <c r="B3" s="1271" t="s">
        <v>2080</v>
      </c>
      <c r="C3" s="2951" t="s">
        <v>3092</v>
      </c>
      <c r="D3" s="2374"/>
      <c r="E3" s="431" t="s">
        <v>2079</v>
      </c>
      <c r="F3" s="2375" t="s">
        <v>2081</v>
      </c>
      <c r="G3" s="2376" t="s">
        <v>2082</v>
      </c>
      <c r="H3" s="2372"/>
      <c r="I3" s="2372"/>
      <c r="J3" s="2372"/>
      <c r="K3" s="2372"/>
      <c r="L3" s="2372"/>
      <c r="M3" s="2372"/>
      <c r="N3" s="2372"/>
      <c r="O3" s="2372"/>
      <c r="P3" s="2372"/>
      <c r="Q3" s="2372"/>
      <c r="R3" s="2372"/>
    </row>
    <row r="4" spans="1:29" ht="40.5">
      <c r="A4" s="431"/>
      <c r="B4" s="1798" t="s">
        <v>2083</v>
      </c>
      <c r="C4" s="2952" t="s">
        <v>3093</v>
      </c>
      <c r="D4" s="2374"/>
      <c r="E4" s="2378"/>
      <c r="F4" s="42" t="s">
        <v>2084</v>
      </c>
      <c r="G4" s="2379" t="s">
        <v>2085</v>
      </c>
      <c r="H4" s="2372"/>
      <c r="I4" s="2372"/>
      <c r="J4" s="2372"/>
      <c r="K4" s="2372"/>
      <c r="L4" s="2372"/>
      <c r="M4" s="2372"/>
      <c r="N4" s="2372"/>
      <c r="O4" s="2372"/>
      <c r="P4" s="2372"/>
      <c r="Q4" s="2372"/>
      <c r="R4" s="2372"/>
    </row>
    <row r="5" spans="1:29" ht="27">
      <c r="A5" s="431"/>
      <c r="B5" s="1798" t="s">
        <v>2086</v>
      </c>
      <c r="C5" s="2377"/>
      <c r="D5" s="2374"/>
      <c r="E5" s="2378"/>
      <c r="F5" s="1798" t="s">
        <v>2087</v>
      </c>
      <c r="G5" s="2379" t="s">
        <v>2088</v>
      </c>
      <c r="H5" s="2372"/>
      <c r="I5" s="2372"/>
      <c r="J5" s="2372"/>
      <c r="K5" s="2372"/>
      <c r="L5" s="2372"/>
      <c r="M5" s="2372"/>
      <c r="N5" s="2372"/>
      <c r="O5" s="2372"/>
      <c r="P5" s="2372"/>
      <c r="Q5" s="2372"/>
      <c r="R5" s="2372"/>
    </row>
    <row r="6" spans="1:29" ht="15">
      <c r="A6" s="431"/>
      <c r="B6" s="1798" t="s">
        <v>2089</v>
      </c>
      <c r="C6" s="2953" t="s">
        <v>3094</v>
      </c>
      <c r="D6" s="2374"/>
      <c r="E6" s="2378"/>
      <c r="F6" s="1798" t="s">
        <v>2090</v>
      </c>
      <c r="G6" s="2379" t="s">
        <v>2091</v>
      </c>
      <c r="H6" s="2372"/>
      <c r="I6" s="2372"/>
      <c r="J6" s="2372"/>
      <c r="K6" s="2372"/>
      <c r="L6" s="2372"/>
      <c r="M6" s="2372"/>
      <c r="N6" s="2372"/>
      <c r="O6" s="2372"/>
      <c r="P6" s="2372"/>
      <c r="Q6" s="2372"/>
      <c r="R6" s="2372"/>
    </row>
    <row r="7" spans="1:29" ht="41.25" thickBot="1">
      <c r="A7" s="431"/>
      <c r="B7" s="1798" t="s">
        <v>2087</v>
      </c>
      <c r="C7" s="2953" t="s">
        <v>3094</v>
      </c>
      <c r="D7" s="2380"/>
      <c r="E7" s="2381"/>
      <c r="F7" s="2382" t="s">
        <v>2092</v>
      </c>
      <c r="G7" s="2383" t="s">
        <v>2093</v>
      </c>
      <c r="H7" s="2372"/>
      <c r="I7" s="2372"/>
      <c r="J7" s="2372"/>
      <c r="K7" s="2372"/>
      <c r="L7" s="2372"/>
      <c r="M7" s="2372"/>
      <c r="N7" s="2372"/>
      <c r="O7" s="2372"/>
      <c r="P7" s="2372"/>
      <c r="Q7" s="2372"/>
      <c r="R7" s="2372"/>
    </row>
    <row r="8" spans="1:29" ht="15">
      <c r="A8" s="431"/>
      <c r="B8" s="1798" t="s">
        <v>2090</v>
      </c>
      <c r="C8" s="2953" t="s">
        <v>3095</v>
      </c>
      <c r="D8" s="2380"/>
      <c r="E8" s="2380"/>
      <c r="F8" s="1136"/>
      <c r="G8" s="1136"/>
      <c r="H8" s="2372"/>
      <c r="I8" s="2372"/>
      <c r="J8" s="2372"/>
      <c r="K8" s="2372"/>
      <c r="L8" s="2372"/>
      <c r="M8" s="2372"/>
      <c r="N8" s="2372"/>
      <c r="O8" s="2372"/>
      <c r="P8" s="2372"/>
      <c r="Q8" s="2372"/>
      <c r="R8" s="2372"/>
    </row>
    <row r="9" spans="1:29" ht="15">
      <c r="A9" s="431"/>
      <c r="B9" s="1798" t="s">
        <v>2094</v>
      </c>
      <c r="C9" s="2952" t="s">
        <v>3094</v>
      </c>
      <c r="D9" s="2374"/>
      <c r="E9" s="2380"/>
      <c r="F9" s="1136"/>
      <c r="G9" s="1136"/>
      <c r="H9" s="2372"/>
      <c r="I9" s="2372"/>
      <c r="J9" s="2372"/>
      <c r="K9" s="2372"/>
      <c r="L9" s="2372"/>
      <c r="M9" s="2372"/>
      <c r="N9" s="2372"/>
      <c r="O9" s="2372"/>
      <c r="P9" s="2372"/>
      <c r="Q9" s="2372"/>
      <c r="R9" s="2372"/>
    </row>
    <row r="10" spans="1:29" s="117" customFormat="1" ht="15.75" thickBot="1">
      <c r="A10" s="2384"/>
      <c r="B10" s="2385" t="s">
        <v>2095</v>
      </c>
      <c r="C10" s="2386"/>
      <c r="D10" s="2374"/>
      <c r="E10" s="2374"/>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4"/>
      <c r="D12" s="2391"/>
      <c r="E12" s="2374"/>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2096</v>
      </c>
      <c r="B13" s="2391"/>
      <c r="C13" s="2391"/>
      <c r="D13" s="2398"/>
      <c r="E13" s="2391"/>
      <c r="F13" s="2391"/>
      <c r="G13" s="2391"/>
    </row>
    <row r="14" spans="1:29" ht="15.75" thickBot="1">
      <c r="A14" s="2402"/>
      <c r="B14" s="2403"/>
      <c r="C14" s="2404" t="s">
        <v>2097</v>
      </c>
      <c r="D14" s="2374"/>
      <c r="E14" s="2405"/>
      <c r="F14" s="2405"/>
      <c r="G14" s="2369" t="s">
        <v>2098</v>
      </c>
    </row>
    <row r="15" spans="1:29" ht="42.75">
      <c r="A15" s="68" t="s">
        <v>2099</v>
      </c>
      <c r="B15" s="1270" t="s">
        <v>2080</v>
      </c>
      <c r="C15" s="2406" t="str">
        <f>C3</f>
        <v>较好</v>
      </c>
      <c r="D15" s="2374"/>
      <c r="E15" s="2407" t="s">
        <v>2100</v>
      </c>
      <c r="F15" s="1270" t="s">
        <v>2101</v>
      </c>
      <c r="G15" s="135" t="str">
        <f>G3</f>
        <v>估价对象位于XX开发区，园区建设成熟度XX，产业集聚程度XX</v>
      </c>
    </row>
    <row r="16" spans="1:29" ht="42.75">
      <c r="A16" s="645"/>
      <c r="B16" s="2408" t="s">
        <v>2083</v>
      </c>
      <c r="C16" s="2409" t="str">
        <f>C4</f>
        <v>较好</v>
      </c>
      <c r="D16" s="2374"/>
      <c r="E16" s="2410"/>
      <c r="F16" s="2411" t="s">
        <v>2084</v>
      </c>
      <c r="G16" s="136" t="str">
        <f>G4</f>
        <v>估价对象周边道路状况、公共交通通达情况、停车便捷程度，综合评价交通便捷度较好</v>
      </c>
    </row>
    <row r="17" spans="1:18" ht="15">
      <c r="A17" s="645"/>
      <c r="B17" s="2408" t="s">
        <v>2086</v>
      </c>
      <c r="C17" s="2409">
        <f>C5</f>
        <v>0</v>
      </c>
      <c r="D17" s="2380"/>
      <c r="E17" s="2410"/>
      <c r="F17" s="2411" t="s">
        <v>2102</v>
      </c>
      <c r="G17" s="1572"/>
    </row>
    <row r="18" spans="1:18" ht="42.75">
      <c r="A18" s="645"/>
      <c r="B18" s="2411" t="s">
        <v>2089</v>
      </c>
      <c r="C18" s="136" t="str">
        <f>C6</f>
        <v>较好</v>
      </c>
      <c r="D18" s="2380"/>
      <c r="E18" s="2410"/>
      <c r="F18" s="2411" t="s">
        <v>2092</v>
      </c>
      <c r="G18" s="136" t="str">
        <f>G7</f>
        <v>该园区内是否有污染型企业，绿化情况，卫生条件，整体环境状况判断</v>
      </c>
    </row>
    <row r="19" spans="1:18" ht="28.5">
      <c r="A19" s="645"/>
      <c r="B19" s="2411" t="s">
        <v>2103</v>
      </c>
      <c r="C19" s="1572"/>
      <c r="D19" s="2374"/>
      <c r="E19" s="2410"/>
      <c r="F19" s="1798" t="s">
        <v>2087</v>
      </c>
      <c r="G19" s="136" t="str">
        <f>G5</f>
        <v>估价对象所在区域公共配套设施齐备情况</v>
      </c>
    </row>
    <row r="20" spans="1:18" ht="15">
      <c r="A20" s="645"/>
      <c r="B20" s="2411" t="s">
        <v>2104</v>
      </c>
      <c r="C20" s="2409" t="str">
        <f>C9</f>
        <v>较好</v>
      </c>
      <c r="D20" s="2380"/>
      <c r="E20" s="2410"/>
      <c r="F20" s="1798" t="s">
        <v>2105</v>
      </c>
      <c r="G20" s="136" t="str">
        <f>G6</f>
        <v>估价对象所在区域基础设施水平</v>
      </c>
    </row>
    <row r="21" spans="1:18" ht="15">
      <c r="A21" s="645"/>
      <c r="B21" s="1798" t="s">
        <v>2087</v>
      </c>
      <c r="C21" s="136" t="str">
        <f>C7</f>
        <v>较好</v>
      </c>
      <c r="D21" s="2374"/>
      <c r="E21" s="2410"/>
      <c r="F21" s="2411" t="s">
        <v>2106</v>
      </c>
      <c r="G21" s="2412"/>
    </row>
    <row r="22" spans="1:18" ht="13.5" customHeight="1">
      <c r="A22" s="645"/>
      <c r="B22" s="1798" t="s">
        <v>2090</v>
      </c>
      <c r="C22" s="136" t="str">
        <f>C8</f>
        <v>六通</v>
      </c>
      <c r="D22" s="2374"/>
      <c r="E22" s="2410"/>
      <c r="F22" s="2411" t="s">
        <v>2095</v>
      </c>
      <c r="G22" s="1572"/>
    </row>
    <row r="23" spans="1:18" s="2372" customFormat="1" ht="15.75" thickBot="1">
      <c r="A23" s="645"/>
      <c r="B23" s="2411" t="s">
        <v>2106</v>
      </c>
      <c r="C23" s="2412"/>
      <c r="D23" s="2399"/>
      <c r="E23" s="2413"/>
      <c r="F23" s="2414" t="s">
        <v>2107</v>
      </c>
      <c r="G23" s="2415"/>
      <c r="H23" s="2399"/>
      <c r="I23" s="2400"/>
      <c r="J23" s="2399"/>
      <c r="K23" s="2399"/>
      <c r="L23" s="2400"/>
      <c r="M23" s="2399"/>
      <c r="N23" s="2399"/>
      <c r="O23" s="2400"/>
      <c r="P23" s="2399"/>
      <c r="Q23" s="2399"/>
      <c r="R23" s="2401"/>
    </row>
    <row r="24" spans="1:18" s="2372" customFormat="1" ht="15.75" thickBot="1">
      <c r="A24" s="2416"/>
      <c r="B24" s="2414" t="s">
        <v>2108</v>
      </c>
      <c r="C24" s="137">
        <f>C10</f>
        <v>0</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1" sqref="G11"/>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143860.73000000001</v>
      </c>
      <c r="C1" s="1745"/>
      <c r="D1" s="1745"/>
      <c r="E1" s="1745"/>
      <c r="F1" s="1745"/>
      <c r="G1" s="1743"/>
    </row>
    <row r="2" spans="1:10" ht="16.5">
      <c r="A2" s="1746" t="s">
        <v>1349</v>
      </c>
      <c r="B2" s="1746">
        <f>SUM(C14:C23)</f>
        <v>33165.410000000003</v>
      </c>
      <c r="C2" s="1745"/>
      <c r="D2" s="1745"/>
      <c r="E2" s="1745"/>
      <c r="F2" s="1745"/>
      <c r="G2" s="1743"/>
    </row>
    <row r="3" spans="1:10" ht="16.5">
      <c r="A3" s="1746" t="s">
        <v>1358</v>
      </c>
      <c r="B3" s="1747">
        <f>项目基本情况!D3</f>
        <v>43557</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232686</v>
      </c>
      <c r="C5" s="1746">
        <f ca="1">ROUND(B5*10000/$B$1,0)</f>
        <v>16174</v>
      </c>
      <c r="D5" s="1746">
        <f ca="1">ROUND(B5*10000/$B$2,0)</f>
        <v>70159</v>
      </c>
      <c r="E5" s="1745"/>
      <c r="F5" s="1743"/>
      <c r="G5" s="1743"/>
    </row>
    <row r="6" spans="1:10" ht="16.5">
      <c r="A6" s="1746" t="s">
        <v>1352</v>
      </c>
      <c r="B6" s="1746">
        <f ca="1">SUM(G14:G23)</f>
        <v>232686</v>
      </c>
      <c r="C6" s="1746">
        <f ca="1">ROUND(B6*10000/$B$1,0)</f>
        <v>16174</v>
      </c>
      <c r="D6" s="1746">
        <f ca="1">ROUND(B6*10000/$B$2,0)</f>
        <v>70159</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143860.73000000001</v>
      </c>
      <c r="C14" s="1744">
        <f>结果表!C118</f>
        <v>33165.410000000003</v>
      </c>
      <c r="D14" s="1744">
        <f ca="1">结果表!H118</f>
        <v>232686</v>
      </c>
      <c r="E14" s="1744">
        <f ca="1">ROUND(D14*10000/B14,0)</f>
        <v>16174</v>
      </c>
      <c r="F14" s="1744">
        <f ca="1">ROUND(D14*10000/C14,0)</f>
        <v>70159</v>
      </c>
      <c r="G14" s="1744">
        <f ca="1">结果表!D122</f>
        <v>232686</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2109</v>
      </c>
      <c r="B1" s="2422"/>
      <c r="C1" s="2423"/>
      <c r="D1" s="2422"/>
      <c r="E1" s="2422"/>
      <c r="F1" s="2424" t="s">
        <v>2110</v>
      </c>
      <c r="G1" s="2074" t="s">
        <v>2111</v>
      </c>
      <c r="H1" s="2425" t="str">
        <f>IF(G1="现房","——","估价对象范围")</f>
        <v>估价对象范围</v>
      </c>
      <c r="I1" s="2426"/>
    </row>
    <row r="2" spans="1:12" ht="21.75" customHeight="1" thickBot="1">
      <c r="A2" s="3086" t="str">
        <f>项目基本情况!S2</f>
        <v>出让国有建设用地使用权及在建建筑物房地产</v>
      </c>
      <c r="B2" s="3087"/>
      <c r="C2" s="3087"/>
      <c r="D2" s="3087"/>
      <c r="E2" s="3087"/>
      <c r="F2" s="3087"/>
      <c r="G2" s="3087"/>
      <c r="H2" s="3087"/>
      <c r="I2" s="3088"/>
    </row>
    <row r="3" spans="1:12" ht="12.75">
      <c r="A3" s="3090" t="s">
        <v>2112</v>
      </c>
      <c r="B3" s="3091"/>
      <c r="C3" s="3091"/>
      <c r="D3" s="3091"/>
      <c r="E3" s="3091"/>
      <c r="F3" s="3091"/>
      <c r="G3" s="3091"/>
      <c r="H3" s="3091"/>
      <c r="I3" s="3091"/>
    </row>
    <row r="4" spans="1:12" ht="14.25">
      <c r="A4" s="2429" t="s">
        <v>2113</v>
      </c>
      <c r="B4" s="2430" t="s">
        <v>2114</v>
      </c>
      <c r="C4" s="2431" t="s">
        <v>3096</v>
      </c>
      <c r="D4" s="2431" t="s">
        <v>3097</v>
      </c>
      <c r="E4" s="3083" t="s">
        <v>2115</v>
      </c>
      <c r="F4" s="3084"/>
      <c r="G4" s="3084"/>
      <c r="H4" s="3084"/>
      <c r="I4" s="3092"/>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066" t="s">
        <v>2116</v>
      </c>
      <c r="B5" s="3004">
        <v>25</v>
      </c>
      <c r="C5" s="3069">
        <v>20</v>
      </c>
      <c r="D5" s="3089">
        <v>20</v>
      </c>
      <c r="E5" s="140" t="s">
        <v>2117</v>
      </c>
      <c r="F5" s="2433"/>
      <c r="G5" s="2433"/>
      <c r="H5" s="2433"/>
      <c r="I5" s="1834"/>
    </row>
    <row r="6" spans="1:12" ht="12.75">
      <c r="A6" s="3066"/>
      <c r="B6" s="3004"/>
      <c r="C6" s="3070"/>
      <c r="D6" s="3089"/>
      <c r="E6" s="140" t="s">
        <v>2118</v>
      </c>
      <c r="F6" s="2433"/>
      <c r="G6" s="2433"/>
      <c r="H6" s="2433"/>
      <c r="I6" s="1834"/>
    </row>
    <row r="7" spans="1:12" ht="12.75">
      <c r="A7" s="3066"/>
      <c r="B7" s="3004"/>
      <c r="C7" s="3071"/>
      <c r="D7" s="3089"/>
      <c r="E7" s="140" t="s">
        <v>2119</v>
      </c>
      <c r="F7" s="2433"/>
      <c r="G7" s="2433"/>
      <c r="H7" s="2433"/>
      <c r="I7" s="1834"/>
    </row>
    <row r="8" spans="1:12" ht="12.75">
      <c r="A8" s="3066" t="s">
        <v>2120</v>
      </c>
      <c r="B8" s="3004">
        <v>15</v>
      </c>
      <c r="C8" s="3069">
        <v>10</v>
      </c>
      <c r="D8" s="3089">
        <v>10</v>
      </c>
      <c r="E8" s="140" t="s">
        <v>2121</v>
      </c>
      <c r="F8" s="2433"/>
      <c r="G8" s="2433"/>
      <c r="H8" s="2433"/>
      <c r="I8" s="1834"/>
    </row>
    <row r="9" spans="1:12" ht="12.75">
      <c r="A9" s="3066"/>
      <c r="B9" s="3004"/>
      <c r="C9" s="3071"/>
      <c r="D9" s="3089"/>
      <c r="E9" s="140" t="s">
        <v>2122</v>
      </c>
      <c r="F9" s="2433"/>
      <c r="G9" s="2433"/>
      <c r="H9" s="2433"/>
      <c r="I9" s="1834"/>
    </row>
    <row r="10" spans="1:12" ht="12.75">
      <c r="A10" s="3066" t="s">
        <v>2123</v>
      </c>
      <c r="B10" s="3004">
        <v>15</v>
      </c>
      <c r="C10" s="3069">
        <v>10</v>
      </c>
      <c r="D10" s="3089">
        <v>10</v>
      </c>
      <c r="E10" s="140" t="s">
        <v>2124</v>
      </c>
      <c r="F10" s="2433"/>
      <c r="G10" s="2433"/>
      <c r="H10" s="2433"/>
      <c r="I10" s="1834"/>
    </row>
    <row r="11" spans="1:12" ht="12.75">
      <c r="A11" s="3066"/>
      <c r="B11" s="3004"/>
      <c r="C11" s="3071"/>
      <c r="D11" s="3089"/>
      <c r="E11" s="140" t="s">
        <v>2125</v>
      </c>
      <c r="F11" s="2433"/>
      <c r="G11" s="2433"/>
      <c r="H11" s="2433"/>
      <c r="I11" s="1834"/>
    </row>
    <row r="12" spans="1:12" ht="12.75">
      <c r="A12" s="3066" t="s">
        <v>2126</v>
      </c>
      <c r="B12" s="3004">
        <v>15</v>
      </c>
      <c r="C12" s="3069">
        <v>10</v>
      </c>
      <c r="D12" s="3089">
        <v>10</v>
      </c>
      <c r="E12" s="140" t="s">
        <v>2127</v>
      </c>
      <c r="F12" s="2433"/>
      <c r="G12" s="2433"/>
      <c r="H12" s="2433"/>
      <c r="I12" s="1834"/>
    </row>
    <row r="13" spans="1:12" ht="12.75">
      <c r="A13" s="3066"/>
      <c r="B13" s="3004"/>
      <c r="C13" s="3071"/>
      <c r="D13" s="3089"/>
      <c r="E13" s="140" t="s">
        <v>2128</v>
      </c>
      <c r="F13" s="2433"/>
      <c r="G13" s="2433"/>
      <c r="H13" s="2433"/>
      <c r="I13" s="1834"/>
    </row>
    <row r="14" spans="1:12" ht="12.75">
      <c r="A14" s="3066" t="s">
        <v>2129</v>
      </c>
      <c r="B14" s="3004">
        <v>30</v>
      </c>
      <c r="C14" s="3069">
        <v>20</v>
      </c>
      <c r="D14" s="3089">
        <v>20</v>
      </c>
      <c r="E14" s="140" t="s">
        <v>2130</v>
      </c>
      <c r="F14" s="2433"/>
      <c r="G14" s="2433"/>
      <c r="H14" s="2433"/>
      <c r="I14" s="1834"/>
    </row>
    <row r="15" spans="1:12" ht="12.75">
      <c r="A15" s="3066"/>
      <c r="B15" s="3004"/>
      <c r="C15" s="3070"/>
      <c r="D15" s="3089"/>
      <c r="E15" s="140" t="s">
        <v>2131</v>
      </c>
      <c r="F15" s="2433"/>
      <c r="G15" s="2433"/>
      <c r="H15" s="2433"/>
      <c r="I15" s="1834"/>
    </row>
    <row r="16" spans="1:12" ht="12.75">
      <c r="A16" s="3066"/>
      <c r="B16" s="3004"/>
      <c r="C16" s="3071"/>
      <c r="D16" s="3089"/>
      <c r="E16" s="140" t="s">
        <v>2132</v>
      </c>
      <c r="F16" s="2433"/>
      <c r="G16" s="2433"/>
      <c r="H16" s="2433"/>
      <c r="I16" s="1834"/>
    </row>
    <row r="17" spans="1:35" ht="15">
      <c r="A17" s="2434" t="s">
        <v>2133</v>
      </c>
      <c r="B17" s="64"/>
      <c r="C17" s="141">
        <f>SUM(C5:C16)</f>
        <v>70</v>
      </c>
      <c r="D17" s="141">
        <f>SUM(D5:D16)</f>
        <v>70</v>
      </c>
      <c r="E17" s="138"/>
      <c r="F17" s="138"/>
      <c r="G17" s="138"/>
      <c r="H17" s="138"/>
      <c r="I17" s="138"/>
      <c r="K17" s="2432"/>
      <c r="L17" s="2435" t="s">
        <v>2134</v>
      </c>
      <c r="M17" s="2435" t="s">
        <v>2135</v>
      </c>
    </row>
    <row r="18" spans="1:35" ht="15.75" thickBot="1">
      <c r="A18" s="2436" t="s">
        <v>2136</v>
      </c>
      <c r="B18" s="2437"/>
      <c r="C18" s="142">
        <f>ROUND(C17/SUM(C17:D17),2)</f>
        <v>0.5</v>
      </c>
      <c r="D18" s="142">
        <f>1-C18</f>
        <v>0.5</v>
      </c>
      <c r="E18" s="138"/>
      <c r="F18" s="138"/>
      <c r="G18" s="138"/>
      <c r="H18" s="138"/>
      <c r="I18" s="138"/>
      <c r="K18" s="2432" t="s">
        <v>2137</v>
      </c>
      <c r="L18" s="2432">
        <f>IF(C1="",'数据-汇总表'!E3,SUMIF(项目类型,C1,'数据-汇总表'!E17:E26)+SUMIF(项目类型,C1,'数据-汇总表'!I17:I26))</f>
        <v>143860.73000000001</v>
      </c>
      <c r="M18" s="2432">
        <f>IF(C1="",'数据-汇总表'!E3,SUMIF(项目类型,C1,'数据-汇总表'!E17:E26))</f>
        <v>143860.73000000001</v>
      </c>
    </row>
    <row r="19" spans="1:35" ht="15">
      <c r="A19" s="2438" t="s">
        <v>2138</v>
      </c>
      <c r="B19" s="2439" t="s">
        <v>2139</v>
      </c>
      <c r="C19" s="143">
        <f ca="1">SUMIF(INDIRECT("'"&amp;C4&amp;"'"&amp;"!A:A"),结果表!B19,INDIRECT("'"&amp;C4&amp;"'"&amp;"!B:B"))</f>
        <v>235478</v>
      </c>
      <c r="D19" s="144">
        <f ca="1">SUMIF(INDIRECT("'"&amp;D4&amp;"'"&amp;"!A:A"),结果表!B19,INDIRECT("'"&amp;D4&amp;"'"&amp;"!B:B"))</f>
        <v>229894</v>
      </c>
      <c r="E19" s="2438" t="s">
        <v>2140</v>
      </c>
      <c r="F19" s="2439" t="s">
        <v>2139</v>
      </c>
      <c r="G19" s="145">
        <f ca="1">ROUND(C19*$C$18+D19*$D$18,0)</f>
        <v>232686</v>
      </c>
      <c r="H19" s="2440" t="s">
        <v>2141</v>
      </c>
      <c r="I19" s="138"/>
      <c r="K19" s="2432" t="s">
        <v>2142</v>
      </c>
      <c r="L19" s="2432">
        <f>IF(C1="",'数据-汇总表'!D3,SUMIF(项目类型,C1,'数据-汇总表'!D17:D26)+SUMIF(项目类型,C1,'数据-汇总表'!H17:H27))</f>
        <v>33165.410000000003</v>
      </c>
      <c r="M19" s="2432">
        <f>IF(C1="",'数据-汇总表'!D3,SUMIF(项目类型,C1,'数据-汇总表'!D17:D26))</f>
        <v>33165.410000000003</v>
      </c>
    </row>
    <row r="20" spans="1:35" ht="15">
      <c r="A20" s="2441"/>
      <c r="B20" s="1250" t="s">
        <v>2143</v>
      </c>
      <c r="C20" s="146">
        <f ca="1">SUMIF(INDIRECT("'"&amp;C4&amp;"'"&amp;"!A:A"),结果表!B20,INDIRECT("'"&amp;C4&amp;"'"&amp;"!B:B"))</f>
        <v>16368</v>
      </c>
      <c r="D20" s="147">
        <f ca="1">SUMIF(INDIRECT("'"&amp;D4&amp;"'"&amp;"!A:A"),结果表!B20,INDIRECT("'"&amp;D4&amp;"'"&amp;"!B:B"))</f>
        <v>15980</v>
      </c>
      <c r="E20" s="2441"/>
      <c r="F20" s="1250" t="s">
        <v>2143</v>
      </c>
      <c r="G20" s="148">
        <f ca="1">ROUND(C20*$C$18+D20*$D$18,0)</f>
        <v>16174</v>
      </c>
      <c r="H20" s="983" t="s">
        <v>2144</v>
      </c>
      <c r="I20" s="138"/>
      <c r="J20" s="795">
        <f ca="1">ROUND(G19*10000/'数据-汇总表'!F27,0)</f>
        <v>16384</v>
      </c>
    </row>
    <row r="21" spans="1:35" ht="15" customHeight="1" thickBot="1">
      <c r="A21" s="1003"/>
      <c r="B21" s="2442" t="s">
        <v>2145</v>
      </c>
      <c r="C21" s="789">
        <f ca="1">ROUND(C19*10000/L19,0)</f>
        <v>71001</v>
      </c>
      <c r="D21" s="790">
        <f ca="1">ROUND(D19*10000/L19,0)</f>
        <v>69317</v>
      </c>
      <c r="E21" s="1003"/>
      <c r="F21" s="2442" t="s">
        <v>2145</v>
      </c>
      <c r="G21" s="149">
        <f ca="1">ROUND(G19*10000/L19,0)</f>
        <v>70159</v>
      </c>
      <c r="H21" s="2443" t="s">
        <v>2144</v>
      </c>
      <c r="I21" s="138"/>
    </row>
    <row r="22" spans="1:35" ht="15" thickBot="1">
      <c r="A22" s="2285" t="s">
        <v>2146</v>
      </c>
      <c r="B22" s="2444"/>
      <c r="C22" s="2445"/>
      <c r="D22" s="791">
        <f ca="1">IF(C19&lt;D19,D19/C19-1,C19/D19-1)</f>
        <v>2.4289455140195093E-2</v>
      </c>
      <c r="E22" s="138"/>
      <c r="F22" s="138"/>
      <c r="G22" s="138"/>
      <c r="H22" s="138"/>
      <c r="I22" s="138"/>
    </row>
    <row r="23" spans="1:35" ht="13.5" thickBot="1">
      <c r="A23" s="2422"/>
      <c r="B23" s="2422"/>
      <c r="C23" s="2422"/>
      <c r="D23" s="2422"/>
      <c r="E23" s="138"/>
      <c r="F23" s="138"/>
      <c r="G23" s="138"/>
      <c r="H23" s="138"/>
      <c r="I23" s="138"/>
      <c r="J23" s="2957">
        <v>217731</v>
      </c>
      <c r="K23" s="2958" t="s">
        <v>3103</v>
      </c>
    </row>
    <row r="24" spans="1:35" ht="14.25">
      <c r="A24" s="3060" t="s">
        <v>2147</v>
      </c>
      <c r="B24" s="2439" t="s">
        <v>2139</v>
      </c>
      <c r="C24" s="145">
        <f>IF(B30=0,0,D30)</f>
        <v>0</v>
      </c>
      <c r="D24" s="2446"/>
      <c r="E24" s="138"/>
      <c r="F24" s="138"/>
      <c r="G24" s="138"/>
      <c r="H24" s="138"/>
      <c r="I24" s="138"/>
      <c r="J24" s="2957">
        <v>273904</v>
      </c>
      <c r="K24" s="2959">
        <v>0.8</v>
      </c>
    </row>
    <row r="25" spans="1:35" ht="14.25">
      <c r="A25" s="3061"/>
      <c r="B25" s="1250" t="s">
        <v>2143</v>
      </c>
      <c r="C25" s="150">
        <f>IF(B30=0,0,C30)</f>
        <v>0</v>
      </c>
      <c r="D25" s="2447"/>
      <c r="E25" s="138"/>
      <c r="F25" s="138"/>
      <c r="G25" s="138"/>
      <c r="H25" s="138"/>
      <c r="I25" s="138"/>
    </row>
    <row r="26" spans="1:35" ht="13.5" customHeight="1">
      <c r="A26" s="2448" t="s">
        <v>2148</v>
      </c>
      <c r="B26" s="151" t="s">
        <v>2149</v>
      </c>
      <c r="C26" s="151" t="s">
        <v>2150</v>
      </c>
      <c r="D26" s="152" t="s">
        <v>2151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2152</v>
      </c>
      <c r="B30" s="151"/>
      <c r="C30" s="151"/>
      <c r="D30" s="151"/>
      <c r="E30" s="2929" t="s">
        <v>3028</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2153</v>
      </c>
      <c r="B32" s="2452"/>
      <c r="C32" s="153">
        <f ca="1">IF(D32="总价",G19-C24,G20-C25)</f>
        <v>232686</v>
      </c>
      <c r="D32" s="2453" t="s">
        <v>2154</v>
      </c>
      <c r="E32" s="138"/>
      <c r="F32" s="138"/>
      <c r="G32" s="138"/>
      <c r="H32" s="138"/>
      <c r="I32" s="138"/>
    </row>
    <row r="33" spans="1:15" ht="15">
      <c r="A33" s="960" t="s">
        <v>2155</v>
      </c>
      <c r="B33" s="2454"/>
      <c r="C33" s="2455" t="s">
        <v>3102</v>
      </c>
      <c r="D33" s="2456" t="s">
        <v>3096</v>
      </c>
      <c r="E33" s="2457" t="s">
        <v>2156</v>
      </c>
      <c r="F33" s="2458" t="str">
        <f>IF(D32="楼面单价","取值（单价）","取值（总价）")</f>
        <v>取值（总价）</v>
      </c>
      <c r="G33" s="138"/>
      <c r="H33" s="138"/>
      <c r="I33" s="138"/>
    </row>
    <row r="34" spans="1:15" ht="15">
      <c r="A34" s="2459"/>
      <c r="B34" s="2460" t="s">
        <v>2157</v>
      </c>
      <c r="C34" s="157">
        <f ca="1">IF(C33="自定义",F34,C32-C35)</f>
        <v>203600</v>
      </c>
      <c r="D34" s="1058">
        <f ca="1">IF(C33="自定义",ROUND(C34/C32,3),IF(C33="收益比率",SUMIF(INDIRECT("'"&amp;D33&amp;"'"&amp;"!b:b"),"土地收益比率",INDIRECT("'"&amp;D33&amp;"'"&amp;"!c:c")),SUMIF(INDIRECT("'"&amp;D33&amp;"'"&amp;"!b:b"),"土地成本比率",INDIRECT("'"&amp;D33&amp;"'"&amp;"!c:c"))))</f>
        <v>0.875</v>
      </c>
      <c r="E34" s="2461" t="s">
        <v>2158</v>
      </c>
      <c r="F34" s="1739"/>
      <c r="G34" s="138"/>
      <c r="H34" s="138"/>
      <c r="I34" s="138"/>
    </row>
    <row r="35" spans="1:15" ht="15.75" thickBot="1">
      <c r="A35" s="2462"/>
      <c r="B35" s="2463" t="s">
        <v>2159</v>
      </c>
      <c r="C35" s="1444">
        <f ca="1">IF(C33="自定义",F35,ROUND(C32*D35,0))</f>
        <v>29086</v>
      </c>
      <c r="D35" s="1445">
        <f ca="1">IF(C33="自定义",ROUND(C35/C32,3),IF(C33="收益比率",SUMIF(INDIRECT("'"&amp;D33&amp;"'"&amp;"!b:b"),"建筑物收益比率",INDIRECT("'"&amp;D33&amp;"'"&amp;"!c:c")),SUMIF(INDIRECT("'"&amp;D33&amp;"'"&amp;"!b:b"),"建筑物成本比率",INDIRECT("'"&amp;D33&amp;"'"&amp;"!c:c"))))</f>
        <v>0.125</v>
      </c>
      <c r="E35" s="2464" t="s">
        <v>2160</v>
      </c>
      <c r="F35" s="163"/>
      <c r="G35" s="138"/>
      <c r="H35" s="138"/>
      <c r="I35" s="138"/>
    </row>
    <row r="36" spans="1:15" ht="15.75" thickBot="1">
      <c r="A36" s="3078" t="s">
        <v>2161</v>
      </c>
      <c r="B36" s="2465" t="s">
        <v>2162</v>
      </c>
      <c r="C36" s="154"/>
      <c r="D36" s="2466"/>
      <c r="E36" s="2467"/>
      <c r="F36" s="2468"/>
      <c r="G36" s="138"/>
      <c r="H36" s="138"/>
      <c r="I36" s="138"/>
    </row>
    <row r="37" spans="1:15" ht="15.75" thickBot="1">
      <c r="A37" s="3079"/>
      <c r="B37" s="2271" t="s">
        <v>2163</v>
      </c>
      <c r="C37" s="156"/>
      <c r="D37" s="1395"/>
      <c r="E37" s="1395"/>
      <c r="F37" s="2468"/>
      <c r="G37" s="138"/>
      <c r="H37" s="138"/>
      <c r="I37" s="138"/>
    </row>
    <row r="38" spans="1:15" ht="15.75" thickBot="1">
      <c r="A38" s="3080"/>
      <c r="B38" s="2469" t="s">
        <v>2164</v>
      </c>
      <c r="C38" s="727"/>
      <c r="D38" s="2470" t="s">
        <v>2165</v>
      </c>
      <c r="E38" s="1395"/>
      <c r="F38" s="2468"/>
      <c r="G38" s="138"/>
      <c r="H38" s="138"/>
      <c r="I38" s="138"/>
    </row>
    <row r="39" spans="1:15" ht="15">
      <c r="A39" s="2441" t="s">
        <v>2166</v>
      </c>
      <c r="B39" s="2471" t="s">
        <v>2167</v>
      </c>
      <c r="C39" s="2472" t="s">
        <v>2168</v>
      </c>
      <c r="D39" s="2472" t="s">
        <v>2169</v>
      </c>
      <c r="E39" s="2473" t="s">
        <v>2170</v>
      </c>
      <c r="F39" s="2468"/>
      <c r="G39" s="138"/>
      <c r="H39" s="138"/>
      <c r="I39" s="138"/>
    </row>
    <row r="40" spans="1:15" ht="14.25">
      <c r="A40" s="2474" t="s">
        <v>2171</v>
      </c>
      <c r="B40" s="158"/>
      <c r="C40" s="159"/>
      <c r="D40" s="159"/>
      <c r="E40" s="160"/>
      <c r="F40" s="2468"/>
      <c r="G40" s="138"/>
      <c r="H40" s="138"/>
      <c r="I40" s="138"/>
    </row>
    <row r="41" spans="1:15" ht="14.25">
      <c r="A41" s="2474" t="s">
        <v>2172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hidden="1">
      <c r="A44" s="2478" t="s">
        <v>2173</v>
      </c>
      <c r="B44" s="2479"/>
      <c r="C44" s="2479"/>
      <c r="D44" s="2480"/>
      <c r="E44" s="2480"/>
      <c r="F44" s="2481"/>
      <c r="G44" s="2481"/>
      <c r="H44" s="2481"/>
      <c r="I44" s="2481"/>
      <c r="J44" s="2482" t="s">
        <v>2174</v>
      </c>
      <c r="K44" s="2483"/>
      <c r="L44" s="2483"/>
      <c r="M44" s="2483"/>
      <c r="N44" s="2483"/>
      <c r="O44" s="2483"/>
    </row>
    <row r="45" spans="1:15" ht="14.25" hidden="1" customHeight="1" thickBot="1">
      <c r="A45" s="3057" t="s">
        <v>2175</v>
      </c>
      <c r="B45" s="3058"/>
      <c r="C45" s="3059"/>
      <c r="D45" s="164">
        <f ca="1">ROUND(H101*F45,0)</f>
        <v>232686</v>
      </c>
      <c r="E45" s="165" t="s">
        <v>2176</v>
      </c>
      <c r="F45" s="166">
        <v>1</v>
      </c>
      <c r="G45" s="167" t="s">
        <v>2177</v>
      </c>
      <c r="H45" s="138"/>
      <c r="I45" s="138"/>
      <c r="J45" s="3117" t="s">
        <v>2178</v>
      </c>
      <c r="K45" s="3117"/>
      <c r="L45" s="3117"/>
      <c r="M45" s="3117"/>
      <c r="N45" s="3117"/>
      <c r="O45" s="3117"/>
    </row>
    <row r="46" spans="1:15" ht="14.25" hidden="1" customHeight="1">
      <c r="A46" s="3054" t="s">
        <v>2179</v>
      </c>
      <c r="B46" s="3055"/>
      <c r="C46" s="3055"/>
      <c r="D46" s="3055"/>
      <c r="E46" s="3055"/>
      <c r="F46" s="3055"/>
      <c r="G46" s="3056"/>
      <c r="H46" s="2484"/>
      <c r="I46" s="168"/>
      <c r="J46" s="1812">
        <v>1</v>
      </c>
      <c r="K46" s="3117" t="s">
        <v>2180</v>
      </c>
      <c r="L46" s="3117"/>
      <c r="M46" s="3137"/>
      <c r="N46" s="3137"/>
      <c r="O46" s="3137"/>
    </row>
    <row r="47" spans="1:15" ht="12" hidden="1" customHeight="1">
      <c r="A47" s="169" t="s">
        <v>2181</v>
      </c>
      <c r="B47" s="170"/>
      <c r="C47" s="171"/>
      <c r="D47" s="172" t="s">
        <v>2182</v>
      </c>
      <c r="E47" s="24" t="s">
        <v>2183</v>
      </c>
      <c r="F47" s="173" t="s">
        <v>2184</v>
      </c>
      <c r="G47" s="174" t="s">
        <v>2185</v>
      </c>
      <c r="H47" s="2484"/>
      <c r="I47" s="168"/>
      <c r="J47" s="1812">
        <v>2</v>
      </c>
      <c r="K47" s="3117" t="s">
        <v>2186</v>
      </c>
      <c r="L47" s="3117"/>
      <c r="M47" s="3138">
        <f>'数据-取费表'!B2</f>
        <v>43557</v>
      </c>
      <c r="N47" s="3138"/>
      <c r="O47" s="3138"/>
    </row>
    <row r="48" spans="1:15" ht="25.5" hidden="1">
      <c r="A48" s="3085" t="s">
        <v>2187</v>
      </c>
      <c r="B48" s="3068"/>
      <c r="C48" s="3068"/>
      <c r="D48" s="140">
        <f>IF(H48="情况1",0,IF(H48="情况2",D52,IF(H48="情况3",D53,IF(H48="情况4",D54))))</f>
        <v>0</v>
      </c>
      <c r="E48" s="1801" t="str">
        <f>IF(H48="情况4","(销售额-原购置价)×税（费）率","销售额×税（费）率")</f>
        <v>销售额×税（费）率</v>
      </c>
      <c r="F48" s="175" t="str">
        <f>IF(H48="情况1","免征",'数据-取费表'!B41)</f>
        <v>免征</v>
      </c>
      <c r="G48" s="2485" t="s">
        <v>2188</v>
      </c>
      <c r="H48" s="2486" t="s">
        <v>2189</v>
      </c>
      <c r="I48" s="2484"/>
      <c r="J48" s="1812">
        <v>3</v>
      </c>
      <c r="K48" s="3117" t="s">
        <v>2190</v>
      </c>
      <c r="L48" s="3117"/>
      <c r="M48" s="3139">
        <f ca="1">H101</f>
        <v>232686</v>
      </c>
      <c r="N48" s="3139"/>
      <c r="O48" s="3139"/>
    </row>
    <row r="49" spans="1:35" ht="25.5" hidden="1" customHeight="1">
      <c r="A49" s="176" t="s">
        <v>2191</v>
      </c>
      <c r="B49" s="3053" t="s">
        <v>2192</v>
      </c>
      <c r="C49" s="3053"/>
      <c r="D49" s="177">
        <v>0</v>
      </c>
      <c r="E49" s="23" t="s">
        <v>2193</v>
      </c>
      <c r="F49" s="28" t="s">
        <v>34</v>
      </c>
      <c r="G49" s="3123"/>
      <c r="H49" s="138"/>
      <c r="I49" s="2487"/>
      <c r="J49" s="1812">
        <v>4</v>
      </c>
      <c r="K49" s="3117" t="str">
        <f>IF(项目基本情况!E8="房地产抵押价值","房地产抵押价值","抵押担保权已注销时的房地产抵押价值")</f>
        <v>房地产抵押价值</v>
      </c>
      <c r="L49" s="3117"/>
      <c r="M49" s="3139">
        <f ca="1">IF(项目基本情况!E8="房地产抵押价值",H107,H109)</f>
        <v>232686</v>
      </c>
      <c r="N49" s="3139"/>
      <c r="O49" s="3139"/>
    </row>
    <row r="50" spans="1:35" ht="25.5" hidden="1" customHeight="1">
      <c r="A50" s="178"/>
      <c r="B50" s="3053" t="s">
        <v>2194</v>
      </c>
      <c r="C50" s="3053"/>
      <c r="D50" s="179"/>
      <c r="E50" s="31"/>
      <c r="F50" s="180"/>
      <c r="G50" s="3124"/>
      <c r="H50" s="138"/>
      <c r="I50" s="2487"/>
      <c r="J50" s="3117" t="s">
        <v>2195</v>
      </c>
      <c r="K50" s="3117"/>
      <c r="L50" s="3117"/>
      <c r="M50" s="3117"/>
      <c r="N50" s="3117"/>
      <c r="O50" s="3117"/>
    </row>
    <row r="51" spans="1:35" ht="12" hidden="1" customHeight="1">
      <c r="A51" s="181"/>
      <c r="B51" s="3053" t="s">
        <v>2196</v>
      </c>
      <c r="C51" s="3053"/>
      <c r="D51" s="182"/>
      <c r="E51" s="30"/>
      <c r="F51" s="180"/>
      <c r="G51" s="3125"/>
      <c r="H51" s="138"/>
      <c r="I51" s="2487"/>
      <c r="J51" s="2488" t="s">
        <v>2197</v>
      </c>
      <c r="K51" s="3117" t="s">
        <v>2198</v>
      </c>
      <c r="L51" s="3117"/>
      <c r="M51" s="2488" t="s">
        <v>2199</v>
      </c>
      <c r="N51" s="2488" t="s">
        <v>2200</v>
      </c>
      <c r="O51" s="2488" t="s">
        <v>2201</v>
      </c>
    </row>
    <row r="52" spans="1:35" ht="24" hidden="1" customHeight="1">
      <c r="A52" s="183" t="s">
        <v>2202</v>
      </c>
      <c r="B52" s="3053" t="s">
        <v>2203</v>
      </c>
      <c r="C52" s="3053"/>
      <c r="D52" s="182">
        <f ca="1">ROUND(D45*'数据-取费表'!B41/(1+'数据-取费表'!C42),0)</f>
        <v>12410</v>
      </c>
      <c r="E52" s="11" t="s">
        <v>2204</v>
      </c>
      <c r="F52" s="184">
        <f>'数据-取费表'!B41</f>
        <v>5.6000000000000001E-2</v>
      </c>
      <c r="G52" s="2489"/>
      <c r="H52" s="138"/>
      <c r="I52" s="2487"/>
      <c r="J52" s="1812">
        <v>1</v>
      </c>
      <c r="K52" s="3118" t="s">
        <v>2205</v>
      </c>
      <c r="L52" s="3118"/>
      <c r="M52" s="1754">
        <f>D48</f>
        <v>0</v>
      </c>
      <c r="N52" s="1812" t="str">
        <f>E48</f>
        <v>销售额×税（费）率</v>
      </c>
      <c r="O52" s="1755" t="str">
        <f>F48</f>
        <v>免征</v>
      </c>
    </row>
    <row r="53" spans="1:35" ht="12" hidden="1" customHeight="1">
      <c r="A53" s="183" t="s">
        <v>2206</v>
      </c>
      <c r="B53" s="3076" t="s">
        <v>2207</v>
      </c>
      <c r="C53" s="3077"/>
      <c r="D53" s="182">
        <f ca="1">ROUND(D45*'数据-取费表'!B41/(1+'数据-取费表'!C42),0)</f>
        <v>12410</v>
      </c>
      <c r="E53" s="11" t="s">
        <v>2204</v>
      </c>
      <c r="F53" s="184">
        <f>'数据-取费表'!B41</f>
        <v>5.6000000000000001E-2</v>
      </c>
      <c r="G53" s="2489"/>
      <c r="H53" s="138"/>
      <c r="I53" s="2487"/>
      <c r="J53" s="1812">
        <v>2</v>
      </c>
      <c r="K53" s="3118" t="s">
        <v>2208</v>
      </c>
      <c r="L53" s="3118"/>
      <c r="M53" s="1754">
        <f t="shared" ref="M53:O54" ca="1" si="0">D55</f>
        <v>116</v>
      </c>
      <c r="N53" s="1812" t="str">
        <f t="shared" si="0"/>
        <v>销售额×税（费）率</v>
      </c>
      <c r="O53" s="1755">
        <f t="shared" si="0"/>
        <v>5.0000000000000001E-4</v>
      </c>
    </row>
    <row r="54" spans="1:35" ht="12" hidden="1" customHeight="1">
      <c r="A54" s="183" t="s">
        <v>2209</v>
      </c>
      <c r="B54" s="3076" t="s">
        <v>2210</v>
      </c>
      <c r="C54" s="3077"/>
      <c r="D54" s="182">
        <f ca="1">C68</f>
        <v>12410</v>
      </c>
      <c r="E54" s="30" t="s">
        <v>2211</v>
      </c>
      <c r="F54" s="184">
        <f>'数据-取费表'!B41</f>
        <v>5.6000000000000001E-2</v>
      </c>
      <c r="G54" s="2489"/>
      <c r="H54" s="2490"/>
      <c r="I54" s="2487"/>
      <c r="J54" s="1812">
        <v>3</v>
      </c>
      <c r="K54" s="3118" t="s">
        <v>2212</v>
      </c>
      <c r="L54" s="3118"/>
      <c r="M54" s="1754">
        <f t="shared" ca="1" si="0"/>
        <v>131700</v>
      </c>
      <c r="N54" s="1812" t="str">
        <f t="shared" si="0"/>
        <v>增值额×税（费）率</v>
      </c>
      <c r="O54" s="1756" t="str">
        <f t="shared" si="0"/>
        <v>——</v>
      </c>
    </row>
    <row r="55" spans="1:35" ht="24" hidden="1" customHeight="1">
      <c r="A55" s="3067" t="s">
        <v>2213</v>
      </c>
      <c r="B55" s="3068"/>
      <c r="C55" s="3068"/>
      <c r="D55" s="185">
        <f ca="1">IF(H55="个人住宅",0,ROUND(D45*I55,0))</f>
        <v>116</v>
      </c>
      <c r="E55" s="11" t="s">
        <v>2214</v>
      </c>
      <c r="F55" s="184">
        <f>IF(H55="正常",I55,"免征")</f>
        <v>5.0000000000000001E-4</v>
      </c>
      <c r="G55" s="2489"/>
      <c r="H55" s="2486" t="s">
        <v>2215</v>
      </c>
      <c r="I55" s="186">
        <f>'数据-取费表'!B49</f>
        <v>5.0000000000000001E-4</v>
      </c>
      <c r="J55" s="1812" t="str">
        <f>IF(H59="非个人房产","",4)</f>
        <v/>
      </c>
      <c r="K55" s="3118" t="str">
        <f>IF(H59="非个人房产","——","个人所得税")</f>
        <v>——</v>
      </c>
      <c r="L55" s="3118"/>
      <c r="M55" s="1757" t="str">
        <f>D59</f>
        <v>——</v>
      </c>
      <c r="N55" s="1810" t="str">
        <f>E59</f>
        <v>——</v>
      </c>
      <c r="O55" s="1758" t="str">
        <f>F59</f>
        <v>——</v>
      </c>
    </row>
    <row r="56" spans="1:35" ht="24.75" hidden="1">
      <c r="A56" s="3067" t="s">
        <v>2216</v>
      </c>
      <c r="B56" s="3068"/>
      <c r="C56" s="3068"/>
      <c r="D56" s="185">
        <f ca="1">IF(H56="个人住宅",D57,D58)</f>
        <v>131700</v>
      </c>
      <c r="E56" s="11" t="s">
        <v>2217</v>
      </c>
      <c r="F56" s="184" t="str">
        <f>IF(H56="正常",F58,"免征")</f>
        <v>——</v>
      </c>
      <c r="G56" s="2491" t="s">
        <v>2218</v>
      </c>
      <c r="H56" s="2492" t="s">
        <v>2215</v>
      </c>
      <c r="I56" s="2493"/>
      <c r="J56" s="1812" t="str">
        <f>IF(项目基本情况!K6="上海银行",IF(J55="",4,J55+1),"")</f>
        <v/>
      </c>
      <c r="K56" s="3141" t="str">
        <f>IF(项目基本情况!K6="上海银行","其他处置费用","")</f>
        <v/>
      </c>
      <c r="L56" s="3142"/>
      <c r="M56" s="1754" t="str">
        <f>IF(项目基本情况!K6="上海银行",M69,"")</f>
        <v/>
      </c>
      <c r="N56" s="3144" t="str">
        <f>IF(项目基本情况!K6="上海银行","包含处置中涉及的律师、诉讼、拍卖、评估等费用","")</f>
        <v/>
      </c>
      <c r="O56" s="3145"/>
    </row>
    <row r="57" spans="1:35" ht="12.75" hidden="1">
      <c r="A57" s="183" t="s">
        <v>2191</v>
      </c>
      <c r="B57" s="3083" t="s">
        <v>2219</v>
      </c>
      <c r="C57" s="3092"/>
      <c r="D57" s="187">
        <v>0</v>
      </c>
      <c r="E57" s="23" t="s">
        <v>2193</v>
      </c>
      <c r="F57" s="155"/>
      <c r="G57" s="2489"/>
      <c r="H57" s="2493"/>
      <c r="I57" s="2493"/>
      <c r="J57" s="3118">
        <f>IF(AND(J55="",J56=""),4,IF(项目基本情况!K6="上海银行",结果表!J56+1,结果表!J55+1))</f>
        <v>4</v>
      </c>
      <c r="K57" s="3118" t="s">
        <v>2220</v>
      </c>
      <c r="L57" s="2494" t="s">
        <v>2221</v>
      </c>
      <c r="M57" s="1759"/>
      <c r="N57" s="1760">
        <f ca="1">SUMIF(M52:M56,"&lt;9e307")</f>
        <v>131816</v>
      </c>
      <c r="O57" s="2495"/>
      <c r="P57" s="1753">
        <f ca="1">N57/M49</f>
        <v>0.56649733976259853</v>
      </c>
    </row>
    <row r="58" spans="1:35" ht="24.75" hidden="1">
      <c r="A58" s="183" t="s">
        <v>2202</v>
      </c>
      <c r="B58" s="3083" t="s">
        <v>2222</v>
      </c>
      <c r="C58" s="3084"/>
      <c r="D58" s="185">
        <f ca="1">IF(H58="转让取得",C81,C97)</f>
        <v>131700</v>
      </c>
      <c r="E58" s="11" t="s">
        <v>2217</v>
      </c>
      <c r="F58" s="24" t="s">
        <v>34</v>
      </c>
      <c r="G58" s="2489"/>
      <c r="H58" s="2492" t="s">
        <v>2223</v>
      </c>
      <c r="I58" s="2493"/>
      <c r="J58" s="3118"/>
      <c r="K58" s="3118"/>
      <c r="L58" s="2494" t="s">
        <v>2224</v>
      </c>
      <c r="M58" s="1761"/>
      <c r="N58" s="2496" t="str">
        <f ca="1">NUMBERSTRING(INT(N57*10000),2)&amp;"元整"</f>
        <v>壹拾叁亿壹仟捌佰壹拾陆万元整</v>
      </c>
      <c r="O58" s="2497"/>
    </row>
    <row r="59" spans="1:35" ht="24.75" hidden="1" thickBot="1">
      <c r="A59" s="3121" t="s">
        <v>2225</v>
      </c>
      <c r="B59" s="3122"/>
      <c r="C59" s="3122"/>
      <c r="D59" s="188" t="str">
        <f>IF(H59="非个人房产","——",IF(H59="个人住宅",0,ROUND(D45*I59,0)))</f>
        <v>——</v>
      </c>
      <c r="E59" s="189" t="str">
        <f>IF(H59="非个人房产","——","销售额×税（费）率")</f>
        <v>——</v>
      </c>
      <c r="F59" s="190" t="str">
        <f>IF(H59="非个人房产","——",IF(H59="个人住宅","免征",I59))</f>
        <v>——</v>
      </c>
      <c r="G59" s="2498" t="s">
        <v>2218</v>
      </c>
      <c r="H59" s="2492" t="s">
        <v>2226</v>
      </c>
      <c r="I59" s="191">
        <v>0.01</v>
      </c>
      <c r="J59" s="3119">
        <f>J57+1</f>
        <v>5</v>
      </c>
      <c r="K59" s="3118" t="s">
        <v>2227</v>
      </c>
      <c r="L59" s="1812" t="s">
        <v>2221</v>
      </c>
      <c r="M59" s="1762"/>
      <c r="N59" s="1763">
        <f ca="1">M49-N57</f>
        <v>100870</v>
      </c>
      <c r="O59" s="2499"/>
    </row>
    <row r="60" spans="1:35" ht="12" hidden="1" customHeight="1">
      <c r="A60" s="2500"/>
      <c r="B60" s="2422"/>
      <c r="C60" s="2422"/>
      <c r="D60" s="2422"/>
      <c r="E60" s="2170"/>
      <c r="F60" s="2493"/>
      <c r="G60" s="2493"/>
      <c r="H60" s="2501"/>
      <c r="I60" s="138"/>
      <c r="J60" s="3120"/>
      <c r="K60" s="3118"/>
      <c r="L60" s="2494" t="s">
        <v>2224</v>
      </c>
      <c r="M60" s="1761"/>
      <c r="N60" s="2496" t="str">
        <f ca="1">NUMBERSTRING(INT(N59*10000),2)&amp;"元整"</f>
        <v>壹拾亿零捌佰柒拾万元整</v>
      </c>
      <c r="O60" s="2497"/>
    </row>
    <row r="61" spans="1:35" ht="13.5" hidden="1" thickBot="1">
      <c r="A61" s="3065" t="s">
        <v>2228</v>
      </c>
      <c r="B61" s="3065"/>
      <c r="C61" s="3065"/>
      <c r="D61" s="3065"/>
      <c r="E61" s="3065"/>
      <c r="F61" s="2493"/>
      <c r="G61" s="2493"/>
      <c r="H61" s="2501"/>
      <c r="I61" s="138"/>
      <c r="J61" s="1812">
        <f>J59+1</f>
        <v>6</v>
      </c>
      <c r="K61" s="3118" t="s">
        <v>2229</v>
      </c>
      <c r="L61" s="3118"/>
      <c r="M61" s="1764"/>
      <c r="N61" s="1765">
        <f ca="1">ROUND(N59*10000/'数据-汇总表'!E3,0)</f>
        <v>7012</v>
      </c>
      <c r="O61" s="2502"/>
    </row>
    <row r="62" spans="1:35" ht="12.75" hidden="1">
      <c r="A62" s="3081" t="s">
        <v>2230</v>
      </c>
      <c r="B62" s="3082"/>
      <c r="C62" s="1804"/>
      <c r="D62" s="1804" t="s">
        <v>2231</v>
      </c>
      <c r="E62" s="192" t="s">
        <v>2232</v>
      </c>
      <c r="F62" s="2493"/>
      <c r="G62" s="2493"/>
      <c r="H62" s="2501"/>
      <c r="I62" s="138"/>
    </row>
    <row r="63" spans="1:35" ht="12.75" hidden="1">
      <c r="A63" s="203" t="s">
        <v>775</v>
      </c>
      <c r="B63" s="193" t="s">
        <v>2233</v>
      </c>
      <c r="C63" s="194">
        <f ca="1">ROUND((C64+C65)/(1+'数据-取费表'!C42),0)</f>
        <v>221606</v>
      </c>
      <c r="D63" s="195"/>
      <c r="E63" s="196"/>
      <c r="F63" s="2493"/>
      <c r="G63" s="2493"/>
      <c r="H63" s="2501"/>
      <c r="I63" s="138"/>
      <c r="J63" s="3143" t="s">
        <v>2234</v>
      </c>
      <c r="K63" s="2503" t="s">
        <v>2235</v>
      </c>
      <c r="L63" s="1752">
        <f ca="1">IF(M49&gt;10000,M49*0.5%,IF(AND(M49&gt;1000,M49&lt;=10000),M49*1%,IF(AND(M49&gt;100,M49&lt;=1000),M49*3%,IF(AND(M49&gt;10,M49&lt;=100),M49*5%,M49*8%))))</f>
        <v>1163.43</v>
      </c>
      <c r="M63" s="24">
        <f ca="1">ROUND(L63,1)</f>
        <v>1163.4000000000001</v>
      </c>
      <c r="Z63" s="2427"/>
      <c r="AI63" s="2428"/>
    </row>
    <row r="64" spans="1:35" ht="14.25" hidden="1" customHeight="1">
      <c r="A64" s="197" t="s">
        <v>770</v>
      </c>
      <c r="B64" s="198" t="s">
        <v>2236</v>
      </c>
      <c r="C64" s="199">
        <f ca="1">D45</f>
        <v>232686</v>
      </c>
      <c r="D64" s="200" t="s">
        <v>32</v>
      </c>
      <c r="E64" s="201"/>
      <c r="F64" s="2493"/>
      <c r="G64" s="2493"/>
      <c r="H64" s="2501"/>
      <c r="I64" s="138"/>
      <c r="J64" s="3143"/>
      <c r="K64" s="2503" t="s">
        <v>2237</v>
      </c>
      <c r="L64" s="1752">
        <f ca="1">IF(M49&gt;2000,M49*0.5%,IF(AND(M49&gt;1000,M49&lt;=2000),M49*0.6%,IF(AND(M49&gt;500,M49&lt;=1000),M49*0.7%,IF(AND(M49&gt;200,M49&lt;=500),M49*0.8%,IF(AND(M49&gt;100,M49&lt;=200),M49*0.9%,IF(AND(M49&gt;50,M49&lt;=100),M49*1%,IF(AND(M49&gt;20,M49&lt;=50),M49*1.5%,IF(AND(M49&gt;10,M49&lt;=20),M49*2%,IF(AND(M49&gt;1,M49&lt;=10),M49*2.5%)))))))))</f>
        <v>1163.43</v>
      </c>
      <c r="M64" s="24">
        <f t="shared" ref="M64:M65" ca="1" si="1">ROUND(L64,1)</f>
        <v>1163.4000000000001</v>
      </c>
      <c r="N64" s="138" t="s">
        <v>2238</v>
      </c>
      <c r="Z64" s="2427"/>
      <c r="AI64" s="2428"/>
    </row>
    <row r="65" spans="1:35" ht="14.25" hidden="1" customHeight="1">
      <c r="A65" s="197" t="s">
        <v>771</v>
      </c>
      <c r="B65" s="198" t="s">
        <v>2239</v>
      </c>
      <c r="C65" s="202"/>
      <c r="D65" s="200"/>
      <c r="E65" s="201"/>
      <c r="F65" s="2493"/>
      <c r="G65" s="2493"/>
      <c r="H65" s="2501"/>
      <c r="I65" s="138"/>
      <c r="J65" s="3143"/>
      <c r="K65" s="2503" t="s">
        <v>2240</v>
      </c>
      <c r="L65" s="1752">
        <f ca="1">IF(M49&gt;1000,M49*0.1%,IF(AND(M49&gt;500,M49&lt;=1000),M49*0.5%,IF(AND(M49&gt;50,M49&lt;=500),M49*1%,IF(AND(M49&gt;1,M49&lt;=50),M49*1.5%))))</f>
        <v>232.68600000000001</v>
      </c>
      <c r="M65" s="24">
        <f t="shared" ca="1" si="1"/>
        <v>232.7</v>
      </c>
      <c r="N65" s="138" t="s">
        <v>2238</v>
      </c>
      <c r="Z65" s="2427"/>
      <c r="AI65" s="2428"/>
    </row>
    <row r="66" spans="1:35" ht="14.25" hidden="1" customHeight="1">
      <c r="A66" s="203" t="s">
        <v>772</v>
      </c>
      <c r="B66" s="204" t="s">
        <v>2241</v>
      </c>
      <c r="C66" s="205"/>
      <c r="D66" s="206" t="s">
        <v>32</v>
      </c>
      <c r="E66" s="1776" t="s">
        <v>1367</v>
      </c>
      <c r="F66" s="2493"/>
      <c r="G66" s="2493"/>
      <c r="H66" s="2501"/>
      <c r="I66" s="138"/>
      <c r="J66" s="3143"/>
      <c r="K66" s="2503" t="s">
        <v>2242</v>
      </c>
      <c r="L66" s="1752">
        <f ca="1">M49*0.5%</f>
        <v>1163.43</v>
      </c>
      <c r="M66" s="24">
        <f ca="1">IF(L66&gt;0.5,0.5,ROUND(L66,0))</f>
        <v>0.5</v>
      </c>
      <c r="N66" s="138" t="s">
        <v>2243</v>
      </c>
      <c r="Z66" s="2427"/>
      <c r="AI66" s="2428"/>
    </row>
    <row r="67" spans="1:35" ht="14.25" hidden="1" customHeight="1">
      <c r="A67" s="203" t="s">
        <v>773</v>
      </c>
      <c r="B67" s="204" t="s">
        <v>2244</v>
      </c>
      <c r="C67" s="207">
        <f ca="1">C63-C66</f>
        <v>221606</v>
      </c>
      <c r="D67" s="200" t="s">
        <v>32</v>
      </c>
      <c r="E67" s="201"/>
      <c r="F67" s="2493"/>
      <c r="G67" s="2493"/>
      <c r="H67" s="2501"/>
      <c r="I67" s="138"/>
      <c r="J67" s="3143"/>
      <c r="K67" s="2503" t="s">
        <v>2245</v>
      </c>
      <c r="L67" s="1752">
        <f ca="1">IF(M49&gt;=10000,(8.25+(M49-10000)*0.01%),IF(AND(M49&gt;=8000,M49&lt;10000),(7.85+(M49-8000)*0.02%),IF(AND(M49&gt;=5000,M49&lt;8000),(6.65+(M49-5000)*0.04%),IF(AND(M49&gt;=2000,M49&lt;5000),(4.25+(PM49-2000)*0.08%),IF(AND(M49&gt;=1000,M49&lt;2000),(2.75+(M49-1000)*0.15%),IF(AND(M49&gt;=100,M49&lt;1000),(0.5+(M49-100)*0.25%),IF(AND(M49&gt;0,M49&lt;100),M49*0.5%)))))))</f>
        <v>30.518600000000003</v>
      </c>
      <c r="M67" s="24">
        <f ca="1">ROUND(L67*0.9,1)</f>
        <v>27.5</v>
      </c>
      <c r="Z67" s="2427"/>
      <c r="AI67" s="2428"/>
    </row>
    <row r="68" spans="1:35" ht="14.25" hidden="1" customHeight="1" thickBot="1">
      <c r="A68" s="208" t="s">
        <v>774</v>
      </c>
      <c r="B68" s="209" t="s">
        <v>2246</v>
      </c>
      <c r="C68" s="210">
        <f ca="1">IF(C67&lt;=0,0,ROUND(C67*D68,0))</f>
        <v>12410</v>
      </c>
      <c r="D68" s="211">
        <f>'数据-取费表'!B41</f>
        <v>5.6000000000000001E-2</v>
      </c>
      <c r="E68" s="212"/>
      <c r="F68" s="2493"/>
      <c r="G68" s="2493"/>
      <c r="H68" s="2501"/>
      <c r="I68" s="138"/>
      <c r="J68" s="3143"/>
      <c r="K68" s="2503" t="s">
        <v>2247</v>
      </c>
      <c r="L68" s="1752">
        <f ca="1">IF(M49&gt;10000,M49*0.5%,IF(AND(M49&gt;5000,M49&lt;=10000),M49*1%,IF(AND(M49&gt;1000,M49&lt;=5000),M49*2%,IF(AND(M49&gt;200,M49&lt;=1000),M49*3%,M49*5%))))</f>
        <v>1163.43</v>
      </c>
      <c r="M68" s="24">
        <f ca="1">ROUND(L68,1)</f>
        <v>1163.4000000000001</v>
      </c>
      <c r="Z68" s="2427"/>
      <c r="AI68" s="2428"/>
    </row>
    <row r="69" spans="1:35" s="2450" customFormat="1" ht="16.5" hidden="1" customHeight="1">
      <c r="A69" s="2504"/>
      <c r="B69" s="2505"/>
      <c r="C69" s="2506"/>
      <c r="D69" s="2507"/>
      <c r="E69" s="2508"/>
      <c r="F69" s="2170"/>
      <c r="G69" s="2170"/>
      <c r="H69" s="2169"/>
      <c r="I69" s="2422"/>
      <c r="J69" s="3143"/>
      <c r="K69" s="2503" t="s">
        <v>2248</v>
      </c>
      <c r="L69" s="2509"/>
      <c r="M69" s="24">
        <f ca="1">ROUND(SUM(M63:M68),0)</f>
        <v>3751</v>
      </c>
      <c r="N69" s="1753">
        <f ca="1">M69/M49</f>
        <v>1.6120436983746336E-2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hidden="1" thickBot="1">
      <c r="A70" s="3102" t="s">
        <v>2249</v>
      </c>
      <c r="B70" s="3103"/>
      <c r="C70" s="3103"/>
      <c r="D70" s="3103"/>
      <c r="E70" s="3103"/>
      <c r="F70" s="3103"/>
      <c r="G70" s="3103"/>
      <c r="H70" s="310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hidden="1">
      <c r="A71" s="3081" t="s">
        <v>2230</v>
      </c>
      <c r="B71" s="3082"/>
      <c r="C71" s="1804"/>
      <c r="D71" s="1804" t="s">
        <v>2231</v>
      </c>
      <c r="E71" s="213" t="s">
        <v>2232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hidden="1">
      <c r="A72" s="203" t="s">
        <v>775</v>
      </c>
      <c r="B72" s="204" t="s">
        <v>2250</v>
      </c>
      <c r="C72" s="207">
        <f ca="1">ROUND(D45/(1+'数据-取费表'!C42),0)</f>
        <v>221606</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hidden="1">
      <c r="A73" s="203" t="s">
        <v>772</v>
      </c>
      <c r="B73" s="173" t="s">
        <v>2251</v>
      </c>
      <c r="C73" s="207">
        <f ca="1">C74+C78</f>
        <v>1330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hidden="1">
      <c r="A74" s="217" t="s">
        <v>770</v>
      </c>
      <c r="B74" s="198" t="s">
        <v>2252</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hidden="1">
      <c r="A75" s="217" t="s">
        <v>776</v>
      </c>
      <c r="B75" s="198" t="s">
        <v>2253</v>
      </c>
      <c r="C75" s="218"/>
      <c r="D75" s="200" t="s">
        <v>32</v>
      </c>
      <c r="E75" s="219" t="s">
        <v>2254</v>
      </c>
      <c r="F75" s="2515" t="s">
        <v>2255</v>
      </c>
      <c r="G75" s="219" t="s">
        <v>2256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hidden="1" customHeight="1">
      <c r="A76" s="217" t="s">
        <v>777</v>
      </c>
      <c r="B76" s="221" t="s">
        <v>2257</v>
      </c>
      <c r="C76" s="200">
        <f>IF(F75="购房发票",ROUND(C75*H75*D76,0),0)</f>
        <v>0</v>
      </c>
      <c r="D76" s="222">
        <v>0.05</v>
      </c>
      <c r="E76" s="3076" t="s">
        <v>2258</v>
      </c>
      <c r="F76" s="3053"/>
      <c r="G76" s="3053"/>
      <c r="H76" s="310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hidden="1"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7" t="s">
        <v>2261</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hidden="1" customHeight="1">
      <c r="A78" s="217" t="s">
        <v>771</v>
      </c>
      <c r="B78" s="198" t="s">
        <v>2262</v>
      </c>
      <c r="C78" s="225">
        <f ca="1">ROUND(D45*D78/(1+'数据-取费表'!C42),0)</f>
        <v>1330</v>
      </c>
      <c r="D78" s="226">
        <f>'数据-取费表'!B43</f>
        <v>6.000000000000001E-3</v>
      </c>
      <c r="E78" s="3062" t="s">
        <v>2263</v>
      </c>
      <c r="F78" s="3063"/>
      <c r="G78" s="3063"/>
      <c r="H78" s="307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hidden="1">
      <c r="A79" s="2519" t="s">
        <v>779</v>
      </c>
      <c r="B79" s="204" t="s">
        <v>2264</v>
      </c>
      <c r="C79" s="207">
        <f ca="1">C72-C73</f>
        <v>220276</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hidden="1">
      <c r="A80" s="2519" t="s">
        <v>780</v>
      </c>
      <c r="B80" s="204" t="s">
        <v>2265</v>
      </c>
      <c r="C80" s="227">
        <f ca="1">IF(C79&lt;=0,0,C79/C73)</f>
        <v>165.62105263157895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hidden="1" thickBot="1">
      <c r="A81" s="2520" t="s">
        <v>781</v>
      </c>
      <c r="B81" s="209" t="s">
        <v>2266</v>
      </c>
      <c r="C81" s="228">
        <f ca="1">ROUND(IF(C79&lt;=0,0,IF(C80&gt;=200%,C79*60%-C73*35%,IF(C80&gt;=100%,C79*50%-C73*15%,IF(C80&gt;=50%,C79*40%-C73*5%,IF(C80&lt;50%,C79*30%,0))))),0)</f>
        <v>131700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hidden="1"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hidden="1" thickBot="1">
      <c r="A83" s="3102" t="s">
        <v>2267</v>
      </c>
      <c r="B83" s="3103"/>
      <c r="C83" s="3103"/>
      <c r="D83" s="3103"/>
      <c r="E83" s="3103"/>
      <c r="F83" s="3103"/>
      <c r="G83" s="3103"/>
      <c r="H83" s="310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hidden="1">
      <c r="A84" s="3081" t="s">
        <v>2230</v>
      </c>
      <c r="B84" s="3082"/>
      <c r="C84" s="1804"/>
      <c r="D84" s="1804" t="s">
        <v>2231</v>
      </c>
      <c r="E84" s="213" t="s">
        <v>2232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hidden="1">
      <c r="A85" s="203" t="s">
        <v>775</v>
      </c>
      <c r="B85" s="204" t="s">
        <v>2250</v>
      </c>
      <c r="C85" s="207">
        <f ca="1">ROUND(D45/(1+'数据-取费表'!C42),0)</f>
        <v>221606</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hidden="1">
      <c r="A86" s="203" t="s">
        <v>772</v>
      </c>
      <c r="B86" s="173" t="s">
        <v>2251</v>
      </c>
      <c r="C86" s="207">
        <f ca="1">IF(H88="仅含出让金",C87+C90+C91+C92+C93+C94,C87+C91+C92+C93+C94)</f>
        <v>1330</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hidden="1">
      <c r="A87" s="217" t="s">
        <v>770</v>
      </c>
      <c r="B87" s="198" t="s">
        <v>2268</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hidden="1">
      <c r="A88" s="217" t="s">
        <v>776</v>
      </c>
      <c r="B88" s="198" t="s">
        <v>2269</v>
      </c>
      <c r="C88" s="236"/>
      <c r="D88" s="226"/>
      <c r="E88" s="237" t="s">
        <v>2270</v>
      </c>
      <c r="F88" s="1800"/>
      <c r="G88" s="238" t="s">
        <v>2271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hidden="1">
      <c r="A89" s="217" t="s">
        <v>777</v>
      </c>
      <c r="B89" s="198" t="s">
        <v>2259</v>
      </c>
      <c r="C89" s="225">
        <f>ROUND(C88*D89,0)</f>
        <v>0</v>
      </c>
      <c r="D89" s="226">
        <f>'数据-取费表'!B48+'数据-取费表'!B49</f>
        <v>3.0499999999999999E-2</v>
      </c>
      <c r="E89" s="237" t="s">
        <v>2272</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hidden="1">
      <c r="A90" s="217" t="s">
        <v>771</v>
      </c>
      <c r="B90" s="198" t="s">
        <v>2273</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hidden="1" customHeight="1">
      <c r="A91" s="217" t="s">
        <v>2274</v>
      </c>
      <c r="B91" s="198" t="s">
        <v>2275</v>
      </c>
      <c r="C91" s="225">
        <f>IF(H91="——",成本法!C33,I91)</f>
        <v>0</v>
      </c>
      <c r="D91" s="226"/>
      <c r="E91" s="3062" t="s">
        <v>2276</v>
      </c>
      <c r="F91" s="3063"/>
      <c r="G91" s="3063"/>
      <c r="H91" s="2522" t="s">
        <v>2277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hidden="1" customHeight="1">
      <c r="A92" s="217" t="s">
        <v>2278</v>
      </c>
      <c r="B92" s="198" t="s">
        <v>2279</v>
      </c>
      <c r="C92" s="225">
        <f>ROUND((C87+C90+C91)*D92,0)</f>
        <v>0</v>
      </c>
      <c r="D92" s="226">
        <v>0.1</v>
      </c>
      <c r="E92" s="3062" t="s">
        <v>2280</v>
      </c>
      <c r="F92" s="3063"/>
      <c r="G92" s="3063"/>
      <c r="H92" s="307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hidden="1" customHeight="1">
      <c r="A93" s="217" t="s">
        <v>2281</v>
      </c>
      <c r="B93" s="198" t="s">
        <v>2262</v>
      </c>
      <c r="C93" s="225">
        <f ca="1">ROUND(D45*D93/(1+'数据-取费表'!C42),0)</f>
        <v>1330</v>
      </c>
      <c r="D93" s="226">
        <f>'数据-取费表'!B43</f>
        <v>6.000000000000001E-3</v>
      </c>
      <c r="E93" s="3062" t="s">
        <v>2263</v>
      </c>
      <c r="F93" s="3063"/>
      <c r="G93" s="3063"/>
      <c r="H93" s="307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hidden="1" customHeight="1">
      <c r="A94" s="217" t="s">
        <v>2282</v>
      </c>
      <c r="B94" s="198" t="s">
        <v>2283</v>
      </c>
      <c r="C94" s="236">
        <f>ROUND((C87+C90+C91)*D94,0)</f>
        <v>0</v>
      </c>
      <c r="D94" s="226">
        <v>0.2</v>
      </c>
      <c r="E94" s="3073" t="s">
        <v>2284</v>
      </c>
      <c r="F94" s="3074"/>
      <c r="G94" s="3074"/>
      <c r="H94" s="307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hidden="1">
      <c r="A95" s="2519" t="s">
        <v>779</v>
      </c>
      <c r="B95" s="204" t="s">
        <v>2264</v>
      </c>
      <c r="C95" s="207">
        <f ca="1">ROUND(C85-C86,0)</f>
        <v>220276</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hidden="1">
      <c r="A96" s="2519" t="s">
        <v>780</v>
      </c>
      <c r="B96" s="204" t="s">
        <v>2265</v>
      </c>
      <c r="C96" s="227">
        <f ca="1">IF(C95&lt;=0,0,C95/C86)</f>
        <v>165.62105263157895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hidden="1" thickBot="1">
      <c r="A97" s="2520" t="s">
        <v>781</v>
      </c>
      <c r="B97" s="209" t="s">
        <v>2266</v>
      </c>
      <c r="C97" s="228">
        <f ca="1">ROUND(IF(C95&lt;=0,0,IF(C96&gt;=200%,C95*60%-C86*35%,IF(C96&gt;=100%,C95*50%-C86*15%,IF(C96&gt;=50%,C95*40%-C86*5%,IF(C96&lt;50%,C95*30%,0))))),0)</f>
        <v>131700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hidden="1" customHeight="1">
      <c r="A98" s="2500"/>
      <c r="B98" s="2422"/>
      <c r="C98" s="2422"/>
      <c r="D98" s="2422"/>
      <c r="E98" s="2170"/>
      <c r="F98" s="2170"/>
      <c r="G98" s="2170"/>
      <c r="H98" s="2169"/>
      <c r="I98" s="138"/>
    </row>
    <row r="99" spans="1:35" ht="21.75" customHeight="1" thickBot="1">
      <c r="A99" s="2478" t="s">
        <v>2285</v>
      </c>
      <c r="B99" s="2422"/>
      <c r="C99" s="2422"/>
      <c r="D99" s="2422"/>
      <c r="E99" s="2170"/>
      <c r="F99" s="2170"/>
      <c r="G99" s="2170"/>
      <c r="H99" s="2169"/>
      <c r="I99" s="138"/>
    </row>
    <row r="100" spans="1:35" ht="18.75" customHeight="1">
      <c r="A100" s="3047" t="s">
        <v>2286</v>
      </c>
      <c r="B100" s="3048"/>
      <c r="C100" s="3048"/>
      <c r="D100" s="3064"/>
      <c r="E100" s="3048" t="s">
        <v>2287</v>
      </c>
      <c r="F100" s="3048"/>
      <c r="G100" s="3048"/>
      <c r="H100" s="3064"/>
      <c r="I100" s="138"/>
    </row>
    <row r="101" spans="1:35" ht="18.75" customHeight="1">
      <c r="A101" s="3126" t="s">
        <v>2288</v>
      </c>
      <c r="B101" s="3127"/>
      <c r="C101" s="736" t="str">
        <f>C4</f>
        <v>成本法</v>
      </c>
      <c r="D101" s="737" t="str">
        <f>D4</f>
        <v>假设开发法</v>
      </c>
      <c r="E101" s="3140" t="s">
        <v>2289</v>
      </c>
      <c r="F101" s="3094"/>
      <c r="G101" s="2524" t="s">
        <v>2290</v>
      </c>
      <c r="H101" s="1048">
        <f ca="1">H118</f>
        <v>232686</v>
      </c>
      <c r="I101" s="138"/>
    </row>
    <row r="102" spans="1:35" ht="18.75" customHeight="1">
      <c r="A102" s="3096" t="s">
        <v>2291</v>
      </c>
      <c r="B102" s="2524" t="s">
        <v>2290</v>
      </c>
      <c r="C102" s="736">
        <f ca="1">C19</f>
        <v>235478</v>
      </c>
      <c r="D102" s="737">
        <f ca="1">D19</f>
        <v>229894</v>
      </c>
      <c r="E102" s="3140"/>
      <c r="F102" s="3094"/>
      <c r="G102" s="2524" t="s">
        <v>2292</v>
      </c>
      <c r="H102" s="371">
        <f ca="1">I118</f>
        <v>16174</v>
      </c>
      <c r="I102" s="138"/>
    </row>
    <row r="103" spans="1:35" ht="42.75" customHeight="1">
      <c r="A103" s="3096"/>
      <c r="B103" s="2524" t="s">
        <v>2292</v>
      </c>
      <c r="C103" s="738">
        <f ca="1">C20</f>
        <v>16368</v>
      </c>
      <c r="D103" s="739">
        <f ca="1">D20</f>
        <v>15980</v>
      </c>
      <c r="E103" s="3135" t="s">
        <v>2293</v>
      </c>
      <c r="F103" s="3136"/>
      <c r="G103" s="2525" t="s">
        <v>2294</v>
      </c>
      <c r="H103" s="1048">
        <f>IF(D36="正常操作",H104+H105+H106,H105+H106)</f>
        <v>0</v>
      </c>
      <c r="I103" s="138"/>
    </row>
    <row r="104" spans="1:35" ht="18.75" customHeight="1">
      <c r="A104" s="3096" t="s">
        <v>2295</v>
      </c>
      <c r="B104" s="2526" t="s">
        <v>2290</v>
      </c>
      <c r="C104" s="740">
        <f ca="1">H118</f>
        <v>232686</v>
      </c>
      <c r="D104" s="741"/>
      <c r="E104" s="2271" t="s">
        <v>2296</v>
      </c>
      <c r="F104" s="2262"/>
      <c r="G104" s="2525" t="s">
        <v>2294</v>
      </c>
      <c r="H104" s="1049">
        <f>IF(D36="同一抵押权人同一抵押物续贷",C36&amp;"（未扣减，详见特别提示）",C36)</f>
        <v>0</v>
      </c>
      <c r="I104" s="138"/>
    </row>
    <row r="105" spans="1:35" ht="18.75" customHeight="1" thickBot="1">
      <c r="A105" s="3097"/>
      <c r="B105" s="2527" t="s">
        <v>2292</v>
      </c>
      <c r="C105" s="742">
        <f ca="1">I118</f>
        <v>16174</v>
      </c>
      <c r="D105" s="743"/>
      <c r="E105" s="2271" t="s">
        <v>2297</v>
      </c>
      <c r="F105" s="2262"/>
      <c r="G105" s="2525" t="s">
        <v>2294</v>
      </c>
      <c r="H105" s="1049">
        <f>C37</f>
        <v>0</v>
      </c>
      <c r="I105" s="138"/>
    </row>
    <row r="106" spans="1:35" ht="18.75" customHeight="1">
      <c r="A106" s="2422" t="s">
        <v>2298</v>
      </c>
      <c r="B106" s="2422"/>
      <c r="C106" s="2422"/>
      <c r="D106" s="2422"/>
      <c r="E106" s="2528" t="s">
        <v>2299</v>
      </c>
      <c r="F106" s="2262"/>
      <c r="G106" s="2525" t="s">
        <v>2294</v>
      </c>
      <c r="H106" s="1049">
        <f>C38</f>
        <v>0</v>
      </c>
      <c r="I106" s="138"/>
    </row>
    <row r="107" spans="1:35" ht="18.75" customHeight="1">
      <c r="A107" s="138"/>
      <c r="B107" s="138"/>
      <c r="C107" s="138"/>
      <c r="D107" s="138"/>
      <c r="E107" s="3093" t="str">
        <f>IF(项目基本情况!E8="已注销","——","3.房地产抵押价值")</f>
        <v>3.房地产抵押价值</v>
      </c>
      <c r="F107" s="3094"/>
      <c r="G107" s="2524" t="s">
        <v>2290</v>
      </c>
      <c r="H107" s="1048">
        <f ca="1">IF(E107="——","——",H101-H103)</f>
        <v>232686</v>
      </c>
      <c r="I107" s="138"/>
    </row>
    <row r="108" spans="1:35" ht="18.75" customHeight="1">
      <c r="A108" s="138"/>
      <c r="B108" s="138"/>
      <c r="C108" s="138"/>
      <c r="D108" s="138"/>
      <c r="E108" s="3093"/>
      <c r="F108" s="3094"/>
      <c r="G108" s="2524" t="s">
        <v>2292</v>
      </c>
      <c r="H108" s="371">
        <f ca="1">ROUND(H107*10000/'数据-汇总表'!E3,0)</f>
        <v>16174</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24" t="s">
        <v>2290</v>
      </c>
      <c r="H109" s="348" t="str">
        <f>IF(E109="——","——",H101-H105-H106)</f>
        <v>——</v>
      </c>
      <c r="I109" s="138"/>
    </row>
    <row r="110" spans="1:35" ht="18.75" customHeight="1">
      <c r="A110" s="138"/>
      <c r="B110" s="138"/>
      <c r="C110" s="138"/>
      <c r="D110" s="138"/>
      <c r="E110" s="3093"/>
      <c r="F110" s="3094"/>
      <c r="G110" s="2524" t="s">
        <v>2292</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24" t="s">
        <v>2290</v>
      </c>
      <c r="H111" s="1048" t="str">
        <f>IF(E111="——","——",N59)</f>
        <v>——</v>
      </c>
      <c r="I111" s="138"/>
    </row>
    <row r="112" spans="1:35" ht="18.75" customHeight="1" thickBot="1">
      <c r="A112" s="138"/>
      <c r="B112" s="138"/>
      <c r="C112" s="138"/>
      <c r="D112" s="138"/>
      <c r="E112" s="3130"/>
      <c r="F112" s="3131"/>
      <c r="G112" s="2529" t="s">
        <v>2292</v>
      </c>
      <c r="H112" s="790" t="str">
        <f>IF(E111="——","——",N61)</f>
        <v>——</v>
      </c>
      <c r="I112" s="138"/>
    </row>
    <row r="113" spans="1:11" ht="18.75" customHeight="1">
      <c r="A113" s="138"/>
      <c r="B113" s="138"/>
      <c r="C113" s="138"/>
      <c r="D113" s="138"/>
      <c r="E113" s="3098" t="s">
        <v>2298</v>
      </c>
      <c r="F113" s="3098"/>
      <c r="G113" s="3098"/>
      <c r="H113" s="3098"/>
      <c r="I113" s="138"/>
    </row>
    <row r="114" spans="1:11" ht="3.75" customHeight="1">
      <c r="A114" s="2422"/>
      <c r="B114" s="2422"/>
      <c r="C114" s="2422"/>
      <c r="D114" s="2422"/>
      <c r="E114" s="2500"/>
      <c r="F114" s="2500"/>
      <c r="G114" s="2500"/>
      <c r="H114" s="2500"/>
      <c r="I114" s="2422"/>
    </row>
    <row r="115" spans="1:11" ht="18.75" customHeight="1">
      <c r="A115" s="3111" t="s">
        <v>2300</v>
      </c>
      <c r="B115" s="3112"/>
      <c r="C115" s="3112"/>
      <c r="D115" s="3112"/>
      <c r="E115" s="3112"/>
      <c r="F115" s="3112"/>
      <c r="G115" s="3112"/>
      <c r="H115" s="3112"/>
      <c r="I115" s="3113"/>
    </row>
    <row r="116" spans="1:11" ht="27" customHeight="1">
      <c r="A116" s="3004" t="s">
        <v>2301</v>
      </c>
      <c r="B116" s="3099" t="s">
        <v>2302</v>
      </c>
      <c r="C116" s="3099" t="s">
        <v>2303</v>
      </c>
      <c r="D116" s="3115" t="s">
        <v>2304</v>
      </c>
      <c r="E116" s="3116"/>
      <c r="F116" s="3107" t="s">
        <v>2305</v>
      </c>
      <c r="G116" s="3107"/>
      <c r="H116" s="3004" t="s">
        <v>2306</v>
      </c>
      <c r="I116" s="3004"/>
    </row>
    <row r="117" spans="1:11" ht="18.75" customHeight="1">
      <c r="A117" s="3004"/>
      <c r="B117" s="3100"/>
      <c r="C117" s="3100"/>
      <c r="D117" s="1798" t="s">
        <v>2307</v>
      </c>
      <c r="E117" s="1798" t="s">
        <v>2308</v>
      </c>
      <c r="F117" s="1798" t="s">
        <v>2307</v>
      </c>
      <c r="G117" s="1798" t="s">
        <v>2309</v>
      </c>
      <c r="H117" s="1798" t="s">
        <v>2307</v>
      </c>
      <c r="I117" s="1798" t="s">
        <v>2309</v>
      </c>
    </row>
    <row r="118" spans="1:11" ht="24.75" customHeight="1">
      <c r="A118" s="2530" t="str">
        <f>项目基本情况!S2</f>
        <v>出让国有建设用地使用权及在建建筑物房地产</v>
      </c>
      <c r="B118" s="1798">
        <f>M18</f>
        <v>143860.73000000001</v>
      </c>
      <c r="C118" s="1798">
        <f>M19</f>
        <v>33165.410000000003</v>
      </c>
      <c r="D118" s="1798">
        <f ca="1">ROUND(IF(D32="总价",C34,E118*B118/10000),0)</f>
        <v>203600</v>
      </c>
      <c r="E118" s="1798">
        <f ca="1">ROUND(IF(C33="自定义",IF(D32="楼面单价",C34,D118*10000/B118),I118-G118),0)</f>
        <v>14152</v>
      </c>
      <c r="F118" s="1798">
        <f ca="1">ROUND(IF(D32="总价",C35,G118*B118/10000),0)</f>
        <v>29086</v>
      </c>
      <c r="G118" s="1798">
        <f ca="1">ROUND(IF(D32="楼面单价",C35,F118*10000/B118),0)</f>
        <v>2022</v>
      </c>
      <c r="H118" s="1798">
        <f ca="1">ROUND(IF(D32="总价",C32,I118*B118/10000),0)</f>
        <v>232686</v>
      </c>
      <c r="I118" s="1798">
        <f ca="1">ROUND(IF(D32="楼面单价",C32,H118*10000/B118),0)</f>
        <v>16174</v>
      </c>
    </row>
    <row r="119" spans="1:11" ht="18.75" customHeight="1">
      <c r="A119" s="3004" t="s">
        <v>2310</v>
      </c>
      <c r="B119" s="3004"/>
      <c r="C119" s="3004"/>
      <c r="D119" s="3104" t="str">
        <f ca="1">NUMBERSTRING(INT(D118*10000),2)&amp;"元整"</f>
        <v>贰拾亿叁仟陆佰万元整</v>
      </c>
      <c r="E119" s="3106"/>
      <c r="F119" s="3104" t="str">
        <f ca="1">NUMBERSTRING(INT(F118*10000),2)&amp;"元整"</f>
        <v>贰亿玖仟零捌拾陆万元整</v>
      </c>
      <c r="G119" s="3106"/>
      <c r="H119" s="3104" t="str">
        <f ca="1">NUMBERSTRING(INT(H118*10000),2)&amp;"元整"</f>
        <v>贰拾叁亿贰仟陆佰捌拾陆万元整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7" t="str">
        <f>IF(D120=0,"故，本次评估不存在"&amp;A120,"故，本次评估"&amp;A120&amp;"为人民币"&amp;D120&amp;"万元整。")</f>
        <v>故，本次评估不存在估价师知悉的法定优先受偿款</v>
      </c>
    </row>
    <row r="121" spans="1:11" ht="18.75" customHeight="1">
      <c r="A121" s="3108" t="s">
        <v>2310</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232686</v>
      </c>
      <c r="E122" s="3133"/>
      <c r="F122" s="3133"/>
      <c r="G122" s="3133"/>
      <c r="H122" s="3133"/>
      <c r="I122" s="3134"/>
    </row>
    <row r="123" spans="1:11" ht="18.75" customHeight="1">
      <c r="A123" s="3004" t="s">
        <v>2310</v>
      </c>
      <c r="B123" s="3004"/>
      <c r="C123" s="3004"/>
      <c r="D123" s="3104" t="str">
        <f ca="1">NUMBERSTRING(INT(D122*10000),2)&amp;"元整"</f>
        <v>贰拾叁亿贰仟陆佰捌拾陆万元整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2310</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2310</v>
      </c>
      <c r="B127" s="3004"/>
      <c r="C127" s="3004"/>
      <c r="D127" s="3104" t="e">
        <f>NUMBERSTRING(INT(D126*10000),2)&amp;"元整"</f>
        <v>#VALUE!</v>
      </c>
      <c r="E127" s="3105"/>
      <c r="F127" s="3105"/>
      <c r="G127" s="3105"/>
      <c r="H127" s="3105"/>
      <c r="I127" s="3106"/>
    </row>
    <row r="128" spans="1:11" ht="21.75" customHeight="1">
      <c r="A128" s="3114" t="s">
        <v>2311</v>
      </c>
      <c r="B128" s="3114"/>
      <c r="C128" s="3114"/>
      <c r="D128" s="3114"/>
      <c r="E128" s="3114"/>
      <c r="F128" s="3114"/>
      <c r="G128" s="3114"/>
      <c r="H128" s="3114"/>
      <c r="I128" s="3114"/>
    </row>
    <row r="129" spans="1:35" ht="21.75" customHeight="1">
      <c r="A129" s="2531" t="s">
        <v>2312</v>
      </c>
      <c r="B129" s="2532"/>
      <c r="C129" s="2533" t="s">
        <v>2313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2314</v>
      </c>
      <c r="G135" s="2548"/>
      <c r="H135" s="2548"/>
      <c r="I135" s="2549" t="s">
        <v>2315</v>
      </c>
    </row>
    <row r="136" spans="1:35" ht="21.75" customHeight="1">
      <c r="A136" s="795"/>
      <c r="B136" s="2550"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2317</v>
      </c>
    </row>
    <row r="139" spans="1:35" ht="21.75" customHeight="1">
      <c r="A139" s="795"/>
      <c r="B139" s="2550" t="s">
        <v>2318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2317</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I58" sqref="I5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150" t="s">
        <v>2636</v>
      </c>
      <c r="D4" s="3163"/>
      <c r="E4" s="3164" t="s">
        <v>2637</v>
      </c>
      <c r="F4" s="3165"/>
      <c r="G4" s="3150" t="s">
        <v>2638</v>
      </c>
      <c r="H4" s="3163"/>
      <c r="I4" s="3150" t="s">
        <v>2639</v>
      </c>
      <c r="J4" s="3163"/>
      <c r="K4" s="610" t="s">
        <v>2640</v>
      </c>
      <c r="L4" s="1133"/>
      <c r="M4" s="1134"/>
      <c r="N4" s="1134"/>
      <c r="O4" s="1134"/>
      <c r="P4" s="3166" t="s">
        <v>2641</v>
      </c>
      <c r="Q4" s="3167"/>
      <c r="R4" s="3172" t="s">
        <v>2637</v>
      </c>
      <c r="S4" s="3173"/>
      <c r="T4" s="3172" t="s">
        <v>2638</v>
      </c>
      <c r="U4" s="3173"/>
      <c r="V4" s="3159" t="s">
        <v>2639</v>
      </c>
      <c r="W4" s="3159"/>
      <c r="X4" s="1816"/>
      <c r="Y4" s="3172" t="s">
        <v>2641</v>
      </c>
      <c r="Z4" s="3173"/>
      <c r="AA4" s="3160" t="s">
        <v>2637</v>
      </c>
      <c r="AB4" s="3161" t="s">
        <v>2638</v>
      </c>
      <c r="AC4" s="3160" t="s">
        <v>2639</v>
      </c>
    </row>
    <row r="5" spans="1:30" ht="15">
      <c r="A5" s="404"/>
      <c r="B5" s="405"/>
      <c r="C5" s="3180" t="s">
        <v>2532</v>
      </c>
      <c r="D5" s="3181"/>
      <c r="E5" s="3187" t="s">
        <v>2533</v>
      </c>
      <c r="F5" s="3188"/>
      <c r="G5" s="3180" t="s">
        <v>2534</v>
      </c>
      <c r="H5" s="3181"/>
      <c r="I5" s="3180" t="s">
        <v>2535</v>
      </c>
      <c r="J5" s="3181"/>
      <c r="K5" s="610"/>
      <c r="L5" s="1133"/>
      <c r="M5" s="1134"/>
      <c r="N5" s="1134"/>
      <c r="O5" s="1134"/>
      <c r="P5" s="3168"/>
      <c r="Q5" s="3169"/>
      <c r="R5" s="3174"/>
      <c r="S5" s="3175"/>
      <c r="T5" s="3174"/>
      <c r="U5" s="3175"/>
      <c r="V5" s="3159"/>
      <c r="W5" s="3159"/>
      <c r="X5" s="1816"/>
      <c r="Y5" s="3174"/>
      <c r="Z5" s="3175"/>
      <c r="AA5" s="3161"/>
      <c r="AB5" s="3161"/>
      <c r="AC5" s="3161"/>
    </row>
    <row r="6" spans="1:30" ht="15.75" thickBot="1">
      <c r="A6" s="406"/>
      <c r="B6" s="407"/>
      <c r="C6" s="3178" t="s">
        <v>2536</v>
      </c>
      <c r="D6" s="3179"/>
      <c r="E6" s="3185" t="s">
        <v>2536</v>
      </c>
      <c r="F6" s="3186"/>
      <c r="G6" s="3178" t="s">
        <v>2536</v>
      </c>
      <c r="H6" s="3179"/>
      <c r="I6" s="3178" t="s">
        <v>2536</v>
      </c>
      <c r="J6" s="3179"/>
      <c r="K6" s="610" t="s">
        <v>2537</v>
      </c>
      <c r="L6" s="1133"/>
      <c r="M6" s="1134"/>
      <c r="N6" s="1134"/>
      <c r="O6" s="1134"/>
      <c r="P6" s="3170"/>
      <c r="Q6" s="3171"/>
      <c r="R6" s="3174"/>
      <c r="S6" s="3175"/>
      <c r="T6" s="3176"/>
      <c r="U6" s="3177"/>
      <c r="V6" s="3159"/>
      <c r="W6" s="3159"/>
      <c r="X6" s="1816"/>
      <c r="Y6" s="3176"/>
      <c r="Z6" s="3177"/>
      <c r="AA6" s="3162"/>
      <c r="AB6" s="3162"/>
      <c r="AC6" s="3162"/>
    </row>
    <row r="7" spans="1:30" s="117" customFormat="1" ht="15.75" thickBot="1">
      <c r="A7" s="408" t="s">
        <v>2538</v>
      </c>
      <c r="B7" s="409"/>
      <c r="C7" s="410">
        <f>'数据-取费表'!B2</f>
        <v>43557</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82" t="s">
        <v>2539</v>
      </c>
      <c r="Q7" s="3184"/>
      <c r="R7" s="770" t="s">
        <v>17</v>
      </c>
      <c r="S7" s="771">
        <f t="shared" ref="S7:S15" si="0">F7</f>
        <v>0</v>
      </c>
      <c r="T7" s="770" t="s">
        <v>17</v>
      </c>
      <c r="U7" s="771">
        <f t="shared" ref="U7:U15" si="1">H7</f>
        <v>0</v>
      </c>
      <c r="V7" s="770" t="s">
        <v>17</v>
      </c>
      <c r="W7" s="771">
        <f t="shared" ref="W7:W15" si="2">J7</f>
        <v>0</v>
      </c>
      <c r="X7" s="772"/>
      <c r="Y7" s="3182" t="s">
        <v>2539</v>
      </c>
      <c r="Z7" s="3183"/>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2" t="s">
        <v>2542</v>
      </c>
      <c r="Q8" s="3183"/>
      <c r="R8" s="770" t="s">
        <v>17</v>
      </c>
      <c r="S8" s="771">
        <f t="shared" si="0"/>
        <v>0</v>
      </c>
      <c r="T8" s="770" t="s">
        <v>17</v>
      </c>
      <c r="U8" s="771">
        <f t="shared" si="1"/>
        <v>0</v>
      </c>
      <c r="V8" s="770" t="s">
        <v>17</v>
      </c>
      <c r="W8" s="771">
        <f t="shared" si="2"/>
        <v>0</v>
      </c>
      <c r="X8" s="772"/>
      <c r="Y8" s="3182" t="s">
        <v>2542</v>
      </c>
      <c r="Z8" s="3183"/>
      <c r="AA8" s="773" t="e">
        <f t="shared" ref="AA8:AA45" si="3">D8/F8</f>
        <v>#DIV/0!</v>
      </c>
      <c r="AB8" s="773" t="e">
        <f t="shared" ref="AB8:AB45" si="4">D8/H8</f>
        <v>#DIV/0!</v>
      </c>
      <c r="AC8" s="773" t="e">
        <f t="shared" ref="AC8:AC45" si="5">D8/J8</f>
        <v>#DIV/0!</v>
      </c>
    </row>
    <row r="9" spans="1:30" s="117" customFormat="1">
      <c r="A9" s="415" t="s">
        <v>2543</v>
      </c>
      <c r="B9" s="71" t="s">
        <v>2544</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53" t="s">
        <v>2545</v>
      </c>
      <c r="Q9" s="1798" t="str">
        <f t="shared" ref="Q9:Q15" si="6">B9</f>
        <v>用途</v>
      </c>
      <c r="R9" s="770" t="s">
        <v>17</v>
      </c>
      <c r="S9" s="771">
        <f t="shared" si="0"/>
        <v>100</v>
      </c>
      <c r="T9" s="770" t="s">
        <v>17</v>
      </c>
      <c r="U9" s="771">
        <f t="shared" si="1"/>
        <v>100</v>
      </c>
      <c r="V9" s="770" t="s">
        <v>17</v>
      </c>
      <c r="W9" s="771">
        <f t="shared" si="2"/>
        <v>100</v>
      </c>
      <c r="X9" s="772"/>
      <c r="Y9" s="3004"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153"/>
      <c r="Q10" s="1798" t="str">
        <f t="shared" si="6"/>
        <v>土地使用年限（年）</v>
      </c>
      <c r="R10" s="770" t="s">
        <v>17</v>
      </c>
      <c r="S10" s="771">
        <f t="shared" si="0"/>
        <v>101</v>
      </c>
      <c r="T10" s="770" t="s">
        <v>17</v>
      </c>
      <c r="U10" s="771">
        <f t="shared" si="1"/>
        <v>101</v>
      </c>
      <c r="V10" s="770" t="s">
        <v>17</v>
      </c>
      <c r="W10" s="771">
        <f t="shared" si="2"/>
        <v>101</v>
      </c>
      <c r="X10" s="772"/>
      <c r="Y10" s="3004"/>
      <c r="Z10" s="55" t="str">
        <f t="shared" si="7"/>
        <v>土地使用年限（年）</v>
      </c>
      <c r="AA10" s="773">
        <f t="shared" si="3"/>
        <v>0.99009900990099009</v>
      </c>
      <c r="AB10" s="773">
        <f t="shared" si="4"/>
        <v>0.99009900990099009</v>
      </c>
      <c r="AC10" s="773">
        <f t="shared" si="5"/>
        <v>0.99009900990099009</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3"/>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30" s="117" customFormat="1" ht="15">
      <c r="A12" s="431"/>
      <c r="B12" s="2606"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3"/>
      <c r="Q12" s="1798"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3"/>
      <c r="Q13" s="1798">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3"/>
      <c r="Q14" s="1798">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15">
      <c r="A15" s="440" t="s">
        <v>2549</v>
      </c>
      <c r="B15" s="69" t="s">
        <v>2080</v>
      </c>
      <c r="C15" s="2609"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5" t="s">
        <v>2550</v>
      </c>
      <c r="Q15" s="1813" t="str">
        <f t="shared" si="6"/>
        <v>居住社区成熟度</v>
      </c>
      <c r="R15" s="774" t="s">
        <v>17</v>
      </c>
      <c r="S15" s="775">
        <f t="shared" si="0"/>
        <v>100</v>
      </c>
      <c r="T15" s="774" t="s">
        <v>17</v>
      </c>
      <c r="U15" s="775">
        <f t="shared" si="1"/>
        <v>100</v>
      </c>
      <c r="V15" s="774" t="s">
        <v>17</v>
      </c>
      <c r="W15" s="775">
        <f t="shared" si="2"/>
        <v>100</v>
      </c>
      <c r="X15" s="1816"/>
      <c r="Y15" s="3155" t="s">
        <v>2550</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56"/>
      <c r="Q16" s="1813"/>
      <c r="R16" s="774"/>
      <c r="S16" s="775"/>
      <c r="T16" s="774"/>
      <c r="U16" s="775"/>
      <c r="V16" s="774"/>
      <c r="W16" s="775"/>
      <c r="X16" s="1816"/>
      <c r="Y16" s="3156"/>
      <c r="Z16" s="1817"/>
      <c r="AA16" s="1814">
        <v>1</v>
      </c>
      <c r="AB16" s="1814">
        <v>1</v>
      </c>
      <c r="AC16" s="1814">
        <v>1</v>
      </c>
    </row>
    <row r="17" spans="1:29" ht="15">
      <c r="A17" s="428"/>
      <c r="B17" s="451" t="s">
        <v>2643</v>
      </c>
      <c r="C17" s="2670"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6"/>
      <c r="Q17" s="1813" t="str">
        <f>B17</f>
        <v>商业繁华度</v>
      </c>
      <c r="R17" s="774" t="s">
        <v>17</v>
      </c>
      <c r="S17" s="775">
        <f>F17</f>
        <v>100</v>
      </c>
      <c r="T17" s="774" t="s">
        <v>17</v>
      </c>
      <c r="U17" s="775">
        <f>H17</f>
        <v>100</v>
      </c>
      <c r="V17" s="774" t="s">
        <v>17</v>
      </c>
      <c r="W17" s="775">
        <f>J17</f>
        <v>100</v>
      </c>
      <c r="X17" s="1816"/>
      <c r="Y17" s="3156"/>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56"/>
      <c r="Q18" s="1813"/>
      <c r="R18" s="774"/>
      <c r="S18" s="775"/>
      <c r="T18" s="774"/>
      <c r="U18" s="775"/>
      <c r="V18" s="774"/>
      <c r="W18" s="775"/>
      <c r="X18" s="1816"/>
      <c r="Y18" s="3156"/>
      <c r="Z18" s="1817"/>
      <c r="AA18" s="1814">
        <v>1</v>
      </c>
      <c r="AB18" s="1814">
        <v>1</v>
      </c>
      <c r="AC18" s="1814">
        <v>1</v>
      </c>
    </row>
    <row r="19" spans="1:29" ht="15">
      <c r="A19" s="428"/>
      <c r="B19" s="451" t="s">
        <v>2677</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6"/>
      <c r="Q19" s="1813" t="str">
        <f>B19</f>
        <v>办公集聚程度</v>
      </c>
      <c r="R19" s="774" t="s">
        <v>17</v>
      </c>
      <c r="S19" s="775">
        <f>F19</f>
        <v>100</v>
      </c>
      <c r="T19" s="774" t="s">
        <v>17</v>
      </c>
      <c r="U19" s="775">
        <f>H19</f>
        <v>100</v>
      </c>
      <c r="V19" s="774" t="s">
        <v>17</v>
      </c>
      <c r="W19" s="775">
        <f>J19</f>
        <v>100</v>
      </c>
      <c r="X19" s="1816"/>
      <c r="Y19" s="3156"/>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56"/>
      <c r="Q20" s="1813"/>
      <c r="R20" s="774"/>
      <c r="S20" s="775"/>
      <c r="T20" s="774"/>
      <c r="U20" s="775"/>
      <c r="V20" s="774"/>
      <c r="W20" s="775"/>
      <c r="X20" s="1816"/>
      <c r="Y20" s="3156"/>
      <c r="Z20" s="1817"/>
      <c r="AA20" s="1814">
        <v>1</v>
      </c>
      <c r="AB20" s="1814">
        <v>1</v>
      </c>
      <c r="AC20" s="1814">
        <v>1</v>
      </c>
    </row>
    <row r="21" spans="1:29" ht="15">
      <c r="A21" s="428"/>
      <c r="B21" s="451" t="s">
        <v>2699</v>
      </c>
      <c r="C21" s="261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6"/>
      <c r="Q21" s="1813" t="str">
        <f>B21</f>
        <v>交通便捷度</v>
      </c>
      <c r="R21" s="774" t="s">
        <v>17</v>
      </c>
      <c r="S21" s="775">
        <f>F21</f>
        <v>100</v>
      </c>
      <c r="T21" s="774" t="s">
        <v>17</v>
      </c>
      <c r="U21" s="775">
        <f>H21</f>
        <v>100</v>
      </c>
      <c r="V21" s="774" t="s">
        <v>17</v>
      </c>
      <c r="W21" s="775">
        <f>J21</f>
        <v>100</v>
      </c>
      <c r="X21" s="1816"/>
      <c r="Y21" s="3156"/>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56"/>
      <c r="Q22" s="1813"/>
      <c r="R22" s="774"/>
      <c r="S22" s="775"/>
      <c r="T22" s="774"/>
      <c r="U22" s="775"/>
      <c r="V22" s="774"/>
      <c r="W22" s="775"/>
      <c r="X22" s="1816"/>
      <c r="Y22" s="3156"/>
      <c r="Z22" s="1817"/>
      <c r="AA22" s="1814">
        <v>1</v>
      </c>
      <c r="AB22" s="1814">
        <v>1</v>
      </c>
      <c r="AC22" s="1814">
        <v>1</v>
      </c>
    </row>
    <row r="23" spans="1:29" ht="15">
      <c r="A23" s="404"/>
      <c r="B23" s="451" t="s">
        <v>2738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6"/>
      <c r="Q23" s="1813" t="str">
        <f t="shared" ref="Q23:Q37" si="8">B23</f>
        <v>区域土地利用方向</v>
      </c>
      <c r="R23" s="774" t="s">
        <v>17</v>
      </c>
      <c r="S23" s="775">
        <f>F23</f>
        <v>100</v>
      </c>
      <c r="T23" s="774" t="s">
        <v>17</v>
      </c>
      <c r="U23" s="775">
        <f>H23</f>
        <v>100</v>
      </c>
      <c r="V23" s="774" t="s">
        <v>17</v>
      </c>
      <c r="W23" s="775">
        <f>J23</f>
        <v>100</v>
      </c>
      <c r="X23" s="1816"/>
      <c r="Y23" s="3156"/>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56"/>
      <c r="Q24" s="1813"/>
      <c r="R24" s="774"/>
      <c r="S24" s="775"/>
      <c r="T24" s="774"/>
      <c r="U24" s="775"/>
      <c r="V24" s="774"/>
      <c r="W24" s="775"/>
      <c r="X24" s="1816"/>
      <c r="Y24" s="3156"/>
      <c r="Z24" s="1817"/>
      <c r="AA24" s="1814"/>
      <c r="AB24" s="1814"/>
      <c r="AC24" s="1814"/>
    </row>
    <row r="25" spans="1:29" ht="27">
      <c r="A25" s="404"/>
      <c r="B25" s="1387" t="s">
        <v>2739</v>
      </c>
      <c r="C25" s="2670"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6"/>
      <c r="Q25" s="1813" t="str">
        <f t="shared" si="8"/>
        <v>自然及人文环境状况</v>
      </c>
      <c r="R25" s="774" t="s">
        <v>17</v>
      </c>
      <c r="S25" s="775">
        <f>F25</f>
        <v>100</v>
      </c>
      <c r="T25" s="774" t="s">
        <v>17</v>
      </c>
      <c r="U25" s="775">
        <f>H25</f>
        <v>100</v>
      </c>
      <c r="V25" s="774" t="s">
        <v>17</v>
      </c>
      <c r="W25" s="775">
        <f>J25</f>
        <v>100</v>
      </c>
      <c r="X25" s="1816"/>
      <c r="Y25" s="3156"/>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56"/>
      <c r="Q26" s="1813"/>
      <c r="R26" s="774"/>
      <c r="S26" s="775"/>
      <c r="T26" s="774"/>
      <c r="U26" s="775"/>
      <c r="V26" s="774"/>
      <c r="W26" s="775"/>
      <c r="X26" s="1816"/>
      <c r="Y26" s="3156"/>
      <c r="Z26" s="1817"/>
      <c r="AA26" s="1814">
        <v>1</v>
      </c>
      <c r="AB26" s="1814">
        <v>1</v>
      </c>
      <c r="AC26" s="1814">
        <v>1</v>
      </c>
    </row>
    <row r="27" spans="1:29" s="117" customFormat="1" ht="15">
      <c r="A27" s="649"/>
      <c r="B27" s="1387" t="s">
        <v>2644</v>
      </c>
      <c r="C27" s="261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6"/>
      <c r="Q27" s="1798" t="str">
        <f t="shared" si="8"/>
        <v>公共配套设施</v>
      </c>
      <c r="R27" s="770" t="s">
        <v>17</v>
      </c>
      <c r="S27" s="771">
        <f>F27</f>
        <v>100</v>
      </c>
      <c r="T27" s="770" t="s">
        <v>17</v>
      </c>
      <c r="U27" s="771">
        <f>H27</f>
        <v>100</v>
      </c>
      <c r="V27" s="770" t="s">
        <v>17</v>
      </c>
      <c r="W27" s="771">
        <f>J27</f>
        <v>100</v>
      </c>
      <c r="X27" s="772"/>
      <c r="Y27" s="3156"/>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56"/>
      <c r="Q28" s="1798"/>
      <c r="R28" s="770"/>
      <c r="S28" s="771"/>
      <c r="T28" s="770"/>
      <c r="U28" s="771"/>
      <c r="V28" s="770"/>
      <c r="W28" s="771"/>
      <c r="X28" s="772"/>
      <c r="Y28" s="3156"/>
      <c r="Z28" s="55"/>
      <c r="AA28" s="1814">
        <v>1</v>
      </c>
      <c r="AB28" s="1814">
        <v>1</v>
      </c>
      <c r="AC28" s="1814">
        <v>1</v>
      </c>
    </row>
    <row r="29" spans="1:29" s="117" customFormat="1" ht="15">
      <c r="A29" s="649"/>
      <c r="B29" s="1387" t="s">
        <v>2645</v>
      </c>
      <c r="C29" s="2613"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6"/>
      <c r="Q29" s="1798" t="str">
        <f t="shared" ref="Q29" si="9">B29</f>
        <v>基础设施水平</v>
      </c>
      <c r="R29" s="770" t="s">
        <v>17</v>
      </c>
      <c r="S29" s="771">
        <f>F29</f>
        <v>100</v>
      </c>
      <c r="T29" s="770" t="s">
        <v>17</v>
      </c>
      <c r="U29" s="771">
        <f>H29</f>
        <v>100</v>
      </c>
      <c r="V29" s="770" t="s">
        <v>17</v>
      </c>
      <c r="W29" s="771">
        <f>J29</f>
        <v>100</v>
      </c>
      <c r="X29" s="772"/>
      <c r="Y29" s="3156"/>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56"/>
      <c r="Q30" s="1798"/>
      <c r="R30" s="770"/>
      <c r="S30" s="771"/>
      <c r="T30" s="770"/>
      <c r="U30" s="771"/>
      <c r="V30" s="770"/>
      <c r="W30" s="771"/>
      <c r="X30" s="772"/>
      <c r="Y30" s="3156"/>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6"/>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6"/>
      <c r="Q32" s="1813" t="str">
        <f t="shared" si="8"/>
        <v>毗邻道路的类型与等级</v>
      </c>
      <c r="R32" s="774" t="s">
        <v>17</v>
      </c>
      <c r="S32" s="775">
        <f t="shared" si="10"/>
        <v>100</v>
      </c>
      <c r="T32" s="774" t="s">
        <v>17</v>
      </c>
      <c r="U32" s="775">
        <f t="shared" si="11"/>
        <v>100</v>
      </c>
      <c r="V32" s="774" t="s">
        <v>17</v>
      </c>
      <c r="W32" s="775">
        <f t="shared" si="12"/>
        <v>100</v>
      </c>
      <c r="X32" s="1816"/>
      <c r="Y32" s="3156"/>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56"/>
      <c r="Q33" s="1813"/>
      <c r="R33" s="774"/>
      <c r="S33" s="775"/>
      <c r="T33" s="774"/>
      <c r="U33" s="775"/>
      <c r="V33" s="774"/>
      <c r="W33" s="775"/>
      <c r="X33" s="1816"/>
      <c r="Y33" s="3156"/>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6"/>
      <c r="Q34" s="1813" t="str">
        <f t="shared" si="8"/>
        <v>土地级别</v>
      </c>
      <c r="R34" s="774" t="s">
        <v>17</v>
      </c>
      <c r="S34" s="775">
        <f t="shared" si="10"/>
        <v>100</v>
      </c>
      <c r="T34" s="774" t="s">
        <v>17</v>
      </c>
      <c r="U34" s="775">
        <f t="shared" si="11"/>
        <v>100</v>
      </c>
      <c r="V34" s="774" t="s">
        <v>17</v>
      </c>
      <c r="W34" s="775">
        <f t="shared" si="12"/>
        <v>100</v>
      </c>
      <c r="X34" s="1816"/>
      <c r="Y34" s="315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6"/>
      <c r="Q35" s="1813">
        <f t="shared" si="8"/>
        <v>111</v>
      </c>
      <c r="R35" s="774" t="s">
        <v>17</v>
      </c>
      <c r="S35" s="775">
        <f t="shared" si="10"/>
        <v>100</v>
      </c>
      <c r="T35" s="774" t="s">
        <v>17</v>
      </c>
      <c r="U35" s="775">
        <f t="shared" si="11"/>
        <v>100</v>
      </c>
      <c r="V35" s="774" t="s">
        <v>17</v>
      </c>
      <c r="W35" s="775">
        <f t="shared" si="12"/>
        <v>100</v>
      </c>
      <c r="X35" s="1816"/>
      <c r="Y35" s="315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57" t="s">
        <v>2555</v>
      </c>
      <c r="Q36" s="1813">
        <f t="shared" si="8"/>
        <v>111</v>
      </c>
      <c r="R36" s="774" t="s">
        <v>17</v>
      </c>
      <c r="S36" s="775">
        <f t="shared" si="10"/>
        <v>100</v>
      </c>
      <c r="T36" s="774" t="s">
        <v>17</v>
      </c>
      <c r="U36" s="775">
        <f t="shared" si="11"/>
        <v>100</v>
      </c>
      <c r="V36" s="774" t="s">
        <v>17</v>
      </c>
      <c r="W36" s="775">
        <f t="shared" si="12"/>
        <v>100</v>
      </c>
      <c r="X36" s="1816"/>
      <c r="Y36" s="3158"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58"/>
      <c r="Q37" s="1813">
        <f t="shared" si="8"/>
        <v>111</v>
      </c>
      <c r="R37" s="777" t="s">
        <v>17</v>
      </c>
      <c r="S37" s="778">
        <f t="shared" si="10"/>
        <v>100</v>
      </c>
      <c r="T37" s="777" t="s">
        <v>17</v>
      </c>
      <c r="U37" s="778">
        <f t="shared" si="11"/>
        <v>100</v>
      </c>
      <c r="V37" s="777" t="s">
        <v>17</v>
      </c>
      <c r="W37" s="778">
        <f t="shared" si="12"/>
        <v>100</v>
      </c>
      <c r="X37" s="779"/>
      <c r="Y37" s="3158"/>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58"/>
      <c r="Q38" s="1813" t="str">
        <f>B38</f>
        <v>宗地面积</v>
      </c>
      <c r="R38" s="774" t="s">
        <v>17</v>
      </c>
      <c r="S38" s="775" t="e">
        <f t="shared" si="10"/>
        <v>#N/A</v>
      </c>
      <c r="T38" s="774" t="s">
        <v>17</v>
      </c>
      <c r="U38" s="775" t="e">
        <f t="shared" si="11"/>
        <v>#N/A</v>
      </c>
      <c r="V38" s="774" t="s">
        <v>17</v>
      </c>
      <c r="W38" s="775" t="e">
        <f t="shared" si="12"/>
        <v>#N/A</v>
      </c>
      <c r="X38" s="1816"/>
      <c r="Y38" s="3158"/>
      <c r="Z38" s="1817" t="str">
        <f t="shared" si="13"/>
        <v>宗地面积</v>
      </c>
      <c r="AA38" s="1814" t="e">
        <f t="shared" si="3"/>
        <v>#N/A</v>
      </c>
      <c r="AB38" s="1814" t="e">
        <f t="shared" si="4"/>
        <v>#N/A</v>
      </c>
      <c r="AC38" s="1814" t="e">
        <f t="shared" si="5"/>
        <v>#N/A</v>
      </c>
    </row>
    <row r="39" spans="1:29" ht="15">
      <c r="A39" s="472"/>
      <c r="B39" s="422" t="s">
        <v>2742</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58"/>
      <c r="Q39" s="1813" t="str">
        <f t="shared" ref="Q39:Q45" si="14">B39</f>
        <v>宗地形状</v>
      </c>
      <c r="R39" s="774" t="s">
        <v>17</v>
      </c>
      <c r="S39" s="775">
        <f t="shared" si="10"/>
        <v>100</v>
      </c>
      <c r="T39" s="774" t="s">
        <v>17</v>
      </c>
      <c r="U39" s="775">
        <f t="shared" si="11"/>
        <v>100</v>
      </c>
      <c r="V39" s="774" t="s">
        <v>17</v>
      </c>
      <c r="W39" s="775">
        <f t="shared" si="12"/>
        <v>100</v>
      </c>
      <c r="X39" s="1816"/>
      <c r="Y39" s="3158"/>
      <c r="Z39" s="1817" t="str">
        <f t="shared" si="13"/>
        <v>宗地形状</v>
      </c>
      <c r="AA39" s="1814">
        <f t="shared" si="3"/>
        <v>1</v>
      </c>
      <c r="AB39" s="1814">
        <f t="shared" si="4"/>
        <v>1</v>
      </c>
      <c r="AC39" s="1814">
        <f t="shared" si="5"/>
        <v>1</v>
      </c>
    </row>
    <row r="40" spans="1:29" ht="15">
      <c r="A40" s="472"/>
      <c r="B40" s="422" t="s">
        <v>2743</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58"/>
      <c r="Q40" s="1813" t="str">
        <f t="shared" si="14"/>
        <v>临街宽度及深度</v>
      </c>
      <c r="R40" s="774" t="s">
        <v>17</v>
      </c>
      <c r="S40" s="775">
        <f t="shared" si="10"/>
        <v>100</v>
      </c>
      <c r="T40" s="774" t="s">
        <v>17</v>
      </c>
      <c r="U40" s="775">
        <f t="shared" si="11"/>
        <v>100</v>
      </c>
      <c r="V40" s="774" t="s">
        <v>17</v>
      </c>
      <c r="W40" s="775">
        <f t="shared" si="12"/>
        <v>100</v>
      </c>
      <c r="X40" s="1816"/>
      <c r="Y40" s="3158"/>
      <c r="Z40" s="1817" t="str">
        <f t="shared" si="13"/>
        <v>临街宽度及深度</v>
      </c>
      <c r="AA40" s="1814">
        <f t="shared" si="3"/>
        <v>1</v>
      </c>
      <c r="AB40" s="1814">
        <f t="shared" si="4"/>
        <v>1</v>
      </c>
      <c r="AC40" s="1814">
        <f t="shared" si="5"/>
        <v>1</v>
      </c>
    </row>
    <row r="41" spans="1:29" s="117" customFormat="1" ht="15">
      <c r="A41" s="473"/>
      <c r="B41" s="422" t="s">
        <v>2744</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58"/>
      <c r="Q41" s="1813" t="str">
        <f t="shared" si="14"/>
        <v>宗地开发程度</v>
      </c>
      <c r="R41" s="770" t="s">
        <v>17</v>
      </c>
      <c r="S41" s="771">
        <f t="shared" si="10"/>
        <v>100</v>
      </c>
      <c r="T41" s="770" t="s">
        <v>17</v>
      </c>
      <c r="U41" s="771">
        <f t="shared" si="11"/>
        <v>100</v>
      </c>
      <c r="V41" s="770" t="s">
        <v>17</v>
      </c>
      <c r="W41" s="771">
        <f t="shared" si="12"/>
        <v>100</v>
      </c>
      <c r="X41" s="772"/>
      <c r="Y41" s="3158"/>
      <c r="Z41" s="55" t="str">
        <f t="shared" si="13"/>
        <v>宗地开发程度</v>
      </c>
      <c r="AA41" s="773">
        <f t="shared" si="3"/>
        <v>1</v>
      </c>
      <c r="AB41" s="773">
        <f t="shared" si="4"/>
        <v>1</v>
      </c>
      <c r="AC41" s="773">
        <f t="shared" si="5"/>
        <v>1</v>
      </c>
    </row>
    <row r="42" spans="1:29" ht="15">
      <c r="A42" s="472"/>
      <c r="B42" s="422" t="s">
        <v>2745</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58" t="s">
        <v>2555</v>
      </c>
      <c r="Q42" s="1813" t="str">
        <f t="shared" si="14"/>
        <v>工程地质条件</v>
      </c>
      <c r="R42" s="774" t="s">
        <v>17</v>
      </c>
      <c r="S42" s="775">
        <f t="shared" si="10"/>
        <v>100</v>
      </c>
      <c r="T42" s="774" t="s">
        <v>17</v>
      </c>
      <c r="U42" s="775">
        <f t="shared" si="11"/>
        <v>100</v>
      </c>
      <c r="V42" s="774" t="s">
        <v>17</v>
      </c>
      <c r="W42" s="775">
        <f t="shared" si="12"/>
        <v>100</v>
      </c>
      <c r="X42" s="1816"/>
      <c r="Y42" s="3158"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58"/>
      <c r="Q43" s="1813">
        <f t="shared" si="14"/>
        <v>111</v>
      </c>
      <c r="R43" s="774" t="s">
        <v>17</v>
      </c>
      <c r="S43" s="775">
        <f t="shared" si="10"/>
        <v>100</v>
      </c>
      <c r="T43" s="774" t="s">
        <v>17</v>
      </c>
      <c r="U43" s="775">
        <f t="shared" si="11"/>
        <v>100</v>
      </c>
      <c r="V43" s="774" t="s">
        <v>17</v>
      </c>
      <c r="W43" s="775">
        <f t="shared" si="12"/>
        <v>100</v>
      </c>
      <c r="X43" s="1816"/>
      <c r="Y43" s="315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58"/>
      <c r="Q44" s="1813">
        <f t="shared" si="14"/>
        <v>111</v>
      </c>
      <c r="R44" s="774" t="s">
        <v>17</v>
      </c>
      <c r="S44" s="775">
        <f t="shared" si="10"/>
        <v>100</v>
      </c>
      <c r="T44" s="774" t="s">
        <v>17</v>
      </c>
      <c r="U44" s="775">
        <f t="shared" si="11"/>
        <v>100</v>
      </c>
      <c r="V44" s="774" t="s">
        <v>17</v>
      </c>
      <c r="W44" s="775">
        <f t="shared" si="12"/>
        <v>100</v>
      </c>
      <c r="X44" s="1816"/>
      <c r="Y44" s="3158"/>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58"/>
      <c r="Q45" s="1813">
        <f t="shared" si="14"/>
        <v>111</v>
      </c>
      <c r="R45" s="777" t="s">
        <v>17</v>
      </c>
      <c r="S45" s="778">
        <f t="shared" si="10"/>
        <v>100</v>
      </c>
      <c r="T45" s="777" t="s">
        <v>17</v>
      </c>
      <c r="U45" s="778">
        <f t="shared" si="11"/>
        <v>100</v>
      </c>
      <c r="V45" s="777" t="s">
        <v>17</v>
      </c>
      <c r="W45" s="778">
        <f t="shared" si="12"/>
        <v>100</v>
      </c>
      <c r="X45" s="779"/>
      <c r="Y45" s="3158"/>
      <c r="Z45" s="780">
        <f t="shared" si="13"/>
        <v>111</v>
      </c>
      <c r="AA45" s="1814">
        <f t="shared" si="3"/>
        <v>1</v>
      </c>
      <c r="AB45" s="1814">
        <f t="shared" si="4"/>
        <v>1</v>
      </c>
      <c r="AC45" s="1814">
        <f t="shared" si="5"/>
        <v>1</v>
      </c>
    </row>
    <row r="46" spans="1:29" ht="15">
      <c r="A46" s="479" t="s">
        <v>2710</v>
      </c>
      <c r="B46" s="2710" t="s">
        <v>2746</v>
      </c>
      <c r="C46" s="682" t="s">
        <v>1</v>
      </c>
      <c r="D46" s="481"/>
      <c r="E46" s="482">
        <v>12000</v>
      </c>
      <c r="F46" s="483"/>
      <c r="G46" s="484">
        <v>12000</v>
      </c>
      <c r="H46" s="485"/>
      <c r="I46" s="482"/>
      <c r="J46" s="485"/>
      <c r="K46" s="783"/>
      <c r="L46" s="1146"/>
      <c r="M46" s="1147"/>
      <c r="N46" s="1134"/>
      <c r="O46" s="1147"/>
      <c r="P46" s="3153" t="str">
        <f>A46</f>
        <v>成交单价</v>
      </c>
      <c r="Q46" s="3153"/>
      <c r="R46" s="3159">
        <f>E46</f>
        <v>12000</v>
      </c>
      <c r="S46" s="3159"/>
      <c r="T46" s="3159">
        <f>G46</f>
        <v>12000</v>
      </c>
      <c r="U46" s="3159"/>
      <c r="V46" s="3159">
        <f>I46</f>
        <v>0</v>
      </c>
      <c r="W46" s="3159"/>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153" t="str">
        <f>A47</f>
        <v>比较价值（元/平方米）</v>
      </c>
      <c r="Q47" s="3153"/>
      <c r="R47" s="3146" t="e">
        <f>ROUND(PRODUCT(R46,AA7:AA45),0)</f>
        <v>#DIV/0!</v>
      </c>
      <c r="S47" s="3146"/>
      <c r="T47" s="3146" t="e">
        <f>ROUND(PRODUCT(T46,AB7:AB45),0)</f>
        <v>#DIV/0!</v>
      </c>
      <c r="U47" s="3146"/>
      <c r="V47" s="3146" t="e">
        <f>ROUND(PRODUCT(V46,AC7:AC45),0)</f>
        <v>#DIV/0!</v>
      </c>
      <c r="W47" s="3146"/>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147" t="str">
        <f>A48</f>
        <v>估价对象XX用房的比较价值（楼面单价，元/平方米）</v>
      </c>
      <c r="Q48" s="3148"/>
      <c r="R48" s="3149" t="e">
        <f>ROUND(AVERAGE(R47:V47),0)</f>
        <v>#DIV/0!</v>
      </c>
      <c r="S48" s="3149"/>
      <c r="T48" s="3149"/>
      <c r="U48" s="3149"/>
      <c r="V48" s="3149"/>
      <c r="W48" s="31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f>IF(E46&lt;G46,G46/E46-1,E46/G46-1)</f>
        <v>0</v>
      </c>
      <c r="F53" s="500" t="str">
        <f>IF(OR(E53&gt;=0.3,E53&lt;=-0.3),"超过30%","")</f>
        <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11" t="s">
        <v>2750</v>
      </c>
      <c r="D55" s="2712" t="s">
        <v>2751</v>
      </c>
      <c r="E55" s="686" t="s">
        <v>2752</v>
      </c>
      <c r="F55" s="1110" t="s">
        <v>2753</v>
      </c>
      <c r="G55" s="3150" t="s">
        <v>2754</v>
      </c>
      <c r="H55" s="3151"/>
      <c r="I55" s="144" t="s">
        <v>2755</v>
      </c>
      <c r="J55" s="2713">
        <f>项目基本情况!F35</f>
        <v>0</v>
      </c>
      <c r="K55" s="2714" t="s">
        <v>2756</v>
      </c>
      <c r="L55" s="1109"/>
      <c r="M55" s="1147"/>
      <c r="N55" s="1147"/>
      <c r="O55" s="1147"/>
    </row>
    <row r="56" spans="1:15" s="692" customFormat="1">
      <c r="A56" s="688" t="s">
        <v>2757</v>
      </c>
      <c r="B56" s="689" t="e">
        <f>C48</f>
        <v>#DIV/0!</v>
      </c>
      <c r="C56" s="690">
        <v>1</v>
      </c>
      <c r="D56" s="1166">
        <v>1</v>
      </c>
      <c r="E56" s="690">
        <f>'数据-汇总表'!E8+'数据-汇总表'!E9</f>
        <v>142018.21000000002</v>
      </c>
      <c r="F56" s="1106" t="e">
        <f t="shared" ref="F56:F65" si="15">ROUND(B56*E56/10000,0)</f>
        <v>#DIV/0!</v>
      </c>
      <c r="G56" s="3152"/>
      <c r="H56" s="3153"/>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154"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154"/>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154"/>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154"/>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v>
      </c>
      <c r="D61" s="1167">
        <v>0.25</v>
      </c>
      <c r="E61" s="261">
        <f>'数据-汇总表'!E11</f>
        <v>0</v>
      </c>
      <c r="F61" s="1106" t="e">
        <f t="shared" si="15"/>
        <v>#DIV/0!</v>
      </c>
      <c r="G61" s="2715" t="s">
        <v>2764</v>
      </c>
      <c r="H61" s="1107">
        <f>项目基本情况!C37</f>
        <v>0</v>
      </c>
      <c r="I61" s="1111">
        <f>SUMIF(修正!A45:A56,H61,修正!F45:F56)</f>
        <v>0</v>
      </c>
      <c r="J61" s="1115"/>
      <c r="K61" s="1147"/>
      <c r="L61" s="944"/>
      <c r="M61" s="944"/>
      <c r="N61" s="944"/>
      <c r="O61" s="944"/>
    </row>
    <row r="62" spans="1:15" s="692" customFormat="1">
      <c r="A62" s="693" t="s">
        <v>2765</v>
      </c>
      <c r="B62" s="262" t="e">
        <f t="shared" si="17"/>
        <v>#DIV/0!</v>
      </c>
      <c r="C62" s="200">
        <f t="shared" si="16"/>
        <v>0</v>
      </c>
      <c r="D62" s="1167">
        <v>0.25</v>
      </c>
      <c r="E62" s="261">
        <f>'数据-汇总表'!E12</f>
        <v>0</v>
      </c>
      <c r="F62" s="1106" t="e">
        <f t="shared" si="15"/>
        <v>#DIV/0!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5"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v>
      </c>
      <c r="D65" s="1167">
        <v>0.25</v>
      </c>
      <c r="E65" s="261">
        <f>'数据-汇总表'!E15</f>
        <v>0</v>
      </c>
      <c r="F65" s="1106" t="e">
        <f t="shared" si="15"/>
        <v>#DIV/0!</v>
      </c>
      <c r="G65" s="2716"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1026</v>
      </c>
      <c r="E66" s="696">
        <f>IF(B46="楼面地价",SUM(E56:E65),'数据-汇总表'!D3)</f>
        <v>142018.21000000002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7" t="s">
        <v>2772</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8" t="s">
        <v>2773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出让国有建设用地使用权及在建建筑物房地产抵押价值预评估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8" sqref="I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c r="C1" s="242"/>
      <c r="D1" s="242"/>
      <c r="E1" s="242"/>
      <c r="F1" s="242"/>
      <c r="G1" s="1382">
        <f>MATCH(B1,'数据-取费表'!A6:A16,0)+5</f>
        <v>8</v>
      </c>
    </row>
    <row r="2" spans="1:9" s="244" customFormat="1" ht="18" customHeight="1">
      <c r="A2" s="245" t="s">
        <v>2320</v>
      </c>
      <c r="B2" s="246">
        <f ca="1">IF(D2="——",C52,C52-E2)</f>
        <v>235478</v>
      </c>
      <c r="C2" s="243" t="s">
        <v>2321</v>
      </c>
      <c r="D2" s="2553" t="s">
        <v>70</v>
      </c>
      <c r="E2" s="1443" t="e">
        <f ca="1">SUMIF(INDIRECT("'"&amp;G2&amp;"'"&amp;"!A:A"),"承租人权益价值",INDIRECT("'"&amp;G2&amp;"'"&amp;"!c:c"))</f>
        <v>#REF!</v>
      </c>
      <c r="F2" s="2554" t="s">
        <v>2321</v>
      </c>
      <c r="G2" s="2555"/>
    </row>
    <row r="3" spans="1:9" s="244" customFormat="1" ht="18" customHeight="1" thickBot="1">
      <c r="A3" s="247" t="s">
        <v>2322</v>
      </c>
      <c r="B3" s="248">
        <f ca="1">ROUND(B2*10000/(IF(B1="",'数据-汇总表'!E3,INDIRECT("'数据-取费表'!k"&amp;$G$1))),0)</f>
        <v>16368</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160985</v>
      </c>
      <c r="D5" s="255" t="s">
        <v>2327</v>
      </c>
      <c r="E5" s="256" t="s">
        <v>2328</v>
      </c>
      <c r="F5" s="256" t="s">
        <v>2329</v>
      </c>
      <c r="G5" s="257"/>
    </row>
    <row r="6" spans="1:9" s="258" customFormat="1" ht="13.5" customHeight="1">
      <c r="A6" s="952" t="s">
        <v>2330</v>
      </c>
      <c r="B6" s="259" t="s">
        <v>2331</v>
      </c>
      <c r="C6" s="260">
        <f>ROUND(11000*'数据-汇总表'!F27/10000,0)</f>
        <v>156220</v>
      </c>
      <c r="D6" s="261"/>
      <c r="E6" s="262"/>
      <c r="F6" s="262"/>
      <c r="G6" s="263"/>
    </row>
    <row r="7" spans="1:9" s="258" customFormat="1" ht="13.5" customHeight="1">
      <c r="A7" s="952" t="s">
        <v>2332</v>
      </c>
      <c r="B7" s="259" t="s">
        <v>2333</v>
      </c>
      <c r="C7" s="264">
        <f>ROUND(C6*F7,0)</f>
        <v>4765</v>
      </c>
      <c r="D7" s="264"/>
      <c r="E7" s="262"/>
      <c r="F7" s="265">
        <f>'数据-取费表'!B48+'数据-取费表'!B49</f>
        <v>3.0499999999999999E-2</v>
      </c>
      <c r="G7" s="263"/>
    </row>
    <row r="8" spans="1:9" s="267" customFormat="1">
      <c r="A8" s="952" t="s">
        <v>2334</v>
      </c>
      <c r="B8" s="259" t="s">
        <v>2335</v>
      </c>
      <c r="C8" s="264">
        <f>IF(G8="已包含在土地购买价格中","0",IF(B1="",'数据-取费表'!B29,IF(G9="全部缴纳",C9+C10,H9)))</f>
        <v>0</v>
      </c>
      <c r="D8" s="266"/>
      <c r="E8" s="264"/>
      <c r="F8" s="265"/>
      <c r="G8" s="2556"/>
    </row>
    <row r="9" spans="1:9" s="258" customFormat="1" ht="13.5" customHeight="1">
      <c r="A9" s="953" t="s">
        <v>800</v>
      </c>
      <c r="B9" s="268" t="s">
        <v>2336</v>
      </c>
      <c r="C9" s="269">
        <f ca="1">ROUND(D9*E9/10000,0)</f>
        <v>653</v>
      </c>
      <c r="D9" s="1035">
        <f ca="1">IF(B1="",'数据-汇总表'!E5,IF(INDIRECT("'数据-取费表'!c"&amp;$G$1)="住宅",INDIRECT("'数据-取费表'!k"&amp;$G$1),0))</f>
        <v>118740.57</v>
      </c>
      <c r="E9" s="269">
        <f>'数据-取费表'!B27</f>
        <v>55</v>
      </c>
      <c r="F9" s="265"/>
      <c r="G9" s="2557"/>
      <c r="H9" s="1393"/>
      <c r="I9" s="2558" t="s">
        <v>2337</v>
      </c>
    </row>
    <row r="10" spans="1:9" s="258" customFormat="1" ht="13.5" customHeight="1">
      <c r="A10" s="953" t="s">
        <v>801</v>
      </c>
      <c r="B10" s="268" t="s">
        <v>2338</v>
      </c>
      <c r="C10" s="269">
        <f ca="1">ROUND(D10*E10/10000,0)</f>
        <v>138</v>
      </c>
      <c r="D10" s="1035">
        <f ca="1">IF(B1="",'数据-汇总表'!E6,IF(INDIRECT("'数据-取费表'!c"&amp;$G$1)="住宅",INDIRECT("'数据-取费表'!s"&amp;$G$1),INDIRECT("'数据-取费表'!k"&amp;$G$1)+INDIRECT("'数据-取费表'!s"&amp;$G$1)))</f>
        <v>25120.160000000003</v>
      </c>
      <c r="E10" s="269">
        <f>'数据-取费表'!B28</f>
        <v>55</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f ca="1">IF(G19="已包含在土地取得成本中","0",ROUND(D19*E19/10000,0))</f>
        <v>1151</v>
      </c>
      <c r="D19" s="1039">
        <f ca="1">D9+D10</f>
        <v>143860.73000000001</v>
      </c>
      <c r="E19" s="255">
        <f>'数据-取费表'!B31</f>
        <v>80</v>
      </c>
      <c r="F19" s="275"/>
      <c r="G19" s="2556"/>
    </row>
    <row r="20" spans="1:7" s="258" customFormat="1" ht="13.5" customHeight="1">
      <c r="A20" s="299" t="s">
        <v>2351</v>
      </c>
      <c r="B20" s="254" t="s">
        <v>2352</v>
      </c>
      <c r="C20" s="276">
        <f ca="1">ROUND((C5+C19)*F20,0)</f>
        <v>3243</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11803</v>
      </c>
      <c r="D22" s="279">
        <f ca="1">C26</f>
        <v>6.9999999999999999E-4</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11605</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83</v>
      </c>
      <c r="D24" s="282"/>
      <c r="E24" s="282"/>
      <c r="F24" s="283"/>
      <c r="G24" s="284" t="s">
        <v>2365</v>
      </c>
    </row>
    <row r="25" spans="1:7" s="258" customFormat="1" ht="24">
      <c r="A25" s="954" t="s">
        <v>2366</v>
      </c>
      <c r="B25" s="259" t="s">
        <v>2367</v>
      </c>
      <c r="C25" s="1358">
        <f ca="1">ROUND(IF('数据-取费表'!B22&lt;=1,C20*F22*'数据-取费表'!B23/2,C20*(POWER((1+F22),'数据-取费表'!B23/2)-1)),0)</f>
        <v>115</v>
      </c>
      <c r="D25" s="282"/>
      <c r="E25" s="285"/>
      <c r="F25" s="283"/>
      <c r="G25" s="286" t="s">
        <v>2368</v>
      </c>
    </row>
    <row r="26" spans="1:7" s="258" customFormat="1">
      <c r="A26" s="954" t="s">
        <v>795</v>
      </c>
      <c r="B26" s="259" t="s">
        <v>2369</v>
      </c>
      <c r="C26" s="282">
        <f ca="1">ROUND(IF('数据-取费表'!B22&lt;=1,F21*F22*'数据-取费表'!B23/2,F21*(POWER((1+F22),'数据-取费表'!B23/2)-1)),4)</f>
        <v>6.9999999999999999E-4</v>
      </c>
      <c r="D26" s="282"/>
      <c r="E26" s="285"/>
      <c r="F26" s="283"/>
      <c r="G26" s="287"/>
    </row>
    <row r="27" spans="1:7" s="258" customFormat="1" ht="24.75">
      <c r="A27" s="299" t="s">
        <v>2370</v>
      </c>
      <c r="B27" s="288" t="s">
        <v>2371</v>
      </c>
      <c r="C27" s="289">
        <f ca="1">C28</f>
        <v>13230</v>
      </c>
      <c r="D27" s="279">
        <f ca="1">C29</f>
        <v>1.6000000000000001E-3</v>
      </c>
      <c r="E27" s="280" t="s">
        <v>2372</v>
      </c>
      <c r="F27" s="290">
        <f ca="1">IF(B1="",'数据-取费表'!Q16,INDIRECT("'数据-取费表'!q"&amp;$G$1))</f>
        <v>0.16</v>
      </c>
      <c r="G27" s="291" t="s">
        <v>2373</v>
      </c>
    </row>
    <row r="28" spans="1:7" s="258" customFormat="1" ht="13.5" customHeight="1">
      <c r="A28" s="954" t="s">
        <v>791</v>
      </c>
      <c r="B28" s="292" t="s">
        <v>2374</v>
      </c>
      <c r="C28" s="293">
        <f ca="1">ROUND((C5+C19+C20)*F27*'数据-取费表'!B21/'数据-取费表'!B20,0)</f>
        <v>13230</v>
      </c>
      <c r="D28" s="279"/>
      <c r="E28" s="280"/>
      <c r="F28" s="290"/>
      <c r="G28" s="291"/>
    </row>
    <row r="29" spans="1:7" s="258" customFormat="1" ht="13.5" customHeight="1">
      <c r="A29" s="954" t="s">
        <v>792</v>
      </c>
      <c r="B29" s="292" t="s">
        <v>2375</v>
      </c>
      <c r="C29" s="282">
        <f ca="1">ROUND(C21*F27*'数据-取费表'!B21/'数据-取费表'!B20,4)</f>
        <v>1.6000000000000001E-3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205984</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22321</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19702</v>
      </c>
      <c r="D34" s="261"/>
      <c r="E34" s="264"/>
      <c r="F34" s="301">
        <f ca="1">IF('数据-取费表'!B24=0,1,IF(B1="",'数据-取费表'!N16,INDIRECT("'数据-取费表'!n"&amp;$G$1)))</f>
        <v>0.47899999999999998</v>
      </c>
      <c r="G34" s="263" t="s">
        <v>2384</v>
      </c>
    </row>
    <row r="35" spans="1:7" ht="13.5" customHeight="1">
      <c r="A35" s="954" t="s">
        <v>796</v>
      </c>
      <c r="B35" s="259" t="s">
        <v>2385</v>
      </c>
      <c r="C35" s="264">
        <f ca="1">ROUND(C34*F35,0)</f>
        <v>591</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492</v>
      </c>
      <c r="D36" s="264"/>
      <c r="E36" s="264"/>
      <c r="F36" s="303">
        <f>'数据-取费表'!B34</f>
        <v>0.03</v>
      </c>
      <c r="G36" s="304" t="s">
        <v>2388</v>
      </c>
    </row>
    <row r="37" spans="1:7" s="302" customFormat="1" ht="13.5" customHeight="1">
      <c r="A37" s="954" t="s">
        <v>798</v>
      </c>
      <c r="B37" s="259" t="s">
        <v>2389</v>
      </c>
      <c r="C37" s="293">
        <f ca="1">ROUND(E37*D37*F34/10000,0)</f>
        <v>1240</v>
      </c>
      <c r="D37" s="261">
        <f ca="1">D19</f>
        <v>143860.73000000001</v>
      </c>
      <c r="E37" s="293">
        <f>'数据-取费表'!B35</f>
        <v>180</v>
      </c>
      <c r="F37" s="303"/>
      <c r="G37" s="305" t="s">
        <v>2390</v>
      </c>
    </row>
    <row r="38" spans="1:7" ht="13.5" customHeight="1">
      <c r="A38" s="954" t="s">
        <v>799</v>
      </c>
      <c r="B38" s="259" t="s">
        <v>2391</v>
      </c>
      <c r="C38" s="264">
        <f ca="1">ROUND(C34*F38,0)</f>
        <v>296</v>
      </c>
      <c r="D38" s="264"/>
      <c r="E38" s="264"/>
      <c r="F38" s="303">
        <f>'数据-取费表'!B36</f>
        <v>1.4999999999999999E-2</v>
      </c>
      <c r="G38" s="263" t="s">
        <v>2386</v>
      </c>
    </row>
    <row r="39" spans="1:7" s="258" customFormat="1" ht="13.5" customHeight="1">
      <c r="A39" s="299" t="s">
        <v>2392</v>
      </c>
      <c r="B39" s="254" t="s">
        <v>2393</v>
      </c>
      <c r="C39" s="276">
        <f ca="1">ROUND(C33*F20,0)</f>
        <v>446</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807</v>
      </c>
      <c r="D41" s="279">
        <f ca="1">C44</f>
        <v>6.9999999999999999E-4</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791</v>
      </c>
      <c r="D42" s="282"/>
      <c r="E42" s="282"/>
      <c r="F42" s="283"/>
      <c r="G42" s="3189" t="s">
        <v>2402</v>
      </c>
    </row>
    <row r="43" spans="1:7" ht="13.5" customHeight="1">
      <c r="A43" s="954" t="s">
        <v>792</v>
      </c>
      <c r="B43" s="259" t="s">
        <v>2403</v>
      </c>
      <c r="C43" s="282">
        <f ca="1">ROUND(IF('数据-取费表'!B22&lt;=1,C39*F22*'数据-取费表'!B21/2,C39*(POWER((1+F22),'数据-取费表'!B21/2)-1)),0)</f>
        <v>16</v>
      </c>
      <c r="D43" s="282"/>
      <c r="E43" s="282"/>
      <c r="F43" s="283"/>
      <c r="G43" s="3190"/>
    </row>
    <row r="44" spans="1:7" ht="13.5" customHeight="1">
      <c r="A44" s="954" t="s">
        <v>793</v>
      </c>
      <c r="B44" s="259" t="s">
        <v>2404</v>
      </c>
      <c r="C44" s="282">
        <f ca="1">ROUND(IF('数据-取费表'!B22&lt;=1,C40*F22*'数据-取费表'!B21/2,C40*(POWER((1+F22),'数据-取费表'!B21/2)-1)),4)</f>
        <v>6.9999999999999999E-4</v>
      </c>
      <c r="D44" s="282"/>
      <c r="E44" s="282"/>
      <c r="F44" s="283"/>
      <c r="G44" s="3191"/>
    </row>
    <row r="45" spans="1:7" s="258" customFormat="1" ht="13.5" customHeight="1">
      <c r="A45" s="299" t="s">
        <v>2405</v>
      </c>
      <c r="B45" s="288" t="s">
        <v>2371</v>
      </c>
      <c r="C45" s="289">
        <f ca="1">C46</f>
        <v>3643</v>
      </c>
      <c r="D45" s="279">
        <f ca="1">C47</f>
        <v>3.2000000000000002E-3</v>
      </c>
      <c r="E45" s="280" t="s">
        <v>2397</v>
      </c>
      <c r="F45" s="290"/>
      <c r="G45" s="291" t="s">
        <v>2406</v>
      </c>
    </row>
    <row r="46" spans="1:7" s="258" customFormat="1" ht="13.5" customHeight="1">
      <c r="A46" s="954" t="s">
        <v>791</v>
      </c>
      <c r="B46" s="292" t="s">
        <v>2407</v>
      </c>
      <c r="C46" s="293">
        <f ca="1">ROUND((C33+C39)*F27,0)</f>
        <v>3643</v>
      </c>
      <c r="D46" s="307"/>
      <c r="E46" s="280"/>
      <c r="F46" s="290"/>
      <c r="G46" s="291"/>
    </row>
    <row r="47" spans="1:7" s="258" customFormat="1" ht="13.5" customHeight="1">
      <c r="A47" s="954" t="s">
        <v>792</v>
      </c>
      <c r="B47" s="292" t="s">
        <v>2408</v>
      </c>
      <c r="C47" s="282">
        <f ca="1">ROUND(C40*F27,4)</f>
        <v>3.2000000000000002E-3</v>
      </c>
      <c r="D47" s="307"/>
      <c r="E47" s="280"/>
      <c r="F47" s="290"/>
      <c r="G47" s="291"/>
    </row>
    <row r="48" spans="1:7" s="258" customFormat="1" ht="13.5" customHeight="1">
      <c r="A48" s="299" t="s">
        <v>2370</v>
      </c>
      <c r="B48" s="254" t="s">
        <v>2409</v>
      </c>
      <c r="C48" s="1731">
        <f>ROUND(F30/(1+'数据-取费表'!C42),4)</f>
        <v>5.33E-2</v>
      </c>
      <c r="D48" s="280" t="s">
        <v>2397</v>
      </c>
      <c r="E48" s="276"/>
      <c r="F48" s="281"/>
      <c r="G48" s="278" t="s">
        <v>2410</v>
      </c>
    </row>
    <row r="49" spans="1:7" ht="16.5" customHeight="1">
      <c r="A49" s="299" t="s">
        <v>2376</v>
      </c>
      <c r="B49" s="254" t="s">
        <v>2411</v>
      </c>
      <c r="C49" s="276">
        <f ca="1">ROUND((C33+C39+C41+C45)/(1-C40-D41-D45-C48),0)</f>
        <v>29494</v>
      </c>
      <c r="D49" s="276"/>
      <c r="E49" s="276"/>
      <c r="F49" s="308"/>
      <c r="G49" s="278" t="s">
        <v>2412</v>
      </c>
    </row>
    <row r="50" spans="1:7" s="302" customFormat="1" ht="24">
      <c r="A50" s="299" t="s">
        <v>2413</v>
      </c>
      <c r="B50" s="254" t="s">
        <v>2414</v>
      </c>
      <c r="C50" s="276"/>
      <c r="D50" s="276"/>
      <c r="E50" s="276"/>
      <c r="F50" s="308">
        <f>IF('数据-取费表'!B24=0,'数据-取费表'!N16,1)</f>
        <v>1</v>
      </c>
      <c r="G50" s="291" t="s">
        <v>2415</v>
      </c>
    </row>
    <row r="51" spans="1:7" ht="16.5" customHeight="1">
      <c r="A51" s="299" t="s">
        <v>2416</v>
      </c>
      <c r="B51" s="254" t="s">
        <v>2417</v>
      </c>
      <c r="C51" s="276">
        <f ca="1">ROUND(C49*F50,0)</f>
        <v>29494</v>
      </c>
      <c r="D51" s="276"/>
      <c r="E51" s="276"/>
      <c r="F51" s="308"/>
      <c r="G51" s="278" t="s">
        <v>2418</v>
      </c>
    </row>
    <row r="52" spans="1:7" s="252" customFormat="1" ht="16.5" thickBot="1">
      <c r="A52" s="309" t="s">
        <v>2419</v>
      </c>
      <c r="B52" s="310"/>
      <c r="C52" s="311">
        <f ca="1">C31+C51</f>
        <v>235478</v>
      </c>
      <c r="D52" s="310"/>
      <c r="E52" s="310"/>
      <c r="F52" s="310"/>
      <c r="G52" s="312"/>
    </row>
    <row r="55" spans="1:7" ht="15">
      <c r="B55" s="314" t="s">
        <v>2420</v>
      </c>
      <c r="C55" s="315"/>
    </row>
    <row r="56" spans="1:7">
      <c r="B56" s="317" t="s">
        <v>1509</v>
      </c>
      <c r="C56" s="319">
        <f ca="1">1-C57</f>
        <v>0.875</v>
      </c>
    </row>
    <row r="57" spans="1:7">
      <c r="B57" s="317" t="s">
        <v>1510</v>
      </c>
      <c r="C57" s="318">
        <f ca="1">ROUND(C51/C52,3)</f>
        <v>0.125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9" t="s">
        <v>2421</v>
      </c>
      <c r="D1" s="242"/>
      <c r="E1" s="242"/>
      <c r="F1" s="242"/>
      <c r="G1" s="1382">
        <f>MATCH(B1,'数据-取费表'!A6:A16,0)+5</f>
        <v>8</v>
      </c>
      <c r="H1" s="1285" t="str">
        <f>IF(ISERROR(FIND("住宅",B1)),"非住宅","住宅")</f>
        <v>非住宅</v>
      </c>
    </row>
    <row r="2" spans="1:8" s="244" customFormat="1" ht="18" customHeight="1">
      <c r="A2" s="245" t="s">
        <v>2320</v>
      </c>
      <c r="B2" s="246">
        <f ca="1">ROUND(IF(D2="——",C52/10000,C52/10000-E2),0)</f>
        <v>66401</v>
      </c>
      <c r="C2" s="243" t="s">
        <v>2321</v>
      </c>
      <c r="D2" s="2553" t="s">
        <v>70</v>
      </c>
      <c r="E2" s="1443" t="e">
        <f ca="1">SUMIF(INDIRECT("'"&amp;G2&amp;"'"&amp;"!A:A"),"承租人权益价值",INDIRECT("'"&amp;G2&amp;"'"&amp;"!c:c"))</f>
        <v>#REF!</v>
      </c>
      <c r="F2" s="2554" t="s">
        <v>2321</v>
      </c>
      <c r="G2" s="2555"/>
    </row>
    <row r="3" spans="1:8" s="244" customFormat="1" ht="18" customHeight="1" thickBot="1">
      <c r="A3" s="247" t="s">
        <v>2322</v>
      </c>
      <c r="B3" s="248">
        <f ca="1">ROUND(B2*10000/(IF(B1="",'数据-汇总表'!E3,INDIRECT("'数据-取费表'!k"&amp;$G$1))),0)</f>
        <v>4616</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7912340</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7912340</v>
      </c>
      <c r="D8" s="266"/>
      <c r="E8" s="264"/>
      <c r="F8" s="265"/>
      <c r="G8" s="2556"/>
    </row>
    <row r="9" spans="1:8" s="258" customFormat="1" ht="13.5" customHeight="1">
      <c r="A9" s="953" t="s">
        <v>800</v>
      </c>
      <c r="B9" s="268" t="s">
        <v>2336</v>
      </c>
      <c r="C9" s="269">
        <f ca="1">ROUND(D9*E9,0)</f>
        <v>6530731</v>
      </c>
      <c r="D9" s="1035">
        <f ca="1">IF(B1="",'数据-汇总表'!E5,IF(INDIRECT("'数据-取费表'!c"&amp;$G$1)="住宅",INDIRECT("'数据-取费表'!k"&amp;$G$1),0))</f>
        <v>118740.57</v>
      </c>
      <c r="E9" s="269">
        <f>'数据-取费表'!B27</f>
        <v>55</v>
      </c>
      <c r="F9" s="265"/>
      <c r="G9" s="270"/>
    </row>
    <row r="10" spans="1:8" s="258" customFormat="1" ht="13.5" customHeight="1">
      <c r="A10" s="953" t="s">
        <v>801</v>
      </c>
      <c r="B10" s="268" t="s">
        <v>2338</v>
      </c>
      <c r="C10" s="269">
        <f ca="1">ROUND(D10*E10,0)</f>
        <v>1381609</v>
      </c>
      <c r="D10" s="1035">
        <f ca="1">IF(B1="",'数据-汇总表'!E6,IF(INDIRECT("'数据-取费表'!c"&amp;$G$1)="住宅",INDIRECT("'数据-取费表'!s"&amp;$G$1),INDIRECT("'数据-取费表'!k"&amp;$G$1)+INDIRECT("'数据-取费表'!s"&amp;$G$1)))</f>
        <v>25120.160000000003</v>
      </c>
      <c r="E10" s="269">
        <f>'数据-取费表'!B28</f>
        <v>55</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11508858</v>
      </c>
      <c r="D19" s="1039">
        <f ca="1">D9+D10</f>
        <v>143860.73000000001</v>
      </c>
      <c r="E19" s="255">
        <f>'数据-取费表'!B31</f>
        <v>80</v>
      </c>
      <c r="F19" s="275"/>
      <c r="G19" s="2556"/>
    </row>
    <row r="20" spans="1:7" s="258" customFormat="1" ht="13.5" customHeight="1">
      <c r="A20" s="299" t="s">
        <v>2432</v>
      </c>
      <c r="B20" s="254" t="s">
        <v>2433</v>
      </c>
      <c r="C20" s="276">
        <f ca="1">ROUND((C5+C19)*F20,0)</f>
        <v>388424</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2929060</v>
      </c>
      <c r="D22" s="279">
        <f ca="1">C26</f>
        <v>1.4E-3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1181913</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1719146</v>
      </c>
      <c r="D24" s="282"/>
      <c r="E24" s="282"/>
      <c r="F24" s="283"/>
      <c r="G24" s="284" t="s">
        <v>2444</v>
      </c>
    </row>
    <row r="25" spans="1:7" s="258" customFormat="1" ht="24">
      <c r="A25" s="954" t="s">
        <v>2334</v>
      </c>
      <c r="B25" s="259" t="s">
        <v>2445</v>
      </c>
      <c r="C25" s="1384">
        <f ca="1">ROUND(IF('数据-取费表'!B22&lt;=1,C20*F22*'数据-取费表'!B22/2,C20*(POWER((1+F22),'数据-取费表'!B22/2)-1)),0)</f>
        <v>28001</v>
      </c>
      <c r="D25" s="282"/>
      <c r="E25" s="285"/>
      <c r="F25" s="283"/>
      <c r="G25" s="286" t="s">
        <v>2446</v>
      </c>
    </row>
    <row r="26" spans="1:7" s="258" customFormat="1">
      <c r="A26" s="954" t="s">
        <v>795</v>
      </c>
      <c r="B26" s="259" t="s">
        <v>2369</v>
      </c>
      <c r="C26" s="282">
        <f ca="1">ROUND(IF('数据-取费表'!B22&lt;=1,F21*F22*'数据-取费表'!B22/2,F21*(POWER((1+F22),'数据-取费表'!B22/2)-1)),4)</f>
        <v>1.4E-3</v>
      </c>
      <c r="D26" s="282"/>
      <c r="E26" s="285"/>
      <c r="F26" s="283"/>
      <c r="G26" s="287"/>
    </row>
    <row r="27" spans="1:7" s="258" customFormat="1" ht="24.75">
      <c r="A27" s="299" t="s">
        <v>2370</v>
      </c>
      <c r="B27" s="288" t="s">
        <v>2371</v>
      </c>
      <c r="C27" s="289">
        <f ca="1">C28</f>
        <v>3169540</v>
      </c>
      <c r="D27" s="279">
        <f ca="1">C29</f>
        <v>3.2000000000000002E-3</v>
      </c>
      <c r="E27" s="280" t="s">
        <v>2372</v>
      </c>
      <c r="F27" s="290">
        <f ca="1">IF(B1="",'数据-取费表'!Q16,INDIRECT("'数据-取费表'!q"&amp;$G$1))</f>
        <v>0.16</v>
      </c>
      <c r="G27" s="291" t="s">
        <v>2373</v>
      </c>
    </row>
    <row r="28" spans="1:7" s="258" customFormat="1" ht="13.5" customHeight="1">
      <c r="A28" s="954" t="s">
        <v>791</v>
      </c>
      <c r="B28" s="292" t="s">
        <v>2374</v>
      </c>
      <c r="C28" s="293">
        <f ca="1">ROUND((C5+C19+C20)*F27,0)</f>
        <v>3169540</v>
      </c>
      <c r="D28" s="279"/>
      <c r="E28" s="280"/>
      <c r="F28" s="290"/>
      <c r="G28" s="291"/>
    </row>
    <row r="29" spans="1:7" s="258" customFormat="1" ht="13.5" customHeight="1">
      <c r="A29" s="954" t="s">
        <v>792</v>
      </c>
      <c r="B29" s="292" t="s">
        <v>2375</v>
      </c>
      <c r="C29" s="282">
        <f ca="1">ROUND(C21*F27,4)</f>
        <v>3.2000000000000002E-3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28096976</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466584517</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411486062</v>
      </c>
      <c r="D34" s="261"/>
      <c r="E34" s="264"/>
      <c r="F34" s="301"/>
      <c r="G34" s="263"/>
    </row>
    <row r="35" spans="1:7" ht="13.5" customHeight="1">
      <c r="A35" s="954" t="s">
        <v>796</v>
      </c>
      <c r="B35" s="259" t="s">
        <v>2385</v>
      </c>
      <c r="C35" s="264">
        <f ca="1">ROUND(C34*F35,0)</f>
        <v>12344582</v>
      </c>
      <c r="D35" s="264"/>
      <c r="E35" s="264"/>
      <c r="F35" s="303">
        <f>'数据-取费表'!B33</f>
        <v>0.03</v>
      </c>
      <c r="G35" s="263" t="s">
        <v>2386</v>
      </c>
    </row>
    <row r="36" spans="1:7" ht="24">
      <c r="A36" s="954" t="s">
        <v>797</v>
      </c>
      <c r="B36" s="259" t="s">
        <v>2387</v>
      </c>
      <c r="C36" s="264">
        <f ca="1">ROUND(IF(B1="",SUM('数据-取费表'!AP6:AP13)*F36,IF(INDIRECT("'数据-取费表'!c"&amp;$G$1)="住宅",INDIRECT("'数据-取费表'!k"&amp;$G$1)*INDIRECT("'数据-取费表'!l"&amp;$G$1)*F36,0)),0)</f>
        <v>10686651</v>
      </c>
      <c r="D36" s="264"/>
      <c r="E36" s="264"/>
      <c r="F36" s="303">
        <f>'数据-取费表'!B34</f>
        <v>0.03</v>
      </c>
      <c r="G36" s="304" t="s">
        <v>2388</v>
      </c>
    </row>
    <row r="37" spans="1:7" s="302" customFormat="1" ht="13.5" customHeight="1">
      <c r="A37" s="954" t="s">
        <v>798</v>
      </c>
      <c r="B37" s="259" t="s">
        <v>2389</v>
      </c>
      <c r="C37" s="293">
        <f ca="1">ROUND(E37*D37,0)</f>
        <v>25894931</v>
      </c>
      <c r="D37" s="261">
        <f ca="1">D19</f>
        <v>143860.73000000001</v>
      </c>
      <c r="E37" s="293">
        <f>'数据-取费表'!B35</f>
        <v>180</v>
      </c>
      <c r="F37" s="303"/>
      <c r="G37" s="305"/>
    </row>
    <row r="38" spans="1:7" ht="13.5" customHeight="1">
      <c r="A38" s="954" t="s">
        <v>799</v>
      </c>
      <c r="B38" s="259" t="s">
        <v>2391</v>
      </c>
      <c r="C38" s="264">
        <f ca="1">ROUND(C34*F38,0)</f>
        <v>6172291</v>
      </c>
      <c r="D38" s="264"/>
      <c r="E38" s="264"/>
      <c r="F38" s="303">
        <f>'数据-取费表'!B36</f>
        <v>1.4999999999999999E-2</v>
      </c>
      <c r="G38" s="263" t="s">
        <v>2386</v>
      </c>
    </row>
    <row r="39" spans="1:7" s="258" customFormat="1" ht="13.5" customHeight="1">
      <c r="A39" s="299" t="s">
        <v>2392</v>
      </c>
      <c r="B39" s="254" t="s">
        <v>2393</v>
      </c>
      <c r="C39" s="276">
        <f ca="1">ROUND(C33*F20,0)</f>
        <v>9331690</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34308567</v>
      </c>
      <c r="D41" s="279">
        <f ca="1">C44</f>
        <v>1.4E-3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33635850</v>
      </c>
      <c r="D42" s="282"/>
      <c r="E42" s="282"/>
      <c r="F42" s="283"/>
      <c r="G42" s="3189" t="s">
        <v>2449</v>
      </c>
    </row>
    <row r="43" spans="1:7" ht="13.5" customHeight="1">
      <c r="A43" s="954" t="s">
        <v>792</v>
      </c>
      <c r="B43" s="259" t="s">
        <v>2403</v>
      </c>
      <c r="C43" s="282">
        <f ca="1">ROUND(IF('数据-取费表'!B22&lt;=1,C39*F22*'数据-取费表'!B20/2,C39*(POWER((1+F22),'数据-取费表'!B20/2)-1)),0)</f>
        <v>672717</v>
      </c>
      <c r="D43" s="282"/>
      <c r="E43" s="282"/>
      <c r="F43" s="283"/>
      <c r="G43" s="3190"/>
    </row>
    <row r="44" spans="1:7" ht="13.5" customHeight="1">
      <c r="A44" s="954" t="s">
        <v>793</v>
      </c>
      <c r="B44" s="259" t="s">
        <v>2404</v>
      </c>
      <c r="C44" s="282">
        <f ca="1">ROUND(IF('数据-取费表'!B22&lt;=1,C40*F22*'数据-取费表'!B20/2,C40*(POWER((1+F22),'数据-取费表'!B20/2)-1)),4)</f>
        <v>1.4E-3</v>
      </c>
      <c r="D44" s="282"/>
      <c r="E44" s="282"/>
      <c r="F44" s="283"/>
      <c r="G44" s="3191"/>
    </row>
    <row r="45" spans="1:7" s="258" customFormat="1" ht="13.5" customHeight="1">
      <c r="A45" s="299" t="s">
        <v>2405</v>
      </c>
      <c r="B45" s="288" t="s">
        <v>2371</v>
      </c>
      <c r="C45" s="289">
        <f ca="1">C46</f>
        <v>76146593</v>
      </c>
      <c r="D45" s="279">
        <f ca="1">C47</f>
        <v>3.2000000000000002E-3</v>
      </c>
      <c r="E45" s="280" t="s">
        <v>2397</v>
      </c>
      <c r="F45" s="290"/>
      <c r="G45" s="291" t="s">
        <v>2406</v>
      </c>
    </row>
    <row r="46" spans="1:7" s="258" customFormat="1" ht="13.5" customHeight="1">
      <c r="A46" s="954" t="s">
        <v>791</v>
      </c>
      <c r="B46" s="292" t="s">
        <v>2407</v>
      </c>
      <c r="C46" s="293">
        <f ca="1">ROUND((C33+C39)*F27,0)</f>
        <v>76146593</v>
      </c>
      <c r="D46" s="307"/>
      <c r="E46" s="280"/>
      <c r="F46" s="290"/>
      <c r="G46" s="291"/>
    </row>
    <row r="47" spans="1:7" s="258" customFormat="1" ht="13.5" customHeight="1">
      <c r="A47" s="954" t="s">
        <v>792</v>
      </c>
      <c r="B47" s="292" t="s">
        <v>2408</v>
      </c>
      <c r="C47" s="282">
        <f ca="1">ROUND(C40*F27,4)</f>
        <v>3.2000000000000002E-3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635908651</v>
      </c>
      <c r="D49" s="276"/>
      <c r="E49" s="276"/>
      <c r="F49" s="308"/>
      <c r="G49" s="278" t="s">
        <v>2412</v>
      </c>
    </row>
    <row r="50" spans="1:7" s="302" customFormat="1">
      <c r="A50" s="299" t="s">
        <v>2413</v>
      </c>
      <c r="B50" s="254" t="s">
        <v>2414</v>
      </c>
      <c r="C50" s="276"/>
      <c r="D50" s="276"/>
      <c r="E50" s="276"/>
      <c r="F50" s="308">
        <f>IF('数据-取费表'!B24=0,'数据-取费表'!N16,1)</f>
        <v>1</v>
      </c>
      <c r="G50" s="291"/>
    </row>
    <row r="51" spans="1:7" ht="16.5" customHeight="1">
      <c r="A51" s="299" t="s">
        <v>2416</v>
      </c>
      <c r="B51" s="254" t="s">
        <v>2451</v>
      </c>
      <c r="C51" s="276">
        <f ca="1">ROUND(C49*F50,0)</f>
        <v>635908651</v>
      </c>
      <c r="D51" s="276"/>
      <c r="E51" s="276"/>
      <c r="F51" s="308"/>
      <c r="G51" s="278" t="s">
        <v>2418</v>
      </c>
    </row>
    <row r="52" spans="1:7" s="252" customFormat="1" ht="16.5" thickBot="1">
      <c r="A52" s="309" t="s">
        <v>2419</v>
      </c>
      <c r="B52" s="310"/>
      <c r="C52" s="311">
        <f ca="1">C31+C51</f>
        <v>664005627</v>
      </c>
      <c r="D52" s="310"/>
      <c r="E52" s="310"/>
      <c r="F52" s="310"/>
      <c r="G52" s="312"/>
    </row>
    <row r="55" spans="1:7" ht="15">
      <c r="B55" s="314" t="s">
        <v>2420</v>
      </c>
      <c r="C55" s="315"/>
    </row>
    <row r="56" spans="1:7">
      <c r="B56" s="317" t="s">
        <v>1509</v>
      </c>
      <c r="C56" s="319">
        <f ca="1">1-C57</f>
        <v>4.2000000000000037E-2</v>
      </c>
    </row>
    <row r="57" spans="1:7">
      <c r="B57" s="317" t="s">
        <v>1510</v>
      </c>
      <c r="C57" s="318">
        <f ca="1">ROUND(C51/C52,3)</f>
        <v>0.95799999999999996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8</v>
      </c>
    </row>
    <row r="2" spans="1:33" ht="18" customHeight="1">
      <c r="A2" s="245" t="s">
        <v>2320</v>
      </c>
      <c r="B2" s="248">
        <f ca="1">C32</f>
        <v>229894</v>
      </c>
      <c r="C2" s="320" t="s">
        <v>2453</v>
      </c>
      <c r="D2" s="320"/>
      <c r="E2" s="320"/>
      <c r="F2" s="320"/>
      <c r="G2" s="320"/>
      <c r="H2" s="320"/>
      <c r="I2" s="320"/>
      <c r="J2" s="320"/>
      <c r="K2" s="320"/>
    </row>
    <row r="3" spans="1:33" ht="18" customHeight="1" thickBot="1">
      <c r="A3" s="247" t="s">
        <v>2322</v>
      </c>
      <c r="B3" s="248">
        <f ca="1">ROUND(B2*10000/IF(C1="",'数据-汇总表'!E3,INDIRECT("'数据-取费表'!K"&amp;$K$1)),0)</f>
        <v>15980</v>
      </c>
      <c r="C3" s="320" t="s">
        <v>2454</v>
      </c>
      <c r="D3" s="320"/>
      <c r="E3" s="320"/>
      <c r="F3" s="320"/>
      <c r="G3" s="320"/>
      <c r="H3" s="320"/>
      <c r="I3" s="320"/>
      <c r="J3" s="320"/>
      <c r="K3" s="320"/>
    </row>
    <row r="4" spans="1:33" s="959" customFormat="1" ht="16.5" customHeight="1">
      <c r="A4" s="956" t="s">
        <v>2455</v>
      </c>
      <c r="B4" s="957"/>
      <c r="C4" s="999">
        <f>SUM(C8:K8)</f>
        <v>326406</v>
      </c>
      <c r="D4" s="957"/>
      <c r="E4" s="957"/>
      <c r="F4" s="957"/>
      <c r="G4" s="957"/>
      <c r="H4" s="957"/>
      <c r="I4" s="957"/>
      <c r="J4" s="957"/>
      <c r="K4" s="958"/>
    </row>
    <row r="5" spans="1:33" s="963" customFormat="1" ht="15">
      <c r="A5" s="960" t="s">
        <v>2456</v>
      </c>
      <c r="B5" s="961" t="s">
        <v>2457</v>
      </c>
      <c r="C5" s="2560" t="s">
        <v>3072</v>
      </c>
      <c r="D5" s="2560" t="s">
        <v>1373</v>
      </c>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v>22000</v>
      </c>
      <c r="D6" s="965">
        <v>28000</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118740.57</v>
      </c>
      <c r="D7" s="321">
        <f>SUMIF('数据-汇总表'!$C19:$C33,假设开发法!D5,'数据-汇总表'!$E19:$E33)</f>
        <v>23277.64</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2461</v>
      </c>
      <c r="B8" s="177" t="s">
        <v>2462</v>
      </c>
      <c r="C8" s="1000">
        <f>ROUND(C6*C7/10000,0)</f>
        <v>261229</v>
      </c>
      <c r="D8" s="1000">
        <f>ROUND(D6*D7/10000,0)</f>
        <v>65177</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1330</v>
      </c>
      <c r="B11" s="975" t="s">
        <v>2470</v>
      </c>
      <c r="C11" s="323">
        <f ca="1">IF(C1="",'数据-取费表'!P16,INDIRECT("'数据-取费表'!p"&amp;$K$1)+INDIRECT("'数据-取费表'!ar"&amp;$K$1))</f>
        <v>21446</v>
      </c>
      <c r="D11" s="976"/>
      <c r="E11" s="375"/>
      <c r="F11" s="977">
        <f ca="1">1-IF('数据-取费表'!B24=0,1,IF(C1="",'数据-取费表'!N16,INDIRECT("'数据-取费表'!n"&amp;$K$1)))</f>
        <v>0.52100000000000002</v>
      </c>
      <c r="G11" s="8"/>
      <c r="H11" s="971"/>
      <c r="I11" s="971"/>
      <c r="J11" s="971"/>
      <c r="K11" s="972"/>
    </row>
    <row r="12" spans="1:33" s="978" customFormat="1" ht="13.5" customHeight="1">
      <c r="A12" s="974" t="s">
        <v>1331</v>
      </c>
      <c r="B12" s="975" t="s">
        <v>2471</v>
      </c>
      <c r="C12" s="24">
        <f ca="1">ROUND(C11*F12,0)</f>
        <v>643</v>
      </c>
      <c r="D12" s="976"/>
      <c r="E12" s="375"/>
      <c r="F12" s="979">
        <f>'数据-取费表'!B33</f>
        <v>0.03</v>
      </c>
      <c r="G12" s="8" t="s">
        <v>2472</v>
      </c>
      <c r="H12" s="971"/>
      <c r="I12" s="971"/>
      <c r="J12" s="971"/>
      <c r="K12" s="972"/>
    </row>
    <row r="13" spans="1:33" s="978" customFormat="1" ht="13.5" customHeight="1">
      <c r="A13" s="974" t="s">
        <v>1332</v>
      </c>
      <c r="B13" s="975" t="s">
        <v>2473</v>
      </c>
      <c r="C13" s="24">
        <f ca="1">ROUND(IF(C1="",SUMIF('数据-取费表'!C:C,"住宅",'数据-取费表'!P:P)*F13,IF(INDIRECT("'数据-取费表'!c"&amp;$K$1)="住宅",INDIRECT("'数据-取费表'!P"&amp;$K$1)*F13,0)),0)</f>
        <v>577</v>
      </c>
      <c r="D13" s="1036"/>
      <c r="E13" s="375"/>
      <c r="F13" s="979">
        <f>'数据-取费表'!B34</f>
        <v>0.03</v>
      </c>
      <c r="G13" s="8" t="s">
        <v>2474</v>
      </c>
      <c r="H13" s="971"/>
      <c r="I13" s="971"/>
      <c r="J13" s="971"/>
      <c r="K13" s="972"/>
    </row>
    <row r="14" spans="1:33" s="980" customFormat="1" ht="13.5" customHeight="1">
      <c r="A14" s="974" t="s">
        <v>1333</v>
      </c>
      <c r="B14" s="975" t="s">
        <v>2475</v>
      </c>
      <c r="C14" s="24">
        <f ca="1">ROUND(D14*E14*F11/10000,0)</f>
        <v>1349</v>
      </c>
      <c r="D14" s="1036">
        <f ca="1">IF(C1="",'数据-汇总表'!E3,INDIRECT("'数据-取费表'!K"&amp;$K$1)+INDIRECT("'数据-取费表'!S"&amp;$K$1))</f>
        <v>143860.73000000001</v>
      </c>
      <c r="E14" s="24">
        <f>'数据-取费表'!B35</f>
        <v>180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2477</v>
      </c>
      <c r="C15" s="986">
        <f ca="1">ROUND(C11*F15,0)</f>
        <v>322</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24337</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1439</v>
      </c>
      <c r="D17" s="1036">
        <f ca="1">D14</f>
        <v>143860.73000000001</v>
      </c>
      <c r="E17" s="24">
        <f>'数据-取费表'!B32</f>
        <v>100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2482</v>
      </c>
      <c r="C18" s="24">
        <f ca="1">C19+C20-IF(C1="",'数据-取费表'!B29,IF(G18="已全部缴纳",C19+C20,H18))</f>
        <v>791</v>
      </c>
      <c r="D18" s="1036"/>
      <c r="E18" s="24"/>
      <c r="F18" s="979"/>
      <c r="G18" s="2562"/>
      <c r="H18" s="1580"/>
      <c r="I18" s="2563" t="s">
        <v>2483</v>
      </c>
      <c r="J18" s="982"/>
      <c r="K18" s="983"/>
    </row>
    <row r="19" spans="1:33" s="978" customFormat="1" ht="13.5" customHeight="1">
      <c r="A19" s="974" t="s">
        <v>805</v>
      </c>
      <c r="B19" s="975" t="s">
        <v>2484</v>
      </c>
      <c r="C19" s="24">
        <f ca="1">ROUND(D19*E19/10000,0)</f>
        <v>653</v>
      </c>
      <c r="D19" s="1036">
        <f ca="1">IF(C1="",'数据-汇总表'!E5,IF(INDIRECT("'数据-取费表'!c"&amp;$K$1)="住宅",INDIRECT("'数据-取费表'!k"&amp;$K$1),0))</f>
        <v>118740.57</v>
      </c>
      <c r="E19" s="24">
        <f>'数据-取费表'!B27</f>
        <v>55</v>
      </c>
      <c r="F19" s="979"/>
      <c r="G19" s="15"/>
      <c r="H19" s="1582"/>
      <c r="I19" s="984"/>
      <c r="J19" s="984"/>
      <c r="K19" s="985"/>
    </row>
    <row r="20" spans="1:33" s="978" customFormat="1" ht="13.5" customHeight="1">
      <c r="A20" s="974" t="s">
        <v>806</v>
      </c>
      <c r="B20" s="975" t="s">
        <v>2485</v>
      </c>
      <c r="C20" s="24">
        <f ca="1">ROUND(D20*E20/10000,0)</f>
        <v>138</v>
      </c>
      <c r="D20" s="1036">
        <f ca="1">IF(C1="",'数据-汇总表'!E6,IF(INDIRECT("'数据-取费表'!c"&amp;$K$1)="住宅",INDIRECT("'数据-取费表'!s"&amp;$K$1),INDIRECT("'数据-取费表'!k"&amp;$K$1)+INDIRECT("'数据-取费表'!s"&amp;$K$1)))</f>
        <v>25120.160000000003</v>
      </c>
      <c r="E20" s="24">
        <f>'数据-取费表'!B28</f>
        <v>55</v>
      </c>
      <c r="F20" s="979"/>
      <c r="G20" s="15"/>
      <c r="H20" s="984"/>
      <c r="I20" s="984"/>
      <c r="J20" s="984"/>
      <c r="K20" s="985"/>
    </row>
    <row r="21" spans="1:33" s="978" customFormat="1" ht="13.5" customHeight="1">
      <c r="A21" s="964" t="s">
        <v>802</v>
      </c>
      <c r="B21" s="988" t="s">
        <v>2486</v>
      </c>
      <c r="C21" s="989">
        <f ca="1">C16+C17+C18</f>
        <v>26567</v>
      </c>
      <c r="D21" s="990"/>
      <c r="E21" s="325"/>
      <c r="F21" s="325"/>
      <c r="G21" s="140" t="s">
        <v>2487</v>
      </c>
      <c r="H21" s="982"/>
      <c r="I21" s="982"/>
      <c r="J21" s="982"/>
      <c r="K21" s="983"/>
    </row>
    <row r="22" spans="1:33" s="978" customFormat="1" ht="13.5" customHeight="1">
      <c r="A22" s="964" t="s">
        <v>2459</v>
      </c>
      <c r="B22" s="988" t="s">
        <v>2488</v>
      </c>
      <c r="C22" s="989">
        <f ca="1">ROUND(C21*F22,0)</f>
        <v>531</v>
      </c>
      <c r="D22" s="325"/>
      <c r="E22" s="325"/>
      <c r="F22" s="991">
        <f>'数据-取费表'!B37</f>
        <v>0.02</v>
      </c>
      <c r="G22" s="8" t="s">
        <v>2489</v>
      </c>
      <c r="H22" s="971"/>
      <c r="I22" s="971"/>
      <c r="J22" s="971"/>
      <c r="K22" s="972"/>
    </row>
    <row r="23" spans="1:33" s="978" customFormat="1" ht="13.5" customHeight="1">
      <c r="A23" s="964" t="s">
        <v>2461</v>
      </c>
      <c r="B23" s="988" t="s">
        <v>2490</v>
      </c>
      <c r="C23" s="989">
        <f ca="1">ROUND(C4*F23*F11,0)</f>
        <v>3401</v>
      </c>
      <c r="D23" s="325"/>
      <c r="E23" s="325"/>
      <c r="F23" s="991">
        <f>'数据-取费表'!B38</f>
        <v>0.02</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1080</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7.4200000000000002E-2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1080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2499</v>
      </c>
      <c r="B28" s="2565" t="s">
        <v>2500</v>
      </c>
      <c r="C28" s="331">
        <f ca="1">C30</f>
        <v>4880</v>
      </c>
      <c r="D28" s="324">
        <f ca="1">C29</f>
        <v>8.2299999999999998E-2</v>
      </c>
      <c r="E28" s="326" t="s">
        <v>15</v>
      </c>
      <c r="F28" s="332">
        <f ca="1">IF(C1="",'数据-取费表'!Q16,INDIRECT("'数据-取费表'!q"&amp;$K$1))</f>
        <v>0.16</v>
      </c>
      <c r="G28" s="992"/>
      <c r="H28" s="993"/>
      <c r="I28" s="993"/>
      <c r="J28" s="993"/>
      <c r="K28" s="994"/>
    </row>
    <row r="29" spans="1:33" s="335" customFormat="1" ht="13.5" customHeight="1">
      <c r="A29" s="974" t="s">
        <v>803</v>
      </c>
      <c r="B29" s="997" t="s">
        <v>2501</v>
      </c>
      <c r="C29" s="328">
        <f ca="1">ROUND((1+C24)*F28*'数据-取费表'!B24/'数据-取费表'!B20,4)</f>
        <v>8.2299999999999998E-2</v>
      </c>
      <c r="D29" s="328"/>
      <c r="E29" s="329"/>
      <c r="F29" s="334"/>
      <c r="G29" s="140" t="s">
        <v>2502</v>
      </c>
      <c r="H29" s="982"/>
      <c r="I29" s="982"/>
      <c r="J29" s="982"/>
      <c r="K29" s="983"/>
    </row>
    <row r="30" spans="1:33" s="335" customFormat="1" ht="13.5" customHeight="1">
      <c r="A30" s="974" t="s">
        <v>804</v>
      </c>
      <c r="B30" s="997" t="s">
        <v>2503</v>
      </c>
      <c r="C30" s="336">
        <f ca="1">ROUND((C21+C22+C23)*F28,0)</f>
        <v>4880</v>
      </c>
      <c r="D30" s="328"/>
      <c r="E30" s="329"/>
      <c r="F30" s="334"/>
      <c r="G30" s="140"/>
      <c r="H30" s="982"/>
      <c r="I30" s="982"/>
      <c r="J30" s="982"/>
      <c r="K30" s="983"/>
    </row>
    <row r="31" spans="1:33" s="978" customFormat="1" ht="13.5" customHeight="1" thickBot="1">
      <c r="A31" s="2566" t="s">
        <v>2504</v>
      </c>
      <c r="B31" s="1008" t="s">
        <v>2505</v>
      </c>
      <c r="C31" s="1009">
        <f>ROUND(C4*F31/(1+'数据-取费表'!C42),0)</f>
        <v>17408</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229894</v>
      </c>
      <c r="D32" s="1004"/>
      <c r="E32" s="1004"/>
      <c r="F32" s="1004"/>
      <c r="G32" s="1006" t="s">
        <v>2508</v>
      </c>
      <c r="H32" s="1004"/>
      <c r="I32" s="1004"/>
      <c r="J32" s="1004"/>
      <c r="K32" s="1007"/>
    </row>
    <row r="34" s="955" customFormat="1"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4" t="s">
        <v>1399</v>
      </c>
      <c r="C6" s="1299">
        <f ca="1">ROUND(F6*F8*F7*(1-F9)/10000,0)</f>
        <v>0</v>
      </c>
      <c r="D6" s="164" t="s">
        <v>3024</v>
      </c>
      <c r="E6" s="347" t="s">
        <v>1401</v>
      </c>
      <c r="F6" s="348">
        <f ca="1">INDIRECT("'数据-取费表'!u"&amp;$G$1)</f>
        <v>0</v>
      </c>
      <c r="G6" s="1854"/>
      <c r="H6" s="1294" t="s">
        <v>1032</v>
      </c>
      <c r="I6" s="3194" t="s">
        <v>1399</v>
      </c>
      <c r="J6" s="346">
        <f ca="1">ROUND(M6*M8*M7*(1-M9)/10000,0)</f>
        <v>0</v>
      </c>
      <c r="K6" s="164" t="s">
        <v>3023</v>
      </c>
      <c r="L6" s="347" t="s">
        <v>1401</v>
      </c>
      <c r="M6" s="348">
        <f ca="1">INDIRECT("'数据-取费表'!z"&amp;$G$1)</f>
        <v>0</v>
      </c>
    </row>
    <row r="7" spans="1:37" ht="18" customHeight="1">
      <c r="A7" s="1298"/>
      <c r="B7" s="3195"/>
      <c r="C7" s="1300"/>
      <c r="D7" s="352"/>
      <c r="E7" s="1301" t="s">
        <v>1402</v>
      </c>
      <c r="F7" s="348">
        <f ca="1">IF(INDIRECT("'数据-取费表'!ah"&amp;$G$1)="",INDIRECT("'数据-取费表'!k"&amp;$G$1),INDIRECT("'数据-取费表'!ah"&amp;$G$1))</f>
        <v>0</v>
      </c>
      <c r="G7" s="1854"/>
      <c r="H7" s="349"/>
      <c r="I7" s="3195"/>
      <c r="J7" s="351"/>
      <c r="K7" s="352"/>
      <c r="L7" s="347" t="s">
        <v>1402</v>
      </c>
      <c r="M7" s="348">
        <f ca="1">F7</f>
        <v>0</v>
      </c>
    </row>
    <row r="8" spans="1:37" ht="18" customHeight="1">
      <c r="A8" s="349"/>
      <c r="B8" s="3195"/>
      <c r="C8" s="351"/>
      <c r="D8" s="352"/>
      <c r="E8" s="347" t="s">
        <v>1403</v>
      </c>
      <c r="F8" s="348">
        <f ca="1">INDIRECT("'数据-取费表'!ai"&amp;$G$1)</f>
        <v>0</v>
      </c>
      <c r="G8" s="1854"/>
      <c r="H8" s="349"/>
      <c r="I8" s="3195"/>
      <c r="J8" s="351"/>
      <c r="K8" s="352"/>
      <c r="L8" s="347" t="s">
        <v>1403</v>
      </c>
      <c r="M8" s="348">
        <f ca="1">INDIRECT("'数据-取费表'!ai"&amp;$G$1)</f>
        <v>0</v>
      </c>
    </row>
    <row r="9" spans="1:37" ht="18" customHeight="1">
      <c r="A9" s="349"/>
      <c r="B9" s="3196"/>
      <c r="C9" s="351"/>
      <c r="D9" s="352"/>
      <c r="E9" s="347" t="s">
        <v>1404</v>
      </c>
      <c r="F9" s="357">
        <f ca="1">INDIRECT("'数据-取费表'!w"&amp;$G$1)</f>
        <v>0</v>
      </c>
      <c r="G9" s="1854"/>
      <c r="H9" s="349"/>
      <c r="I9" s="319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3033</v>
      </c>
      <c r="E10" s="358" t="s">
        <v>1406</v>
      </c>
      <c r="F10" s="1369"/>
      <c r="G10" s="1854"/>
      <c r="H10" s="1294" t="s">
        <v>1036</v>
      </c>
      <c r="I10" s="1826" t="s">
        <v>1405</v>
      </c>
      <c r="J10" s="346">
        <f ca="1">ROUND(IF(M10="押一",J6/12*M11,IF(M10="押二",J6/12*2*M11,IF(M10="押三",J6/12*3*M11,J11*M11))),0)</f>
        <v>0</v>
      </c>
      <c r="K10" s="1827" t="s">
        <v>3032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180</v>
      </c>
      <c r="G17" s="1857"/>
      <c r="H17" s="1204" t="s">
        <v>1032</v>
      </c>
      <c r="I17" s="347" t="s">
        <v>1425</v>
      </c>
      <c r="J17" s="24">
        <f ca="1">ROUND(IF(项目基本情况!B11="自然人",J5*M17,J18+J19+J20),1)</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3025</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3032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92" t="s">
        <v>1544</v>
      </c>
      <c r="L53" s="3193"/>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v>
      </c>
      <c r="D62" s="1187" t="s">
        <v>1493</v>
      </c>
      <c r="E62" s="1172" t="s">
        <v>1494</v>
      </c>
      <c r="F62" s="371">
        <f t="shared" si="0"/>
        <v>8</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94" t="s">
        <v>1399</v>
      </c>
      <c r="C6" s="1299">
        <f ca="1">ROUND(F6*F8*F7*(1-F9),0)</f>
        <v>0</v>
      </c>
      <c r="D6" s="164" t="s">
        <v>3021</v>
      </c>
      <c r="E6" s="347" t="s">
        <v>1401</v>
      </c>
      <c r="F6" s="348">
        <f ca="1">INDIRECT("'数据-取费表'!u"&amp;$G$1)</f>
        <v>0</v>
      </c>
      <c r="G6" s="1854"/>
      <c r="H6" s="1294" t="s">
        <v>1032</v>
      </c>
      <c r="I6" s="3194" t="s">
        <v>1399</v>
      </c>
      <c r="J6" s="346">
        <f ca="1">ROUND(M6*M8*M7*(1-M9),0)</f>
        <v>0</v>
      </c>
      <c r="K6" s="1837" t="s">
        <v>3022</v>
      </c>
      <c r="L6" s="347" t="s">
        <v>1401</v>
      </c>
      <c r="M6" s="348">
        <f ca="1">INDIRECT("'数据-取费表'!z"&amp;$G$1)</f>
        <v>0</v>
      </c>
    </row>
    <row r="7" spans="1:37" ht="18" customHeight="1">
      <c r="A7" s="1298"/>
      <c r="B7" s="3195"/>
      <c r="C7" s="1300"/>
      <c r="D7" s="352"/>
      <c r="E7" s="1301" t="s">
        <v>1402</v>
      </c>
      <c r="F7" s="348">
        <f ca="1">IF(INDIRECT("'数据-取费表'!ah"&amp;$G$1)="",INDIRECT("'数据-取费表'!k"&amp;$G$1),INDIRECT("'数据-取费表'!ah"&amp;$G$1))</f>
        <v>0</v>
      </c>
      <c r="G7" s="1854"/>
      <c r="H7" s="349"/>
      <c r="I7" s="3195"/>
      <c r="J7" s="351"/>
      <c r="K7" s="352"/>
      <c r="L7" s="347" t="s">
        <v>1402</v>
      </c>
      <c r="M7" s="348">
        <f ca="1">F7</f>
        <v>0</v>
      </c>
    </row>
    <row r="8" spans="1:37" ht="18" customHeight="1">
      <c r="A8" s="349"/>
      <c r="B8" s="3195"/>
      <c r="C8" s="351"/>
      <c r="D8" s="352"/>
      <c r="E8" s="347" t="s">
        <v>1403</v>
      </c>
      <c r="F8" s="348">
        <f ca="1">INDIRECT("'数据-取费表'!ai"&amp;$G$1)</f>
        <v>0</v>
      </c>
      <c r="G8" s="1854"/>
      <c r="H8" s="349"/>
      <c r="I8" s="3195"/>
      <c r="J8" s="351"/>
      <c r="K8" s="352"/>
      <c r="L8" s="347" t="s">
        <v>1403</v>
      </c>
      <c r="M8" s="348">
        <f ca="1">INDIRECT("'数据-取费表'!ai"&amp;$G$1)</f>
        <v>0</v>
      </c>
    </row>
    <row r="9" spans="1:37" ht="18" customHeight="1">
      <c r="A9" s="349"/>
      <c r="B9" s="3196"/>
      <c r="C9" s="351"/>
      <c r="D9" s="352"/>
      <c r="E9" s="347" t="s">
        <v>1404</v>
      </c>
      <c r="F9" s="357">
        <f ca="1">INDIRECT("'数据-取费表'!w"&amp;$G$1)</f>
        <v>0</v>
      </c>
      <c r="G9" s="1854"/>
      <c r="H9" s="349"/>
      <c r="I9" s="319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92" t="s">
        <v>1544</v>
      </c>
      <c r="L53" s="3193"/>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8</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2516</v>
      </c>
      <c r="B1" s="2568"/>
      <c r="C1" s="2568"/>
      <c r="D1" s="2568"/>
      <c r="E1" s="2569"/>
    </row>
    <row r="2" spans="1:6" ht="15.75">
      <c r="A2" s="2570" t="s">
        <v>2320</v>
      </c>
      <c r="B2" s="2571">
        <f ca="1">SUMIF(B6:B13,"&lt;&gt;#ref!",B6:B13)</f>
        <v>0</v>
      </c>
      <c r="C2" s="2572" t="s">
        <v>2509</v>
      </c>
      <c r="D2" s="2573" t="s">
        <v>2510</v>
      </c>
      <c r="E2" s="2574">
        <f>SUM(E6:E13)</f>
        <v>0</v>
      </c>
    </row>
    <row r="3" spans="1:6" ht="15.75">
      <c r="A3" s="2570" t="s">
        <v>1391</v>
      </c>
      <c r="B3" s="2571" t="e">
        <f ca="1">ROUND(B2*10000/E2,0)</f>
        <v>#DIV/0!</v>
      </c>
      <c r="C3" s="2572" t="s">
        <v>2517</v>
      </c>
      <c r="D3" s="2575"/>
      <c r="E3" s="2576"/>
    </row>
    <row r="4" spans="1:6" ht="15.75">
      <c r="A4" s="2577"/>
      <c r="B4" s="2575"/>
      <c r="C4" s="2575"/>
      <c r="D4" s="2575"/>
      <c r="E4" s="2576"/>
    </row>
    <row r="5" spans="1:6" ht="15">
      <c r="A5" s="2578" t="s">
        <v>2511</v>
      </c>
      <c r="B5" s="3197" t="s">
        <v>2512</v>
      </c>
      <c r="C5" s="3197"/>
      <c r="D5" s="2579"/>
      <c r="E5" s="2580" t="s">
        <v>2513</v>
      </c>
      <c r="F5" s="2581" t="s">
        <v>2514</v>
      </c>
    </row>
    <row r="6" spans="1:6">
      <c r="A6" s="2582">
        <f>'数据-取费表'!AN6</f>
        <v>0</v>
      </c>
      <c r="B6" s="2581" t="e">
        <f ca="1">IF(F6="是",'数据-取费表'!AO6,0)</f>
        <v>#REF!</v>
      </c>
      <c r="C6" s="2572" t="s">
        <v>2509</v>
      </c>
      <c r="D6" s="2575"/>
      <c r="E6" s="2583">
        <f>IF(OR(A6=0,F6="否"),0,'数据-取费表'!K6+'数据-取费表'!S6)</f>
        <v>0</v>
      </c>
      <c r="F6" s="2584" t="s">
        <v>2515</v>
      </c>
    </row>
    <row r="7" spans="1:6">
      <c r="A7" s="2582">
        <f>'数据-取费表'!AN7</f>
        <v>0</v>
      </c>
      <c r="B7" s="2581" t="e">
        <f ca="1">IF(F7="是",'数据-取费表'!AO7,0)</f>
        <v>#REF!</v>
      </c>
      <c r="C7" s="2572" t="s">
        <v>2509</v>
      </c>
      <c r="D7" s="2575"/>
      <c r="E7" s="2583">
        <f>IF(OR(A7=0,F7="否"),0,'数据-取费表'!K7+'数据-取费表'!S7)</f>
        <v>0</v>
      </c>
      <c r="F7" s="2584" t="s">
        <v>2515</v>
      </c>
    </row>
    <row r="8" spans="1:6">
      <c r="A8" s="2582">
        <f>'数据-取费表'!AN8</f>
        <v>0</v>
      </c>
      <c r="B8" s="2581" t="e">
        <f ca="1">IF(F8="是",'数据-取费表'!AO8,0)</f>
        <v>#REF!</v>
      </c>
      <c r="C8" s="2572" t="s">
        <v>2509</v>
      </c>
      <c r="D8" s="2575"/>
      <c r="E8" s="2583">
        <f>IF(OR(A8=0,F8="否"),0,'数据-取费表'!K8+'数据-取费表'!S8)</f>
        <v>0</v>
      </c>
      <c r="F8" s="2584" t="s">
        <v>2515</v>
      </c>
    </row>
    <row r="9" spans="1:6">
      <c r="A9" s="2582">
        <f>'数据-取费表'!AN9</f>
        <v>0</v>
      </c>
      <c r="B9" s="2581" t="e">
        <f ca="1">IF(F9="是",'数据-取费表'!AO9,0)</f>
        <v>#REF!</v>
      </c>
      <c r="C9" s="2572" t="s">
        <v>2509</v>
      </c>
      <c r="D9" s="2575"/>
      <c r="E9" s="2583">
        <f>IF(OR(A9=0,F9="否"),0,'数据-取费表'!K9+'数据-取费表'!S9)</f>
        <v>0</v>
      </c>
      <c r="F9" s="2584" t="s">
        <v>2515</v>
      </c>
    </row>
    <row r="10" spans="1:6">
      <c r="A10" s="2582">
        <f>'数据-取费表'!AN10</f>
        <v>0</v>
      </c>
      <c r="B10" s="2581" t="e">
        <f ca="1">IF(F10="是",'数据-取费表'!AO10,0)</f>
        <v>#REF!</v>
      </c>
      <c r="C10" s="2572" t="s">
        <v>2509</v>
      </c>
      <c r="D10" s="2575"/>
      <c r="E10" s="2583">
        <f>IF(OR(A10=0,F10="否"),0,'数据-取费表'!K10+'数据-取费表'!S10)</f>
        <v>0</v>
      </c>
      <c r="F10" s="2584" t="s">
        <v>2515</v>
      </c>
    </row>
    <row r="11" spans="1:6">
      <c r="A11" s="2582">
        <f>'数据-取费表'!AN11</f>
        <v>0</v>
      </c>
      <c r="B11" s="2581" t="e">
        <f ca="1">IF(F11="是",'数据-取费表'!AO11,0)</f>
        <v>#REF!</v>
      </c>
      <c r="C11" s="2572" t="s">
        <v>2509</v>
      </c>
      <c r="D11" s="2575"/>
      <c r="E11" s="2583">
        <f>IF(OR(A11=0,F11="否"),0,'数据-取费表'!K11+'数据-取费表'!S11)</f>
        <v>0</v>
      </c>
      <c r="F11" s="2584" t="s">
        <v>2515</v>
      </c>
    </row>
    <row r="12" spans="1:6">
      <c r="A12" s="2582">
        <f>'数据-取费表'!AN12</f>
        <v>0</v>
      </c>
      <c r="B12" s="2581" t="e">
        <f ca="1">IF(F12="是",'数据-取费表'!AO12,0)</f>
        <v>#REF!</v>
      </c>
      <c r="C12" s="2572" t="s">
        <v>2509</v>
      </c>
      <c r="D12" s="2575"/>
      <c r="E12" s="2583">
        <f>IF(OR(A12=0,F12="否"),0,'数据-取费表'!K12+'数据-取费表'!S12)</f>
        <v>0</v>
      </c>
      <c r="F12" s="2584" t="s">
        <v>2515</v>
      </c>
    </row>
    <row r="13" spans="1:6" ht="15" thickBot="1">
      <c r="A13" s="2585">
        <f>'数据-取费表'!AN13</f>
        <v>0</v>
      </c>
      <c r="B13" s="2581" t="e">
        <f ca="1">IF(F13="是",'数据-取费表'!AO13,0)</f>
        <v>#REF!</v>
      </c>
      <c r="C13" s="2586" t="s">
        <v>2509</v>
      </c>
      <c r="D13" s="2587"/>
      <c r="E13" s="2583">
        <f>IF(OR(A13=0,F13="否"),0,'数据-取费表'!K13+'数据-取费表'!S13)</f>
        <v>0</v>
      </c>
      <c r="F13" s="2584"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1073</v>
      </c>
      <c r="B1" s="3215"/>
      <c r="C1" s="3216"/>
      <c r="D1" s="3217">
        <f>SUM(I10,I15,I20,I21,I23)</f>
        <v>0</v>
      </c>
      <c r="E1" s="3217"/>
      <c r="F1" s="3217"/>
      <c r="G1" s="3217"/>
      <c r="H1" s="3217"/>
      <c r="I1" s="3218"/>
    </row>
    <row r="2" spans="1:9">
      <c r="A2" s="3204" t="s">
        <v>1074</v>
      </c>
      <c r="B2" s="3205" t="s">
        <v>1075</v>
      </c>
      <c r="C2" s="3205"/>
      <c r="D2" s="1304" t="s">
        <v>1076</v>
      </c>
      <c r="E2" s="1304" t="s">
        <v>1077</v>
      </c>
      <c r="F2" s="1304" t="s">
        <v>1078</v>
      </c>
      <c r="G2" s="1304" t="s">
        <v>1079</v>
      </c>
      <c r="H2" s="1304" t="s">
        <v>1080</v>
      </c>
      <c r="I2" s="1305" t="s">
        <v>1081</v>
      </c>
    </row>
    <row r="3" spans="1:9">
      <c r="A3" s="3204"/>
      <c r="B3" s="3205" t="s">
        <v>1082</v>
      </c>
      <c r="C3" s="3205"/>
      <c r="D3" s="1306"/>
      <c r="E3" s="1304"/>
      <c r="F3" s="1307"/>
      <c r="G3" s="1307"/>
      <c r="H3" s="1308"/>
      <c r="I3" s="1309">
        <f>ROUND(D3*E3*F3*G3*H3/10000,0)</f>
        <v>0</v>
      </c>
    </row>
    <row r="4" spans="1:9">
      <c r="A4" s="3204"/>
      <c r="B4" s="3205" t="s">
        <v>1083</v>
      </c>
      <c r="C4" s="3205"/>
      <c r="D4" s="1306"/>
      <c r="E4" s="1304"/>
      <c r="F4" s="1307"/>
      <c r="G4" s="1307"/>
      <c r="H4" s="1308"/>
      <c r="I4" s="1309">
        <f t="shared" ref="I4:I9" si="0">ROUND(D4*E4*F4*G4*H4/10000,0)</f>
        <v>0</v>
      </c>
    </row>
    <row r="5" spans="1:9">
      <c r="A5" s="3204"/>
      <c r="B5" s="3205" t="s">
        <v>1084</v>
      </c>
      <c r="C5" s="3205"/>
      <c r="D5" s="1306"/>
      <c r="E5" s="1304"/>
      <c r="F5" s="1307"/>
      <c r="G5" s="1307"/>
      <c r="H5" s="1308"/>
      <c r="I5" s="1309">
        <f t="shared" si="0"/>
        <v>0</v>
      </c>
    </row>
    <row r="6" spans="1:9">
      <c r="A6" s="3204"/>
      <c r="B6" s="3205" t="s">
        <v>1085</v>
      </c>
      <c r="C6" s="3205"/>
      <c r="D6" s="1306"/>
      <c r="E6" s="1304"/>
      <c r="F6" s="1307"/>
      <c r="G6" s="1307"/>
      <c r="H6" s="1308"/>
      <c r="I6" s="1309">
        <f t="shared" si="0"/>
        <v>0</v>
      </c>
    </row>
    <row r="7" spans="1:9">
      <c r="A7" s="3204"/>
      <c r="B7" s="3205" t="s">
        <v>1086</v>
      </c>
      <c r="C7" s="3205"/>
      <c r="D7" s="1306"/>
      <c r="E7" s="1304"/>
      <c r="F7" s="1307"/>
      <c r="G7" s="1307"/>
      <c r="H7" s="1308"/>
      <c r="I7" s="1309">
        <f t="shared" si="0"/>
        <v>0</v>
      </c>
    </row>
    <row r="8" spans="1:9">
      <c r="A8" s="3204"/>
      <c r="B8" s="3205" t="s">
        <v>1087</v>
      </c>
      <c r="C8" s="3205"/>
      <c r="D8" s="1306"/>
      <c r="E8" s="1304"/>
      <c r="F8" s="1307"/>
      <c r="G8" s="1307"/>
      <c r="H8" s="1308"/>
      <c r="I8" s="1309">
        <f t="shared" si="0"/>
        <v>0</v>
      </c>
    </row>
    <row r="9" spans="1:9">
      <c r="A9" s="3204"/>
      <c r="B9" s="3205" t="s">
        <v>1088</v>
      </c>
      <c r="C9" s="3205"/>
      <c r="D9" s="1306"/>
      <c r="E9" s="1304"/>
      <c r="F9" s="1307"/>
      <c r="G9" s="1307"/>
      <c r="H9" s="1308"/>
      <c r="I9" s="1309">
        <f t="shared" si="0"/>
        <v>0</v>
      </c>
    </row>
    <row r="10" spans="1:9">
      <c r="A10" s="3204"/>
      <c r="B10" s="3206" t="s">
        <v>1089</v>
      </c>
      <c r="C10" s="3206"/>
      <c r="D10" s="1310"/>
      <c r="E10" s="1310" t="e">
        <f>ROUND(D1*10000/D10/H9,0)</f>
        <v>#DIV/0!</v>
      </c>
      <c r="F10" s="1311"/>
      <c r="G10" s="1311"/>
      <c r="H10" s="1312"/>
      <c r="I10" s="1313">
        <f>SUM(I3:I9)</f>
        <v>0</v>
      </c>
    </row>
    <row r="11" spans="1:9" ht="14.25">
      <c r="A11" s="3204" t="s">
        <v>1090</v>
      </c>
      <c r="B11" s="3205" t="s">
        <v>1091</v>
      </c>
      <c r="C11" s="3205"/>
      <c r="D11" s="1306" t="s">
        <v>1092</v>
      </c>
      <c r="E11" s="1306" t="s">
        <v>1093</v>
      </c>
      <c r="F11" s="1307" t="s">
        <v>1094</v>
      </c>
      <c r="G11" s="1307" t="s">
        <v>1080</v>
      </c>
      <c r="H11" s="1314" t="s">
        <v>1095</v>
      </c>
      <c r="I11" s="1305" t="s">
        <v>1081</v>
      </c>
    </row>
    <row r="12" spans="1:9">
      <c r="A12" s="3204"/>
      <c r="B12" s="3205" t="s">
        <v>1096</v>
      </c>
      <c r="C12" s="3205"/>
      <c r="D12" s="1306"/>
      <c r="E12" s="1306"/>
      <c r="F12" s="1307"/>
      <c r="G12" s="1308"/>
      <c r="H12" s="1315"/>
      <c r="I12" s="1305">
        <f>ROUND(D12*E12*F12*G12/10000,0)</f>
        <v>0</v>
      </c>
    </row>
    <row r="13" spans="1:9">
      <c r="A13" s="3204"/>
      <c r="B13" s="3205" t="s">
        <v>1097</v>
      </c>
      <c r="C13" s="3205"/>
      <c r="D13" s="1306"/>
      <c r="E13" s="1306"/>
      <c r="F13" s="1307"/>
      <c r="G13" s="1308"/>
      <c r="H13" s="1315"/>
      <c r="I13" s="1305">
        <f>ROUND(D13*E13*F13*G13/10000,0)</f>
        <v>0</v>
      </c>
    </row>
    <row r="14" spans="1:9">
      <c r="A14" s="3204"/>
      <c r="B14" s="3205" t="s">
        <v>1098</v>
      </c>
      <c r="C14" s="3205"/>
      <c r="D14" s="1306"/>
      <c r="E14" s="1306"/>
      <c r="F14" s="1307"/>
      <c r="G14" s="1308"/>
      <c r="H14" s="1315"/>
      <c r="I14" s="1305">
        <f>ROUND(D14*E14*F14*G14/10000,0)</f>
        <v>0</v>
      </c>
    </row>
    <row r="15" spans="1:9">
      <c r="A15" s="3204"/>
      <c r="B15" s="3206" t="s">
        <v>1089</v>
      </c>
      <c r="C15" s="3206"/>
      <c r="D15" s="1310"/>
      <c r="E15" s="1310">
        <f>SUM(E12:E14)</f>
        <v>0</v>
      </c>
      <c r="F15" s="1311"/>
      <c r="G15" s="1308"/>
      <c r="H15" s="1315"/>
      <c r="I15" s="1316">
        <f>SUM(I12:I14)</f>
        <v>0</v>
      </c>
    </row>
    <row r="16" spans="1:9" ht="24">
      <c r="A16" s="3204" t="s">
        <v>1099</v>
      </c>
      <c r="B16" s="3205" t="s">
        <v>1100</v>
      </c>
      <c r="C16" s="3205"/>
      <c r="D16" s="1306" t="s">
        <v>1076</v>
      </c>
      <c r="E16" s="1317" t="s">
        <v>1101</v>
      </c>
      <c r="F16" s="1307" t="s">
        <v>1102</v>
      </c>
      <c r="G16" s="1308" t="s">
        <v>1080</v>
      </c>
      <c r="H16" s="1314" t="s">
        <v>1095</v>
      </c>
      <c r="I16" s="1305" t="s">
        <v>1081</v>
      </c>
    </row>
    <row r="17" spans="1:9" ht="14.25">
      <c r="A17" s="3204"/>
      <c r="B17" s="3205" t="s">
        <v>1103</v>
      </c>
      <c r="C17" s="3205"/>
      <c r="D17" s="1306"/>
      <c r="E17" s="1306"/>
      <c r="F17" s="1307"/>
      <c r="G17" s="1308"/>
      <c r="H17" s="1318"/>
      <c r="I17" s="1319">
        <f>ROUND(D17*E17*F17*G17/10000,0)</f>
        <v>0</v>
      </c>
    </row>
    <row r="18" spans="1:9" ht="14.25">
      <c r="A18" s="3204"/>
      <c r="B18" s="3205" t="s">
        <v>1104</v>
      </c>
      <c r="C18" s="3205"/>
      <c r="D18" s="1306"/>
      <c r="E18" s="1306"/>
      <c r="F18" s="1307"/>
      <c r="G18" s="1308"/>
      <c r="H18" s="1318"/>
      <c r="I18" s="1319">
        <f>ROUND(D18*E18*F18*G18/10000,0)</f>
        <v>0</v>
      </c>
    </row>
    <row r="19" spans="1:9" ht="14.25">
      <c r="A19" s="3204"/>
      <c r="B19" s="3205" t="s">
        <v>1105</v>
      </c>
      <c r="C19" s="3205"/>
      <c r="D19" s="1306"/>
      <c r="E19" s="1306"/>
      <c r="F19" s="1307"/>
      <c r="G19" s="1308"/>
      <c r="H19" s="1318"/>
      <c r="I19" s="1319">
        <f>ROUND(D19*E19*F19*G19/10000,0)</f>
        <v>0</v>
      </c>
    </row>
    <row r="20" spans="1:9">
      <c r="A20" s="3204"/>
      <c r="B20" s="3206" t="s">
        <v>1089</v>
      </c>
      <c r="C20" s="3206"/>
      <c r="D20" s="1310">
        <f>SUM(D17:D19)</f>
        <v>0</v>
      </c>
      <c r="E20" s="1310"/>
      <c r="F20" s="1311"/>
      <c r="G20" s="1308"/>
      <c r="H20" s="1315"/>
      <c r="I20" s="1316">
        <f>SUM(I17:I19)</f>
        <v>0</v>
      </c>
    </row>
    <row r="21" spans="1:9">
      <c r="A21" s="3204" t="s">
        <v>1106</v>
      </c>
      <c r="B21" s="3207"/>
      <c r="C21" s="3207"/>
      <c r="D21" s="3207"/>
      <c r="E21" s="3207"/>
      <c r="F21" s="3207"/>
      <c r="G21" s="3207"/>
      <c r="H21" s="1768">
        <v>0.1</v>
      </c>
      <c r="I21" s="1313">
        <f>ROUND(I10*H21,0)</f>
        <v>0</v>
      </c>
    </row>
    <row r="22" spans="1:9" ht="14.25">
      <c r="A22" s="3208" t="s">
        <v>1107</v>
      </c>
      <c r="B22" s="3209"/>
      <c r="C22" s="3210"/>
      <c r="D22" s="1320" t="s">
        <v>1108</v>
      </c>
      <c r="E22" s="1320" t="s">
        <v>1109</v>
      </c>
      <c r="F22" s="1321" t="s">
        <v>1110</v>
      </c>
      <c r="G22" s="1321" t="s">
        <v>1111</v>
      </c>
      <c r="H22" s="1314" t="s">
        <v>1112</v>
      </c>
      <c r="I22" s="1305" t="s">
        <v>1113</v>
      </c>
    </row>
    <row r="23" spans="1:9" ht="14.25" thickBot="1">
      <c r="A23" s="3211"/>
      <c r="B23" s="3212"/>
      <c r="C23" s="3213"/>
      <c r="D23" s="1322"/>
      <c r="E23" s="1322"/>
      <c r="F23" s="1322"/>
      <c r="G23" s="1323"/>
      <c r="H23" s="1324"/>
      <c r="I23" s="1325">
        <f>ROUND(E23*D23*F23*(1-G23)/10000,0)</f>
        <v>0</v>
      </c>
    </row>
    <row r="26" spans="1:9">
      <c r="A26" s="1326" t="s">
        <v>1114</v>
      </c>
      <c r="B26" s="1326"/>
      <c r="C26" s="1326"/>
      <c r="D26" s="1326"/>
      <c r="E26" s="3201">
        <f>C27-C30-C31-C32</f>
        <v>0</v>
      </c>
      <c r="F26" s="3201"/>
      <c r="G26" s="3201"/>
      <c r="H26" s="1740" t="s">
        <v>1336</v>
      </c>
    </row>
    <row r="27" spans="1:9">
      <c r="A27" s="1327">
        <v>1</v>
      </c>
      <c r="B27" s="1328" t="s">
        <v>1115</v>
      </c>
      <c r="C27" s="1328">
        <f>C28+C29</f>
        <v>0</v>
      </c>
      <c r="D27" s="1328"/>
      <c r="E27" s="3202"/>
      <c r="F27" s="3202"/>
      <c r="G27" s="3202"/>
    </row>
    <row r="28" spans="1:9">
      <c r="A28" s="1329" t="s">
        <v>1116</v>
      </c>
      <c r="B28" s="1328" t="s">
        <v>1117</v>
      </c>
      <c r="C28" s="1328"/>
      <c r="D28" s="1328"/>
      <c r="E28" s="3202"/>
      <c r="F28" s="3202"/>
      <c r="G28" s="320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03"/>
      <c r="F32" s="3203"/>
      <c r="G32" s="3203"/>
    </row>
    <row r="33" spans="1:7" hidden="1">
      <c r="A33" s="3198" t="s">
        <v>1126</v>
      </c>
      <c r="B33" s="3199"/>
      <c r="C33" s="3199"/>
      <c r="D33" s="3200"/>
      <c r="E33" s="3201"/>
      <c r="F33" s="3201"/>
      <c r="G33" s="3201"/>
    </row>
    <row r="34" spans="1:7" hidden="1">
      <c r="A34" s="1331">
        <v>1</v>
      </c>
      <c r="B34" s="1328" t="s">
        <v>1127</v>
      </c>
      <c r="C34" s="1328"/>
      <c r="D34" s="1328"/>
      <c r="E34" s="3202"/>
      <c r="F34" s="3202"/>
      <c r="G34" s="3202"/>
    </row>
    <row r="35" spans="1:7" hidden="1">
      <c r="A35" s="1331">
        <v>2</v>
      </c>
      <c r="B35" s="1328" t="s">
        <v>1128</v>
      </c>
      <c r="C35" s="1328"/>
      <c r="D35" s="1328"/>
      <c r="E35" s="3202"/>
      <c r="F35" s="3202"/>
      <c r="G35" s="3202"/>
    </row>
    <row r="36" spans="1:7" hidden="1">
      <c r="A36" s="1331">
        <v>3</v>
      </c>
      <c r="B36" s="1328" t="s">
        <v>1129</v>
      </c>
      <c r="C36" s="1328"/>
      <c r="D36" s="1328"/>
      <c r="E36" s="3202"/>
      <c r="F36" s="3202"/>
      <c r="G36" s="3202"/>
    </row>
    <row r="37" spans="1:7" hidden="1">
      <c r="A37" s="1331">
        <v>4</v>
      </c>
      <c r="B37" s="1328" t="s">
        <v>1130</v>
      </c>
      <c r="C37" s="1328"/>
      <c r="D37" s="1328"/>
      <c r="E37" s="3202"/>
      <c r="F37" s="3202"/>
      <c r="G37" s="3202"/>
    </row>
    <row r="38" spans="1:7" hidden="1">
      <c r="A38" s="3198" t="s">
        <v>1131</v>
      </c>
      <c r="B38" s="3199"/>
      <c r="C38" s="3199"/>
      <c r="D38" s="3200"/>
      <c r="E38" s="3201"/>
      <c r="F38" s="3201"/>
      <c r="G38" s="32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8" t="s">
        <v>2519</v>
      </c>
      <c r="C1" s="1637" t="s">
        <v>2520</v>
      </c>
      <c r="D1" s="1624"/>
      <c r="E1" s="2589"/>
      <c r="F1" s="2590" t="s">
        <v>2521</v>
      </c>
      <c r="G1" s="1634" t="s">
        <v>2522</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2523</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2524</v>
      </c>
      <c r="D3" s="399">
        <f>IF(D1="",'数据-汇总表'!E3,SUMIF('数据-汇总表'!$C19:$C33,D1,'数据-汇总表'!$E19:$E33))</f>
        <v>143860.73000000001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2525</v>
      </c>
      <c r="B4" s="402"/>
      <c r="C4" s="3150" t="s">
        <v>2526</v>
      </c>
      <c r="D4" s="3163"/>
      <c r="E4" s="3164" t="s">
        <v>2527</v>
      </c>
      <c r="F4" s="3165"/>
      <c r="G4" s="3150" t="s">
        <v>2528</v>
      </c>
      <c r="H4" s="3163"/>
      <c r="I4" s="3150" t="s">
        <v>2529</v>
      </c>
      <c r="J4" s="3163"/>
      <c r="K4" s="2602" t="s">
        <v>2530</v>
      </c>
      <c r="L4" s="1133"/>
      <c r="M4" s="1134"/>
      <c r="N4" s="1134"/>
      <c r="O4" s="1134"/>
      <c r="P4" s="3166" t="s">
        <v>2531</v>
      </c>
      <c r="Q4" s="3167"/>
      <c r="R4" s="3172" t="s">
        <v>2527</v>
      </c>
      <c r="S4" s="3173"/>
      <c r="T4" s="3172" t="s">
        <v>2528</v>
      </c>
      <c r="U4" s="3173"/>
      <c r="V4" s="3159" t="s">
        <v>2529</v>
      </c>
      <c r="W4" s="3159"/>
      <c r="X4" s="1816"/>
      <c r="Y4" s="3172" t="s">
        <v>2531</v>
      </c>
      <c r="Z4" s="3173"/>
      <c r="AA4" s="3160" t="s">
        <v>2527</v>
      </c>
      <c r="AB4" s="3160" t="s">
        <v>2528</v>
      </c>
      <c r="AC4" s="3160" t="s">
        <v>2529</v>
      </c>
    </row>
    <row r="5" spans="1:29" ht="15">
      <c r="A5" s="404"/>
      <c r="B5" s="405"/>
      <c r="C5" s="3180" t="s">
        <v>2532</v>
      </c>
      <c r="D5" s="3181"/>
      <c r="E5" s="3187" t="s">
        <v>2533</v>
      </c>
      <c r="F5" s="3188"/>
      <c r="G5" s="3180" t="s">
        <v>2534</v>
      </c>
      <c r="H5" s="3181"/>
      <c r="I5" s="3180" t="s">
        <v>2535</v>
      </c>
      <c r="J5" s="3181"/>
      <c r="K5" s="2603"/>
      <c r="L5" s="1133"/>
      <c r="M5" s="1134"/>
      <c r="N5" s="1134"/>
      <c r="O5" s="1134"/>
      <c r="P5" s="3168"/>
      <c r="Q5" s="3169"/>
      <c r="R5" s="3174"/>
      <c r="S5" s="3175"/>
      <c r="T5" s="3174"/>
      <c r="U5" s="3175"/>
      <c r="V5" s="3159"/>
      <c r="W5" s="3159"/>
      <c r="X5" s="1816"/>
      <c r="Y5" s="3174"/>
      <c r="Z5" s="3175"/>
      <c r="AA5" s="3161"/>
      <c r="AB5" s="3161"/>
      <c r="AC5" s="3161"/>
    </row>
    <row r="6" spans="1:29" ht="15.75" thickBot="1">
      <c r="A6" s="406"/>
      <c r="B6" s="407"/>
      <c r="C6" s="3178" t="s">
        <v>2536</v>
      </c>
      <c r="D6" s="3179"/>
      <c r="E6" s="3185" t="s">
        <v>2536</v>
      </c>
      <c r="F6" s="3186"/>
      <c r="G6" s="3178" t="s">
        <v>2536</v>
      </c>
      <c r="H6" s="3179"/>
      <c r="I6" s="3178" t="s">
        <v>2536</v>
      </c>
      <c r="J6" s="3179"/>
      <c r="K6" s="2603" t="s">
        <v>2537</v>
      </c>
      <c r="L6" s="1133"/>
      <c r="M6" s="1134"/>
      <c r="N6" s="1134"/>
      <c r="O6" s="1134"/>
      <c r="P6" s="3170"/>
      <c r="Q6" s="3171"/>
      <c r="R6" s="3174"/>
      <c r="S6" s="3175"/>
      <c r="T6" s="3176"/>
      <c r="U6" s="3177"/>
      <c r="V6" s="3159"/>
      <c r="W6" s="3159"/>
      <c r="X6" s="1816"/>
      <c r="Y6" s="3176"/>
      <c r="Z6" s="3177"/>
      <c r="AA6" s="3162"/>
      <c r="AB6" s="3162"/>
      <c r="AC6" s="3162"/>
    </row>
    <row r="7" spans="1:29" s="117" customFormat="1" ht="15.75" thickBot="1">
      <c r="A7" s="408" t="s">
        <v>2538</v>
      </c>
      <c r="B7" s="409"/>
      <c r="C7" s="410">
        <f>'数据-取费表'!B2</f>
        <v>43557</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82" t="s">
        <v>2539</v>
      </c>
      <c r="Q7" s="3184"/>
      <c r="R7" s="770" t="s">
        <v>23</v>
      </c>
      <c r="S7" s="771">
        <f t="shared" ref="S7:S15" si="0">F7</f>
        <v>0</v>
      </c>
      <c r="T7" s="770" t="s">
        <v>23</v>
      </c>
      <c r="U7" s="771">
        <f t="shared" ref="U7:U15" si="1">H7</f>
        <v>0</v>
      </c>
      <c r="V7" s="770" t="s">
        <v>23</v>
      </c>
      <c r="W7" s="771">
        <f t="shared" ref="W7:W15" si="2">J7</f>
        <v>0</v>
      </c>
      <c r="X7" s="772"/>
      <c r="Y7" s="3182" t="s">
        <v>2539</v>
      </c>
      <c r="Z7" s="3183"/>
      <c r="AA7" s="773" t="e">
        <f>D7/F7</f>
        <v>#DIV/0!</v>
      </c>
      <c r="AB7" s="773" t="e">
        <f>D7/H7</f>
        <v>#DIV/0!</v>
      </c>
      <c r="AC7" s="773" t="e">
        <f>D7/J7</f>
        <v>#DIV/0!</v>
      </c>
    </row>
    <row r="8" spans="1:29" s="117" customFormat="1" ht="15.75" thickBot="1">
      <c r="A8" s="408" t="s">
        <v>2540</v>
      </c>
      <c r="B8" s="409"/>
      <c r="C8" s="414" t="s">
        <v>2541</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82" t="s">
        <v>2542</v>
      </c>
      <c r="Q8" s="3183"/>
      <c r="R8" s="770" t="s">
        <v>23</v>
      </c>
      <c r="S8" s="771">
        <f t="shared" si="0"/>
        <v>0</v>
      </c>
      <c r="T8" s="770" t="s">
        <v>23</v>
      </c>
      <c r="U8" s="771">
        <f t="shared" si="1"/>
        <v>0</v>
      </c>
      <c r="V8" s="770" t="s">
        <v>23</v>
      </c>
      <c r="W8" s="771">
        <f t="shared" si="2"/>
        <v>0</v>
      </c>
      <c r="X8" s="772"/>
      <c r="Y8" s="3182" t="s">
        <v>2542</v>
      </c>
      <c r="Z8" s="3183"/>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52" t="s">
        <v>2545</v>
      </c>
      <c r="Q9" s="1798" t="str">
        <f t="shared" ref="Q9:Q15" si="6">B9</f>
        <v>用途</v>
      </c>
      <c r="R9" s="770" t="s">
        <v>17</v>
      </c>
      <c r="S9" s="771">
        <f t="shared" si="0"/>
        <v>100</v>
      </c>
      <c r="T9" s="770" t="s">
        <v>17</v>
      </c>
      <c r="U9" s="771">
        <f t="shared" si="1"/>
        <v>100</v>
      </c>
      <c r="V9" s="770" t="s">
        <v>17</v>
      </c>
      <c r="W9" s="771">
        <f t="shared" si="2"/>
        <v>100</v>
      </c>
      <c r="X9" s="772"/>
      <c r="Y9" s="300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2"/>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52"/>
      <c r="Q11" s="1798" t="str">
        <f t="shared" si="6"/>
        <v>容积率</v>
      </c>
      <c r="R11" s="770" t="s">
        <v>21</v>
      </c>
      <c r="S11" s="771" t="e">
        <f t="shared" si="0"/>
        <v>#N/A</v>
      </c>
      <c r="T11" s="770" t="s">
        <v>21</v>
      </c>
      <c r="U11" s="771" t="e">
        <f t="shared" si="1"/>
        <v>#N/A</v>
      </c>
      <c r="V11" s="770" t="s">
        <v>21</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52"/>
      <c r="Q12" s="1798">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52"/>
      <c r="Q13" s="1798">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52"/>
      <c r="Q14" s="1798">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15">
      <c r="A15" s="440" t="s">
        <v>2549</v>
      </c>
      <c r="B15" s="69" t="s">
        <v>2080</v>
      </c>
      <c r="C15" s="2609"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5" t="s">
        <v>2550</v>
      </c>
      <c r="Q15" s="1813" t="str">
        <f t="shared" si="6"/>
        <v>居住社区成熟度</v>
      </c>
      <c r="R15" s="774" t="s">
        <v>21</v>
      </c>
      <c r="S15" s="775">
        <f t="shared" si="0"/>
        <v>100</v>
      </c>
      <c r="T15" s="774" t="s">
        <v>21</v>
      </c>
      <c r="U15" s="775">
        <f t="shared" si="1"/>
        <v>100</v>
      </c>
      <c r="V15" s="774" t="s">
        <v>21</v>
      </c>
      <c r="W15" s="775">
        <f t="shared" si="2"/>
        <v>100</v>
      </c>
      <c r="X15" s="1816"/>
      <c r="Y15" s="3155" t="s">
        <v>2550</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26"/>
      <c r="Q16" s="1813"/>
      <c r="R16" s="774"/>
      <c r="S16" s="775"/>
      <c r="T16" s="774"/>
      <c r="U16" s="775"/>
      <c r="V16" s="774"/>
      <c r="W16" s="775"/>
      <c r="X16" s="1816"/>
      <c r="Y16" s="3156"/>
      <c r="Z16" s="1817"/>
      <c r="AA16" s="1814">
        <v>1</v>
      </c>
      <c r="AB16" s="1814">
        <v>1</v>
      </c>
      <c r="AC16" s="1814">
        <v>1</v>
      </c>
    </row>
    <row r="17" spans="1:29" ht="15">
      <c r="A17" s="428"/>
      <c r="B17" s="451" t="s">
        <v>2089</v>
      </c>
      <c r="C17" s="261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6"/>
      <c r="Q17" s="1813" t="str">
        <f>B17</f>
        <v>交通便捷度</v>
      </c>
      <c r="R17" s="774" t="s">
        <v>21</v>
      </c>
      <c r="S17" s="775">
        <f>F17</f>
        <v>100</v>
      </c>
      <c r="T17" s="774" t="s">
        <v>21</v>
      </c>
      <c r="U17" s="775">
        <f>H17</f>
        <v>100</v>
      </c>
      <c r="V17" s="774" t="s">
        <v>21</v>
      </c>
      <c r="W17" s="775">
        <f>J17</f>
        <v>100</v>
      </c>
      <c r="X17" s="1816"/>
      <c r="Y17" s="3156"/>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26"/>
      <c r="Q18" s="1813"/>
      <c r="R18" s="774"/>
      <c r="S18" s="775"/>
      <c r="T18" s="774"/>
      <c r="U18" s="775"/>
      <c r="V18" s="774"/>
      <c r="W18" s="775"/>
      <c r="X18" s="1816"/>
      <c r="Y18" s="3156"/>
      <c r="Z18" s="1817"/>
      <c r="AA18" s="1814">
        <v>1</v>
      </c>
      <c r="AB18" s="1814">
        <v>1</v>
      </c>
      <c r="AC18" s="1814">
        <v>1</v>
      </c>
    </row>
    <row r="19" spans="1:29" ht="15">
      <c r="A19" s="428"/>
      <c r="B19" s="451" t="s">
        <v>2087</v>
      </c>
      <c r="C19" s="261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6"/>
      <c r="Q19" s="1813" t="str">
        <f>B19</f>
        <v>公共配套设施</v>
      </c>
      <c r="R19" s="774" t="s">
        <v>21</v>
      </c>
      <c r="S19" s="775">
        <f>F19</f>
        <v>100</v>
      </c>
      <c r="T19" s="774" t="s">
        <v>21</v>
      </c>
      <c r="U19" s="775">
        <f>H19</f>
        <v>100</v>
      </c>
      <c r="V19" s="774" t="s">
        <v>21</v>
      </c>
      <c r="W19" s="775">
        <f>J19</f>
        <v>100</v>
      </c>
      <c r="X19" s="1816"/>
      <c r="Y19" s="3156"/>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26"/>
      <c r="Q20" s="1813"/>
      <c r="R20" s="774"/>
      <c r="S20" s="775"/>
      <c r="T20" s="774"/>
      <c r="U20" s="775"/>
      <c r="V20" s="774"/>
      <c r="W20" s="775"/>
      <c r="X20" s="1816"/>
      <c r="Y20" s="3156"/>
      <c r="Z20" s="1817"/>
      <c r="AA20" s="1814">
        <v>1</v>
      </c>
      <c r="AB20" s="1814">
        <v>1</v>
      </c>
      <c r="AC20" s="1814">
        <v>1</v>
      </c>
    </row>
    <row r="21" spans="1:29" ht="15">
      <c r="A21" s="428"/>
      <c r="B21" s="1387" t="s">
        <v>2090</v>
      </c>
      <c r="C21" s="2613"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5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26"/>
      <c r="Q22" s="1813"/>
      <c r="R22" s="774"/>
      <c r="S22" s="775"/>
      <c r="T22" s="774"/>
      <c r="U22" s="775"/>
      <c r="V22" s="774"/>
      <c r="W22" s="775"/>
      <c r="X22" s="1816"/>
      <c r="Y22" s="3156"/>
      <c r="Z22" s="1817"/>
      <c r="AA22" s="1814">
        <v>1</v>
      </c>
      <c r="AB22" s="1814">
        <v>1</v>
      </c>
      <c r="AC22" s="1814">
        <v>1</v>
      </c>
    </row>
    <row r="23" spans="1:29" ht="15">
      <c r="A23" s="428"/>
      <c r="B23" s="451" t="s">
        <v>2094</v>
      </c>
      <c r="C23" s="261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6"/>
      <c r="Q23" s="1813" t="str">
        <f>B23</f>
        <v>自然及人文环境</v>
      </c>
      <c r="R23" s="774" t="s">
        <v>21</v>
      </c>
      <c r="S23" s="775">
        <f>F23</f>
        <v>100</v>
      </c>
      <c r="T23" s="774" t="s">
        <v>21</v>
      </c>
      <c r="U23" s="775">
        <f>H23</f>
        <v>100</v>
      </c>
      <c r="V23" s="774" t="s">
        <v>21</v>
      </c>
      <c r="W23" s="775">
        <f>J23</f>
        <v>100</v>
      </c>
      <c r="X23" s="1816"/>
      <c r="Y23" s="3156"/>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26"/>
      <c r="Q24" s="1813"/>
      <c r="R24" s="774"/>
      <c r="S24" s="775"/>
      <c r="T24" s="774"/>
      <c r="U24" s="775"/>
      <c r="V24" s="774"/>
      <c r="W24" s="775"/>
      <c r="X24" s="1816"/>
      <c r="Y24" s="3156"/>
      <c r="Z24" s="1817"/>
      <c r="AA24" s="1814">
        <v>1</v>
      </c>
      <c r="AB24" s="1814">
        <v>1</v>
      </c>
      <c r="AC24" s="1814">
        <v>1</v>
      </c>
    </row>
    <row r="25" spans="1:29" ht="15">
      <c r="A25" s="428"/>
      <c r="B25" s="422" t="s">
        <v>2551</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6"/>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6"/>
      <c r="Q26" s="1813" t="str">
        <f t="shared" si="11"/>
        <v>朝向</v>
      </c>
      <c r="R26" s="774" t="s">
        <v>21</v>
      </c>
      <c r="S26" s="775">
        <f t="shared" si="12"/>
        <v>100</v>
      </c>
      <c r="T26" s="774" t="s">
        <v>21</v>
      </c>
      <c r="U26" s="775">
        <f t="shared" si="13"/>
        <v>100</v>
      </c>
      <c r="V26" s="774" t="s">
        <v>21</v>
      </c>
      <c r="W26" s="775">
        <f t="shared" si="14"/>
        <v>100</v>
      </c>
      <c r="X26" s="1816"/>
      <c r="Y26" s="315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6"/>
      <c r="Q27" s="1798">
        <f t="shared" si="11"/>
        <v>111</v>
      </c>
      <c r="R27" s="770" t="s">
        <v>21</v>
      </c>
      <c r="S27" s="771">
        <f t="shared" si="12"/>
        <v>100</v>
      </c>
      <c r="T27" s="770" t="s">
        <v>21</v>
      </c>
      <c r="U27" s="771">
        <f t="shared" si="13"/>
        <v>100</v>
      </c>
      <c r="V27" s="770" t="s">
        <v>21</v>
      </c>
      <c r="W27" s="771">
        <f t="shared" si="14"/>
        <v>100</v>
      </c>
      <c r="X27" s="772"/>
      <c r="Y27" s="315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6"/>
      <c r="Q28" s="1813">
        <f t="shared" si="11"/>
        <v>111</v>
      </c>
      <c r="R28" s="774" t="s">
        <v>21</v>
      </c>
      <c r="S28" s="775">
        <f t="shared" si="12"/>
        <v>100</v>
      </c>
      <c r="T28" s="774" t="s">
        <v>21</v>
      </c>
      <c r="U28" s="775">
        <f t="shared" si="13"/>
        <v>100</v>
      </c>
      <c r="V28" s="774" t="s">
        <v>21</v>
      </c>
      <c r="W28" s="775">
        <f t="shared" si="14"/>
        <v>100</v>
      </c>
      <c r="X28" s="1816"/>
      <c r="Y28" s="315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6"/>
      <c r="Q29" s="1813">
        <f t="shared" si="11"/>
        <v>111</v>
      </c>
      <c r="R29" s="774" t="s">
        <v>21</v>
      </c>
      <c r="S29" s="775">
        <f t="shared" si="12"/>
        <v>100</v>
      </c>
      <c r="T29" s="774" t="s">
        <v>21</v>
      </c>
      <c r="U29" s="775">
        <f t="shared" si="13"/>
        <v>100</v>
      </c>
      <c r="V29" s="774" t="s">
        <v>21</v>
      </c>
      <c r="W29" s="775">
        <f t="shared" si="14"/>
        <v>100</v>
      </c>
      <c r="X29" s="1816"/>
      <c r="Y29" s="315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6"/>
      <c r="Q30" s="1813">
        <f t="shared" si="11"/>
        <v>111</v>
      </c>
      <c r="R30" s="774" t="s">
        <v>21</v>
      </c>
      <c r="S30" s="775">
        <f t="shared" si="12"/>
        <v>100</v>
      </c>
      <c r="T30" s="774" t="s">
        <v>21</v>
      </c>
      <c r="U30" s="775">
        <f t="shared" si="13"/>
        <v>100</v>
      </c>
      <c r="V30" s="774" t="s">
        <v>21</v>
      </c>
      <c r="W30" s="775">
        <f t="shared" si="14"/>
        <v>100</v>
      </c>
      <c r="X30" s="1816"/>
      <c r="Y30" s="315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6"/>
      <c r="Q31" s="1813">
        <f t="shared" si="11"/>
        <v>111</v>
      </c>
      <c r="R31" s="774" t="s">
        <v>21</v>
      </c>
      <c r="S31" s="775">
        <f t="shared" si="12"/>
        <v>100</v>
      </c>
      <c r="T31" s="774" t="s">
        <v>21</v>
      </c>
      <c r="U31" s="775">
        <f t="shared" si="13"/>
        <v>100</v>
      </c>
      <c r="V31" s="774" t="s">
        <v>21</v>
      </c>
      <c r="W31" s="775">
        <f t="shared" si="14"/>
        <v>100</v>
      </c>
      <c r="X31" s="1816"/>
      <c r="Y31" s="3156"/>
      <c r="Z31" s="1817">
        <f t="shared" si="18"/>
        <v>111</v>
      </c>
      <c r="AA31" s="1814">
        <f t="shared" si="15"/>
        <v>1</v>
      </c>
      <c r="AB31" s="1814">
        <f t="shared" si="16"/>
        <v>1</v>
      </c>
      <c r="AC31" s="1814">
        <f t="shared" si="17"/>
        <v>1</v>
      </c>
    </row>
    <row r="32" spans="1:29" ht="15">
      <c r="A32" s="440" t="s">
        <v>2553</v>
      </c>
      <c r="B32" s="71" t="s">
        <v>2554</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21" t="s">
        <v>2555</v>
      </c>
      <c r="Q32" s="1813" t="str">
        <f t="shared" si="11"/>
        <v>建筑类型</v>
      </c>
      <c r="R32" s="774" t="s">
        <v>21</v>
      </c>
      <c r="S32" s="775">
        <f t="shared" si="12"/>
        <v>100</v>
      </c>
      <c r="T32" s="774" t="s">
        <v>21</v>
      </c>
      <c r="U32" s="775">
        <f t="shared" si="13"/>
        <v>100</v>
      </c>
      <c r="V32" s="774" t="s">
        <v>21</v>
      </c>
      <c r="W32" s="775">
        <f t="shared" si="14"/>
        <v>100</v>
      </c>
      <c r="X32" s="1816"/>
      <c r="Y32" s="3158"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22"/>
      <c r="Q33" s="776" t="str">
        <f t="shared" si="11"/>
        <v>项目建筑规模</v>
      </c>
      <c r="R33" s="777" t="s">
        <v>21</v>
      </c>
      <c r="S33" s="778" t="e">
        <f t="shared" si="12"/>
        <v>#N/A</v>
      </c>
      <c r="T33" s="777" t="s">
        <v>21</v>
      </c>
      <c r="U33" s="778" t="e">
        <f t="shared" si="13"/>
        <v>#N/A</v>
      </c>
      <c r="V33" s="777" t="s">
        <v>21</v>
      </c>
      <c r="W33" s="778" t="e">
        <f t="shared" si="14"/>
        <v>#N/A</v>
      </c>
      <c r="X33" s="779"/>
      <c r="Y33" s="3158"/>
      <c r="Z33" s="780" t="str">
        <f t="shared" si="18"/>
        <v>项目建筑规模</v>
      </c>
      <c r="AA33" s="1814" t="e">
        <f t="shared" si="15"/>
        <v>#N/A</v>
      </c>
      <c r="AB33" s="1814" t="e">
        <f t="shared" si="16"/>
        <v>#N/A</v>
      </c>
      <c r="AC33" s="1814" t="e">
        <f t="shared" si="17"/>
        <v>#N/A</v>
      </c>
    </row>
    <row r="34" spans="1:29" ht="15">
      <c r="A34" s="472"/>
      <c r="B34" s="422" t="s">
        <v>2557</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22"/>
      <c r="Q34" s="1813" t="str">
        <f t="shared" si="11"/>
        <v>建筑结构</v>
      </c>
      <c r="R34" s="774" t="s">
        <v>21</v>
      </c>
      <c r="S34" s="775">
        <f t="shared" si="12"/>
        <v>100</v>
      </c>
      <c r="T34" s="774" t="s">
        <v>21</v>
      </c>
      <c r="U34" s="775">
        <f t="shared" si="13"/>
        <v>100</v>
      </c>
      <c r="V34" s="774" t="s">
        <v>21</v>
      </c>
      <c r="W34" s="775">
        <f t="shared" si="14"/>
        <v>100</v>
      </c>
      <c r="X34" s="1816"/>
      <c r="Y34" s="3158"/>
      <c r="Z34" s="1817" t="str">
        <f t="shared" si="18"/>
        <v>建筑结构</v>
      </c>
      <c r="AA34" s="1814">
        <f t="shared" si="15"/>
        <v>1</v>
      </c>
      <c r="AB34" s="1814">
        <f t="shared" si="16"/>
        <v>1</v>
      </c>
      <c r="AC34" s="1814">
        <f t="shared" si="17"/>
        <v>1</v>
      </c>
    </row>
    <row r="35" spans="1:29" ht="15">
      <c r="A35" s="472"/>
      <c r="B35" s="422" t="s">
        <v>2558</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22"/>
      <c r="Q35" s="1813" t="str">
        <f t="shared" si="11"/>
        <v>建筑品质</v>
      </c>
      <c r="R35" s="774" t="s">
        <v>21</v>
      </c>
      <c r="S35" s="775">
        <f t="shared" si="12"/>
        <v>100</v>
      </c>
      <c r="T35" s="774" t="s">
        <v>21</v>
      </c>
      <c r="U35" s="775">
        <f t="shared" si="13"/>
        <v>100</v>
      </c>
      <c r="V35" s="774" t="s">
        <v>21</v>
      </c>
      <c r="W35" s="775">
        <f t="shared" si="14"/>
        <v>100</v>
      </c>
      <c r="X35" s="1816"/>
      <c r="Y35" s="3158"/>
      <c r="Z35" s="1817" t="str">
        <f t="shared" si="18"/>
        <v>建筑品质</v>
      </c>
      <c r="AA35" s="1814">
        <f t="shared" si="15"/>
        <v>1</v>
      </c>
      <c r="AB35" s="1814">
        <f t="shared" si="16"/>
        <v>1</v>
      </c>
      <c r="AC35" s="1814">
        <f t="shared" si="17"/>
        <v>1</v>
      </c>
    </row>
    <row r="36" spans="1:29" ht="15">
      <c r="A36" s="472"/>
      <c r="B36" s="422" t="s">
        <v>2559</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22"/>
      <c r="Q36" s="1813" t="str">
        <f t="shared" si="11"/>
        <v>公共部分装修</v>
      </c>
      <c r="R36" s="774" t="s">
        <v>21</v>
      </c>
      <c r="S36" s="775">
        <f t="shared" si="12"/>
        <v>100</v>
      </c>
      <c r="T36" s="774" t="s">
        <v>21</v>
      </c>
      <c r="U36" s="775">
        <f t="shared" si="13"/>
        <v>100</v>
      </c>
      <c r="V36" s="774" t="s">
        <v>21</v>
      </c>
      <c r="W36" s="775">
        <f t="shared" si="14"/>
        <v>100</v>
      </c>
      <c r="X36" s="1816"/>
      <c r="Y36" s="3158"/>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2"/>
      <c r="Q37" s="1798" t="str">
        <f t="shared" si="11"/>
        <v>成新度</v>
      </c>
      <c r="R37" s="770" t="s">
        <v>21</v>
      </c>
      <c r="S37" s="771" t="e">
        <f t="shared" si="12"/>
        <v>#N/A</v>
      </c>
      <c r="T37" s="770" t="s">
        <v>21</v>
      </c>
      <c r="U37" s="771" t="e">
        <f t="shared" si="13"/>
        <v>#N/A</v>
      </c>
      <c r="V37" s="770" t="s">
        <v>21</v>
      </c>
      <c r="W37" s="771" t="e">
        <f t="shared" si="14"/>
        <v>#N/A</v>
      </c>
      <c r="X37" s="772"/>
      <c r="Y37" s="3158"/>
      <c r="Z37" s="55" t="str">
        <f t="shared" si="18"/>
        <v>成新度</v>
      </c>
      <c r="AA37" s="773" t="e">
        <f t="shared" si="15"/>
        <v>#N/A</v>
      </c>
      <c r="AB37" s="773" t="e">
        <f t="shared" si="16"/>
        <v>#N/A</v>
      </c>
      <c r="AC37" s="773" t="e">
        <f t="shared" si="17"/>
        <v>#N/A</v>
      </c>
    </row>
    <row r="38" spans="1:29" ht="15">
      <c r="A38" s="472"/>
      <c r="B38" s="422" t="s">
        <v>2561</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22" t="s">
        <v>2555</v>
      </c>
      <c r="Q38" s="1813" t="str">
        <f t="shared" si="11"/>
        <v>物业管理</v>
      </c>
      <c r="R38" s="774" t="s">
        <v>21</v>
      </c>
      <c r="S38" s="775">
        <f t="shared" si="12"/>
        <v>100</v>
      </c>
      <c r="T38" s="774" t="s">
        <v>21</v>
      </c>
      <c r="U38" s="775">
        <f t="shared" si="13"/>
        <v>100</v>
      </c>
      <c r="V38" s="774" t="s">
        <v>21</v>
      </c>
      <c r="W38" s="775">
        <f t="shared" si="14"/>
        <v>100</v>
      </c>
      <c r="X38" s="1816"/>
      <c r="Y38" s="3158" t="s">
        <v>2555</v>
      </c>
      <c r="Z38" s="1817" t="str">
        <f t="shared" si="18"/>
        <v>物业管理</v>
      </c>
      <c r="AA38" s="1814">
        <f t="shared" si="15"/>
        <v>1</v>
      </c>
      <c r="AB38" s="1814">
        <f t="shared" si="16"/>
        <v>1</v>
      </c>
      <c r="AC38" s="1814">
        <f t="shared" si="17"/>
        <v>1</v>
      </c>
    </row>
    <row r="39" spans="1:29" ht="15">
      <c r="A39" s="472"/>
      <c r="B39" s="422" t="s">
        <v>2562</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22"/>
      <c r="Q39" s="1813" t="str">
        <f t="shared" si="11"/>
        <v>市政基础设施</v>
      </c>
      <c r="R39" s="774" t="s">
        <v>21</v>
      </c>
      <c r="S39" s="775">
        <f t="shared" si="12"/>
        <v>100</v>
      </c>
      <c r="T39" s="774" t="s">
        <v>21</v>
      </c>
      <c r="U39" s="775">
        <f t="shared" si="13"/>
        <v>100</v>
      </c>
      <c r="V39" s="774" t="s">
        <v>21</v>
      </c>
      <c r="W39" s="775">
        <f t="shared" si="14"/>
        <v>100</v>
      </c>
      <c r="X39" s="1816"/>
      <c r="Y39" s="3158"/>
      <c r="Z39" s="1817" t="str">
        <f t="shared" si="18"/>
        <v>市政基础设施</v>
      </c>
      <c r="AA39" s="1814">
        <f t="shared" si="15"/>
        <v>1</v>
      </c>
      <c r="AB39" s="1814">
        <f t="shared" si="16"/>
        <v>1</v>
      </c>
      <c r="AC39" s="1814">
        <f t="shared" si="17"/>
        <v>1</v>
      </c>
    </row>
    <row r="40" spans="1:29" ht="15">
      <c r="A40" s="472"/>
      <c r="B40" s="422" t="s">
        <v>2563</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22"/>
      <c r="Q40" s="1813" t="str">
        <f t="shared" si="11"/>
        <v>房型</v>
      </c>
      <c r="R40" s="774" t="s">
        <v>21</v>
      </c>
      <c r="S40" s="775">
        <f t="shared" si="12"/>
        <v>100</v>
      </c>
      <c r="T40" s="774" t="s">
        <v>21</v>
      </c>
      <c r="U40" s="775">
        <f t="shared" si="13"/>
        <v>100</v>
      </c>
      <c r="V40" s="774" t="s">
        <v>21</v>
      </c>
      <c r="W40" s="775">
        <f t="shared" si="14"/>
        <v>100</v>
      </c>
      <c r="X40" s="1816"/>
      <c r="Y40" s="3158"/>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22"/>
      <c r="Q41" s="776" t="str">
        <f t="shared" si="11"/>
        <v>单套/主力户型建筑面积</v>
      </c>
      <c r="R41" s="777" t="s">
        <v>21</v>
      </c>
      <c r="S41" s="778">
        <f t="shared" si="12"/>
        <v>100</v>
      </c>
      <c r="T41" s="777" t="s">
        <v>21</v>
      </c>
      <c r="U41" s="778">
        <f t="shared" si="13"/>
        <v>100</v>
      </c>
      <c r="V41" s="777" t="s">
        <v>21</v>
      </c>
      <c r="W41" s="778">
        <f t="shared" si="14"/>
        <v>100</v>
      </c>
      <c r="X41" s="779"/>
      <c r="Y41" s="3158"/>
      <c r="Z41" s="780" t="str">
        <f t="shared" si="18"/>
        <v>单套/主力户型建筑面积</v>
      </c>
      <c r="AA41" s="1814">
        <f t="shared" si="15"/>
        <v>1</v>
      </c>
      <c r="AB41" s="1814">
        <f t="shared" si="16"/>
        <v>1</v>
      </c>
      <c r="AC41" s="1814">
        <f t="shared" si="17"/>
        <v>1</v>
      </c>
    </row>
    <row r="42" spans="1:29" ht="15">
      <c r="A42" s="472"/>
      <c r="B42" s="422" t="s">
        <v>2565</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22"/>
      <c r="Q42" s="1813" t="str">
        <f t="shared" si="11"/>
        <v>内部装修</v>
      </c>
      <c r="R42" s="774" t="s">
        <v>21</v>
      </c>
      <c r="S42" s="775">
        <f t="shared" si="12"/>
        <v>100</v>
      </c>
      <c r="T42" s="774" t="s">
        <v>21</v>
      </c>
      <c r="U42" s="775">
        <f t="shared" si="13"/>
        <v>100</v>
      </c>
      <c r="V42" s="774" t="s">
        <v>21</v>
      </c>
      <c r="W42" s="775">
        <f t="shared" si="14"/>
        <v>100</v>
      </c>
      <c r="X42" s="1816"/>
      <c r="Y42" s="3158"/>
      <c r="Z42" s="1817" t="str">
        <f t="shared" si="18"/>
        <v>内部装修</v>
      </c>
      <c r="AA42" s="1814">
        <f t="shared" si="15"/>
        <v>1</v>
      </c>
      <c r="AB42" s="1814">
        <f t="shared" si="16"/>
        <v>1</v>
      </c>
      <c r="AC42" s="1814">
        <f t="shared" si="17"/>
        <v>1</v>
      </c>
    </row>
    <row r="43" spans="1:29" ht="15">
      <c r="A43" s="472"/>
      <c r="B43" s="422" t="s">
        <v>2566</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22"/>
      <c r="Q43" s="1813" t="str">
        <f t="shared" si="11"/>
        <v>内部装修维护情况</v>
      </c>
      <c r="R43" s="774" t="s">
        <v>21</v>
      </c>
      <c r="S43" s="775">
        <f t="shared" si="12"/>
        <v>100</v>
      </c>
      <c r="T43" s="774" t="s">
        <v>21</v>
      </c>
      <c r="U43" s="775">
        <f t="shared" si="13"/>
        <v>100</v>
      </c>
      <c r="V43" s="774" t="s">
        <v>21</v>
      </c>
      <c r="W43" s="775">
        <f t="shared" si="14"/>
        <v>100</v>
      </c>
      <c r="X43" s="1816"/>
      <c r="Y43" s="315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22"/>
      <c r="Q44" s="1798">
        <f t="shared" si="11"/>
        <v>111</v>
      </c>
      <c r="R44" s="770" t="s">
        <v>21</v>
      </c>
      <c r="S44" s="771">
        <f t="shared" si="12"/>
        <v>100</v>
      </c>
      <c r="T44" s="770" t="s">
        <v>21</v>
      </c>
      <c r="U44" s="771">
        <f t="shared" si="13"/>
        <v>100</v>
      </c>
      <c r="V44" s="770" t="s">
        <v>21</v>
      </c>
      <c r="W44" s="771">
        <f t="shared" si="14"/>
        <v>100</v>
      </c>
      <c r="X44" s="772"/>
      <c r="Y44" s="315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22"/>
      <c r="Q45" s="1813">
        <f t="shared" si="11"/>
        <v>111</v>
      </c>
      <c r="R45" s="774" t="s">
        <v>21</v>
      </c>
      <c r="S45" s="775">
        <f t="shared" si="12"/>
        <v>100</v>
      </c>
      <c r="T45" s="774" t="s">
        <v>21</v>
      </c>
      <c r="U45" s="775">
        <f t="shared" si="13"/>
        <v>100</v>
      </c>
      <c r="V45" s="774" t="s">
        <v>21</v>
      </c>
      <c r="W45" s="775">
        <f t="shared" si="14"/>
        <v>100</v>
      </c>
      <c r="X45" s="1816"/>
      <c r="Y45" s="3158"/>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3"/>
      <c r="Q46" s="1813">
        <f t="shared" si="11"/>
        <v>111</v>
      </c>
      <c r="R46" s="774" t="s">
        <v>20</v>
      </c>
      <c r="S46" s="775">
        <f t="shared" si="12"/>
        <v>100</v>
      </c>
      <c r="T46" s="774" t="s">
        <v>20</v>
      </c>
      <c r="U46" s="775">
        <f t="shared" si="13"/>
        <v>100</v>
      </c>
      <c r="V46" s="774" t="s">
        <v>20</v>
      </c>
      <c r="W46" s="775">
        <f t="shared" si="14"/>
        <v>100</v>
      </c>
      <c r="X46" s="1816"/>
      <c r="Y46" s="3224"/>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7"/>
      <c r="L47" s="1146"/>
      <c r="M47" s="1147"/>
      <c r="N47" s="1134"/>
      <c r="O47" s="1147"/>
      <c r="P47" s="3153" t="str">
        <f>A47</f>
        <v>成交单价（元/平方米）</v>
      </c>
      <c r="Q47" s="3153"/>
      <c r="R47" s="3220">
        <f>E47</f>
        <v>0</v>
      </c>
      <c r="S47" s="3220"/>
      <c r="T47" s="3220">
        <f>G47</f>
        <v>0</v>
      </c>
      <c r="U47" s="3220"/>
      <c r="V47" s="3220">
        <f>I47</f>
        <v>0</v>
      </c>
      <c r="W47" s="3220"/>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8"/>
      <c r="L48" s="1146"/>
      <c r="M48" s="1147"/>
      <c r="N48" s="1147"/>
      <c r="O48" s="1147"/>
      <c r="P48" s="3153" t="str">
        <f>A48</f>
        <v>比较价值（元/平方米）</v>
      </c>
      <c r="Q48" s="3153"/>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9"/>
      <c r="L49" s="1146"/>
      <c r="M49" s="1147"/>
      <c r="N49" s="1147"/>
      <c r="O49" s="1147"/>
      <c r="P49" s="3147" t="str">
        <f>A49</f>
        <v>估价对象XX用房的比较价值（楼面单价，元/平方米）</v>
      </c>
      <c r="Q49" s="314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32"/>
      <c r="Q57" s="504"/>
    </row>
    <row r="58" spans="1:29" s="508" customFormat="1" ht="15">
      <c r="A58" s="505" t="s">
        <v>2574</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2575</v>
      </c>
      <c r="B60" s="516"/>
      <c r="C60" s="517"/>
      <c r="D60" s="518"/>
      <c r="E60" s="518"/>
      <c r="F60" s="518"/>
      <c r="G60" s="518"/>
      <c r="H60" s="518"/>
      <c r="I60" s="518"/>
      <c r="J60" s="518"/>
      <c r="K60" s="518"/>
      <c r="L60" s="518"/>
      <c r="M60" s="519"/>
      <c r="N60" s="518"/>
      <c r="O60" s="519"/>
      <c r="P60" s="2634"/>
      <c r="Q60" s="504"/>
    </row>
    <row r="61" spans="1:29" s="117" customFormat="1" ht="15">
      <c r="A61" s="521" t="s">
        <v>2576</v>
      </c>
      <c r="B61" s="510"/>
      <c r="C61" s="522" t="s">
        <v>2577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2578</v>
      </c>
      <c r="B63" s="528" t="s">
        <v>2544</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2090</v>
      </c>
      <c r="C82" s="539" t="s">
        <v>2594</v>
      </c>
      <c r="D82" s="539" t="s">
        <v>2595</v>
      </c>
      <c r="E82" s="539" t="s">
        <v>2596</v>
      </c>
      <c r="F82" s="539" t="s">
        <v>2597</v>
      </c>
      <c r="G82" s="539" t="s">
        <v>2598</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2600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2601</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2553</v>
      </c>
      <c r="B100" s="528" t="s">
        <v>2602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2604</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2605</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2606</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2607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2608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2609</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2610</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2612</v>
      </c>
    </row>
    <row r="137" spans="1:17" ht="15">
      <c r="B137" s="2644" t="s">
        <v>2613</v>
      </c>
      <c r="C137" s="2645"/>
      <c r="D137" s="2645"/>
      <c r="E137" s="2645"/>
      <c r="F137" s="2645"/>
      <c r="G137" s="2646"/>
      <c r="H137" s="2647"/>
      <c r="I137" s="2648" t="s">
        <v>2614</v>
      </c>
      <c r="J137" s="2645"/>
      <c r="K137" s="2649"/>
    </row>
    <row r="138" spans="1:17" ht="15">
      <c r="B138" s="2650"/>
      <c r="C138" s="146" t="s">
        <v>2615</v>
      </c>
      <c r="D138" s="146" t="s">
        <v>2616</v>
      </c>
      <c r="E138" s="2651" t="s">
        <v>2617</v>
      </c>
      <c r="F138" s="2652" t="s">
        <v>2618</v>
      </c>
      <c r="G138" s="146" t="s">
        <v>2616</v>
      </c>
      <c r="H138" s="147" t="s">
        <v>2617</v>
      </c>
      <c r="I138" s="2653"/>
      <c r="J138" s="146" t="s">
        <v>2619</v>
      </c>
      <c r="K138" s="147" t="s">
        <v>2620</v>
      </c>
    </row>
    <row r="139" spans="1:17" ht="15">
      <c r="B139" s="1087">
        <v>6</v>
      </c>
      <c r="C139" s="1088">
        <v>96</v>
      </c>
      <c r="D139" s="2654" t="s">
        <v>2621</v>
      </c>
      <c r="E139" s="1089">
        <v>100</v>
      </c>
      <c r="F139" s="1090">
        <v>102.5</v>
      </c>
      <c r="G139" s="2654" t="s">
        <v>2621</v>
      </c>
      <c r="H139" s="1091">
        <v>105</v>
      </c>
      <c r="I139" s="2655" t="s">
        <v>2622</v>
      </c>
      <c r="J139" s="1088">
        <v>20</v>
      </c>
      <c r="K139" s="1092">
        <f>C145/(J139-2)</f>
        <v>4.0555555555555553E-3</v>
      </c>
    </row>
    <row r="140" spans="1:17" ht="15">
      <c r="B140" s="1093">
        <v>5</v>
      </c>
      <c r="C140" s="1094">
        <v>100</v>
      </c>
      <c r="D140" s="1094"/>
      <c r="E140" s="1095"/>
      <c r="F140" s="1096">
        <v>102</v>
      </c>
      <c r="G140" s="1094"/>
      <c r="H140" s="1097"/>
      <c r="I140" s="2656" t="s">
        <v>2623</v>
      </c>
      <c r="J140" s="315">
        <f>ROUNDUP((J139-1)/2,0)</f>
        <v>10</v>
      </c>
      <c r="K140" s="1098">
        <v>100</v>
      </c>
    </row>
    <row r="141" spans="1:17" ht="15">
      <c r="B141" s="1093">
        <v>4</v>
      </c>
      <c r="C141" s="1094">
        <v>102</v>
      </c>
      <c r="D141" s="1094"/>
      <c r="E141" s="1095"/>
      <c r="F141" s="1096">
        <v>101.5</v>
      </c>
      <c r="G141" s="1094"/>
      <c r="H141" s="1097"/>
      <c r="I141" s="2656" t="s">
        <v>2624</v>
      </c>
      <c r="J141" s="315">
        <v>1</v>
      </c>
      <c r="K141" s="1099">
        <f>ROUND(100+(J141-J140)*K139*100,1)</f>
        <v>96.4</v>
      </c>
    </row>
    <row r="142" spans="1:17" ht="15">
      <c r="B142" s="1093">
        <v>3</v>
      </c>
      <c r="C142" s="1094">
        <v>103</v>
      </c>
      <c r="D142" s="1094"/>
      <c r="E142" s="1095"/>
      <c r="F142" s="1096">
        <v>101</v>
      </c>
      <c r="G142" s="1094"/>
      <c r="H142" s="1097"/>
      <c r="I142" s="2656" t="s">
        <v>2625</v>
      </c>
      <c r="J142" s="315">
        <f>J139</f>
        <v>20</v>
      </c>
      <c r="K142" s="1100">
        <v>95</v>
      </c>
    </row>
    <row r="143" spans="1:17" ht="15">
      <c r="B143" s="1093">
        <v>2</v>
      </c>
      <c r="C143" s="1094">
        <v>100</v>
      </c>
      <c r="D143" s="1094"/>
      <c r="E143" s="1095"/>
      <c r="F143" s="1096">
        <v>100.5</v>
      </c>
      <c r="G143" s="1094"/>
      <c r="H143" s="1097"/>
      <c r="I143" s="2656" t="s">
        <v>2626</v>
      </c>
      <c r="J143" s="1094">
        <v>15</v>
      </c>
      <c r="K143" s="1099">
        <f>ROUND(100+(J143-J140)*K139*100,1)</f>
        <v>102</v>
      </c>
    </row>
    <row r="144" spans="1:17" ht="15">
      <c r="B144" s="1093">
        <v>1</v>
      </c>
      <c r="C144" s="1094">
        <v>98</v>
      </c>
      <c r="D144" s="2657" t="s">
        <v>2627</v>
      </c>
      <c r="E144" s="1095">
        <v>102</v>
      </c>
      <c r="F144" s="1101">
        <v>100</v>
      </c>
      <c r="G144" s="2657" t="s">
        <v>2627</v>
      </c>
      <c r="H144" s="1097">
        <v>105</v>
      </c>
      <c r="I144" s="2656" t="s">
        <v>2626</v>
      </c>
      <c r="J144" s="1094">
        <v>18</v>
      </c>
      <c r="K144" s="1099">
        <f>ROUND(100+(J144-J140)*K139*100,1)</f>
        <v>103.2</v>
      </c>
    </row>
    <row r="145" spans="2:11" ht="15.75" thickBot="1">
      <c r="B145" s="2658" t="s">
        <v>2628</v>
      </c>
      <c r="C145" s="1102">
        <f>ROUND(MAX(C139:C144)/MIN(C139:C144)-1,3)</f>
        <v>7.2999999999999995E-2</v>
      </c>
      <c r="D145" s="1103"/>
      <c r="E145" s="1103"/>
      <c r="F145" s="2659" t="s">
        <v>2629</v>
      </c>
      <c r="G145" s="2660"/>
      <c r="H145" s="2661"/>
      <c r="I145" s="2662" t="s">
        <v>2626</v>
      </c>
      <c r="J145" s="1104">
        <v>8</v>
      </c>
      <c r="K145" s="1105">
        <f>ROUND(100+(J145-J140)*K139*100,1)</f>
        <v>99.2</v>
      </c>
    </row>
    <row r="147" spans="2:11">
      <c r="B147" s="2643" t="s">
        <v>2630</v>
      </c>
    </row>
    <row r="148" spans="2:11">
      <c r="B148" s="2643"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8" t="s">
        <v>2632</v>
      </c>
      <c r="C1" s="1637" t="s">
        <v>2520</v>
      </c>
      <c r="D1" s="1624"/>
      <c r="E1" s="2663"/>
      <c r="F1" s="2590"/>
      <c r="G1" s="1634" t="s">
        <v>2633</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2320</v>
      </c>
      <c r="B2" s="1421" t="e">
        <f ca="1">IF(C2="——",ROUND(C49*D3/10000,0),ROUND(C49*D3/10000,0)-D2)</f>
        <v>#DIV/0!</v>
      </c>
      <c r="C2" s="2592"/>
      <c r="D2" s="1368" t="e">
        <f ca="1">SUMIF(INDIRECT("'"&amp;F2&amp;"'"&amp;"!A:A"),"承租人权益价值",INDIRECT("'"&amp;F2&amp;"'"&amp;"!c:c"))</f>
        <v>#REF!</v>
      </c>
      <c r="E2" s="2593" t="s">
        <v>2321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2322</v>
      </c>
      <c r="B3" s="609" t="e">
        <f ca="1">IF(C2="——",C49,ROUND(B2*10000/D3,0))</f>
        <v>#DIV/0!</v>
      </c>
      <c r="C3" s="400" t="s">
        <v>2634</v>
      </c>
      <c r="D3" s="399">
        <f>IF(D1="",'数据-汇总表'!E3,SUMIF('数据-汇总表'!$C19:$C33,D1,'数据-汇总表'!$E19:$E33))</f>
        <v>143860.73000000001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2635</v>
      </c>
      <c r="B4" s="402"/>
      <c r="C4" s="3150" t="s">
        <v>2636</v>
      </c>
      <c r="D4" s="3163"/>
      <c r="E4" s="3164" t="s">
        <v>2637</v>
      </c>
      <c r="F4" s="3165"/>
      <c r="G4" s="3150" t="s">
        <v>2638</v>
      </c>
      <c r="H4" s="3163"/>
      <c r="I4" s="3150" t="s">
        <v>2639</v>
      </c>
      <c r="J4" s="3163"/>
      <c r="K4" s="610" t="s">
        <v>2640</v>
      </c>
      <c r="L4" s="1133"/>
      <c r="M4" s="1134"/>
      <c r="N4" s="1134"/>
      <c r="O4" s="1134"/>
      <c r="P4" s="3166" t="s">
        <v>2641</v>
      </c>
      <c r="Q4" s="3167"/>
      <c r="R4" s="3172" t="s">
        <v>2637</v>
      </c>
      <c r="S4" s="3173"/>
      <c r="T4" s="3172" t="s">
        <v>2638</v>
      </c>
      <c r="U4" s="3173"/>
      <c r="V4" s="3159" t="s">
        <v>2639</v>
      </c>
      <c r="W4" s="3159"/>
      <c r="X4" s="1816"/>
      <c r="Y4" s="3172" t="s">
        <v>2641</v>
      </c>
      <c r="Z4" s="3173"/>
      <c r="AA4" s="3160" t="s">
        <v>2637</v>
      </c>
      <c r="AB4" s="3159" t="s">
        <v>2638</v>
      </c>
      <c r="AC4" s="3160" t="s">
        <v>2639</v>
      </c>
    </row>
    <row r="5" spans="1:29" ht="15">
      <c r="A5" s="404"/>
      <c r="B5" s="405"/>
      <c r="C5" s="3180" t="s">
        <v>2532</v>
      </c>
      <c r="D5" s="3181"/>
      <c r="E5" s="3187" t="s">
        <v>2533</v>
      </c>
      <c r="F5" s="3188"/>
      <c r="G5" s="3180" t="s">
        <v>2534</v>
      </c>
      <c r="H5" s="3181"/>
      <c r="I5" s="3180" t="s">
        <v>2535</v>
      </c>
      <c r="J5" s="3181"/>
      <c r="K5" s="610"/>
      <c r="L5" s="1133"/>
      <c r="M5" s="1134"/>
      <c r="N5" s="1134"/>
      <c r="O5" s="1134"/>
      <c r="P5" s="3168"/>
      <c r="Q5" s="3169"/>
      <c r="R5" s="3174"/>
      <c r="S5" s="3175"/>
      <c r="T5" s="3174"/>
      <c r="U5" s="3175"/>
      <c r="V5" s="3159"/>
      <c r="W5" s="3159"/>
      <c r="X5" s="1816"/>
      <c r="Y5" s="3174"/>
      <c r="Z5" s="3175"/>
      <c r="AA5" s="3161"/>
      <c r="AB5" s="3159"/>
      <c r="AC5" s="3161"/>
    </row>
    <row r="6" spans="1:29" ht="15.75" thickBot="1">
      <c r="A6" s="406"/>
      <c r="B6" s="407"/>
      <c r="C6" s="3178" t="s">
        <v>2536</v>
      </c>
      <c r="D6" s="3179"/>
      <c r="E6" s="3185" t="s">
        <v>2536</v>
      </c>
      <c r="F6" s="3186"/>
      <c r="G6" s="3178" t="s">
        <v>2536</v>
      </c>
      <c r="H6" s="3179"/>
      <c r="I6" s="3178" t="s">
        <v>2536</v>
      </c>
      <c r="J6" s="3179"/>
      <c r="K6" s="610" t="s">
        <v>2537</v>
      </c>
      <c r="L6" s="1133"/>
      <c r="M6" s="1134"/>
      <c r="N6" s="1134"/>
      <c r="O6" s="1134"/>
      <c r="P6" s="3170"/>
      <c r="Q6" s="3171"/>
      <c r="R6" s="3174"/>
      <c r="S6" s="3175"/>
      <c r="T6" s="3176"/>
      <c r="U6" s="3177"/>
      <c r="V6" s="3159"/>
      <c r="W6" s="3159"/>
      <c r="X6" s="1816"/>
      <c r="Y6" s="3176"/>
      <c r="Z6" s="3177"/>
      <c r="AA6" s="3162"/>
      <c r="AB6" s="3159"/>
      <c r="AC6" s="3162"/>
    </row>
    <row r="7" spans="1:29" s="117" customFormat="1" ht="15.75" thickBot="1">
      <c r="A7" s="408" t="s">
        <v>2538</v>
      </c>
      <c r="B7" s="409"/>
      <c r="C7" s="410">
        <f>'数据-取费表'!B2</f>
        <v>43557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2539</v>
      </c>
      <c r="Q7" s="3184"/>
      <c r="R7" s="770" t="s">
        <v>17</v>
      </c>
      <c r="S7" s="771">
        <f t="shared" ref="S7:S15" si="0">F7</f>
        <v>0</v>
      </c>
      <c r="T7" s="770" t="s">
        <v>17</v>
      </c>
      <c r="U7" s="771">
        <f t="shared" ref="U7:U15" si="1">H7</f>
        <v>0</v>
      </c>
      <c r="V7" s="770" t="s">
        <v>17</v>
      </c>
      <c r="W7" s="771">
        <f t="shared" ref="W7:W15" si="2">J7</f>
        <v>0</v>
      </c>
      <c r="X7" s="772"/>
      <c r="Y7" s="3182" t="s">
        <v>2539</v>
      </c>
      <c r="Z7" s="3183"/>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2542</v>
      </c>
      <c r="Q8" s="3183"/>
      <c r="R8" s="770" t="s">
        <v>17</v>
      </c>
      <c r="S8" s="771">
        <f t="shared" si="0"/>
        <v>0</v>
      </c>
      <c r="T8" s="770" t="s">
        <v>17</v>
      </c>
      <c r="U8" s="771">
        <f t="shared" si="1"/>
        <v>0</v>
      </c>
      <c r="V8" s="770" t="s">
        <v>17</v>
      </c>
      <c r="W8" s="771">
        <f t="shared" si="2"/>
        <v>0</v>
      </c>
      <c r="X8" s="772"/>
      <c r="Y8" s="3182" t="s">
        <v>2542</v>
      </c>
      <c r="Z8" s="3183"/>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2" t="s">
        <v>2545</v>
      </c>
      <c r="Q9" s="1798" t="str">
        <f t="shared" ref="Q9:Q15" si="6">B9</f>
        <v>用途</v>
      </c>
      <c r="R9" s="770" t="s">
        <v>17</v>
      </c>
      <c r="S9" s="771">
        <f t="shared" si="0"/>
        <v>100</v>
      </c>
      <c r="T9" s="770" t="s">
        <v>17</v>
      </c>
      <c r="U9" s="771">
        <f t="shared" si="1"/>
        <v>100</v>
      </c>
      <c r="V9" s="770" t="s">
        <v>17</v>
      </c>
      <c r="W9" s="771">
        <f t="shared" si="2"/>
        <v>100</v>
      </c>
      <c r="X9" s="772"/>
      <c r="Y9" s="300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2"/>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2"/>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2"/>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2"/>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2"/>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15">
      <c r="A15" s="440" t="s">
        <v>2549</v>
      </c>
      <c r="B15" s="69" t="s">
        <v>2643</v>
      </c>
      <c r="C15" s="2609"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5" t="s">
        <v>2550</v>
      </c>
      <c r="Q15" s="1813" t="str">
        <f t="shared" si="6"/>
        <v>商业繁华度</v>
      </c>
      <c r="R15" s="774" t="s">
        <v>17</v>
      </c>
      <c r="S15" s="775">
        <f t="shared" si="0"/>
        <v>100</v>
      </c>
      <c r="T15" s="774" t="s">
        <v>17</v>
      </c>
      <c r="U15" s="775">
        <f t="shared" si="1"/>
        <v>100</v>
      </c>
      <c r="V15" s="774" t="s">
        <v>17</v>
      </c>
      <c r="W15" s="775">
        <f t="shared" si="2"/>
        <v>100</v>
      </c>
      <c r="X15" s="1816"/>
      <c r="Y15" s="3155"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6"/>
      <c r="Q16" s="1813"/>
      <c r="R16" s="774"/>
      <c r="S16" s="775"/>
      <c r="T16" s="774"/>
      <c r="U16" s="775"/>
      <c r="V16" s="774"/>
      <c r="W16" s="775"/>
      <c r="X16" s="1816"/>
      <c r="Y16" s="3156"/>
      <c r="Z16" s="1817"/>
      <c r="AA16" s="1814">
        <v>1</v>
      </c>
      <c r="AB16" s="1814">
        <v>1</v>
      </c>
      <c r="AC16" s="1814">
        <v>1</v>
      </c>
    </row>
    <row r="17" spans="1:29" ht="15">
      <c r="A17" s="428"/>
      <c r="B17" s="451" t="s">
        <v>2089</v>
      </c>
      <c r="C17" s="261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6"/>
      <c r="Q17" s="1813" t="str">
        <f>B17</f>
        <v>交通便捷度</v>
      </c>
      <c r="R17" s="774" t="s">
        <v>17</v>
      </c>
      <c r="S17" s="775">
        <f>F17</f>
        <v>100</v>
      </c>
      <c r="T17" s="774" t="s">
        <v>17</v>
      </c>
      <c r="U17" s="775">
        <f>H17</f>
        <v>100</v>
      </c>
      <c r="V17" s="774" t="s">
        <v>17</v>
      </c>
      <c r="W17" s="775">
        <f>J17</f>
        <v>100</v>
      </c>
      <c r="X17" s="1816"/>
      <c r="Y17" s="315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26"/>
      <c r="Q18" s="1813"/>
      <c r="R18" s="774"/>
      <c r="S18" s="775"/>
      <c r="T18" s="774"/>
      <c r="U18" s="775"/>
      <c r="V18" s="774"/>
      <c r="W18" s="775"/>
      <c r="X18" s="1816"/>
      <c r="Y18" s="3156"/>
      <c r="Z18" s="1817"/>
      <c r="AA18" s="1814">
        <v>1</v>
      </c>
      <c r="AB18" s="1814">
        <v>1</v>
      </c>
      <c r="AC18" s="1814">
        <v>1</v>
      </c>
    </row>
    <row r="19" spans="1:29" ht="15">
      <c r="A19" s="428"/>
      <c r="B19" s="451" t="s">
        <v>2644</v>
      </c>
      <c r="C19" s="261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6"/>
      <c r="Q19" s="1813" t="str">
        <f>B19</f>
        <v>公共配套设施</v>
      </c>
      <c r="R19" s="774" t="s">
        <v>17</v>
      </c>
      <c r="S19" s="775">
        <f>F19</f>
        <v>100</v>
      </c>
      <c r="T19" s="774" t="s">
        <v>17</v>
      </c>
      <c r="U19" s="775">
        <f>H19</f>
        <v>100</v>
      </c>
      <c r="V19" s="774" t="s">
        <v>17</v>
      </c>
      <c r="W19" s="775">
        <f>J19</f>
        <v>100</v>
      </c>
      <c r="X19" s="1816"/>
      <c r="Y19" s="315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26"/>
      <c r="Q20" s="1813"/>
      <c r="R20" s="774"/>
      <c r="S20" s="775"/>
      <c r="T20" s="774"/>
      <c r="U20" s="775"/>
      <c r="V20" s="774"/>
      <c r="W20" s="775"/>
      <c r="X20" s="1816"/>
      <c r="Y20" s="3156"/>
      <c r="Z20" s="1817"/>
      <c r="AA20" s="1814">
        <v>1</v>
      </c>
      <c r="AB20" s="1814">
        <v>1</v>
      </c>
      <c r="AC20" s="1814">
        <v>1</v>
      </c>
    </row>
    <row r="21" spans="1:29" ht="15">
      <c r="A21" s="428"/>
      <c r="B21" s="1387" t="s">
        <v>2645</v>
      </c>
      <c r="C21" s="2613"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5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26"/>
      <c r="Q22" s="1813"/>
      <c r="R22" s="774"/>
      <c r="S22" s="775"/>
      <c r="T22" s="774"/>
      <c r="U22" s="775"/>
      <c r="V22" s="774"/>
      <c r="W22" s="775"/>
      <c r="X22" s="1816"/>
      <c r="Y22" s="3156"/>
      <c r="Z22" s="1817"/>
      <c r="AA22" s="1814">
        <v>1</v>
      </c>
      <c r="AB22" s="1814">
        <v>1</v>
      </c>
      <c r="AC22" s="1814">
        <v>1</v>
      </c>
    </row>
    <row r="23" spans="1:29" ht="15">
      <c r="A23" s="428"/>
      <c r="B23" s="451" t="s">
        <v>2094</v>
      </c>
      <c r="C23" s="267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6"/>
      <c r="Q23" s="1813" t="str">
        <f>B23</f>
        <v>自然及人文环境</v>
      </c>
      <c r="R23" s="774" t="s">
        <v>17</v>
      </c>
      <c r="S23" s="775">
        <f>F23</f>
        <v>100</v>
      </c>
      <c r="T23" s="774" t="s">
        <v>17</v>
      </c>
      <c r="U23" s="775">
        <f>H23</f>
        <v>100</v>
      </c>
      <c r="V23" s="774" t="s">
        <v>17</v>
      </c>
      <c r="W23" s="775">
        <f>J23</f>
        <v>100</v>
      </c>
      <c r="X23" s="1816"/>
      <c r="Y23" s="3156"/>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26"/>
      <c r="Q24" s="1813"/>
      <c r="R24" s="774"/>
      <c r="S24" s="775"/>
      <c r="T24" s="774"/>
      <c r="U24" s="775"/>
      <c r="V24" s="774"/>
      <c r="W24" s="775"/>
      <c r="X24" s="1816"/>
      <c r="Y24" s="3156"/>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6"/>
      <c r="Q25" s="1813" t="str">
        <f t="shared" ref="Q25:Q46" si="11">B25</f>
        <v>临街状况</v>
      </c>
      <c r="R25" s="774" t="s">
        <v>17</v>
      </c>
      <c r="S25" s="775">
        <f>F25</f>
        <v>100</v>
      </c>
      <c r="T25" s="774" t="s">
        <v>17</v>
      </c>
      <c r="U25" s="775">
        <f>H25</f>
        <v>100</v>
      </c>
      <c r="V25" s="774" t="s">
        <v>17</v>
      </c>
      <c r="W25" s="775">
        <f>J25</f>
        <v>100</v>
      </c>
      <c r="X25" s="1816"/>
      <c r="Y25" s="3156"/>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6"/>
      <c r="Q26" s="1813" t="str">
        <f t="shared" si="11"/>
        <v>平面位置/可视性</v>
      </c>
      <c r="R26" s="774" t="s">
        <v>17</v>
      </c>
      <c r="S26" s="775">
        <f>F26</f>
        <v>100</v>
      </c>
      <c r="T26" s="774" t="s">
        <v>17</v>
      </c>
      <c r="U26" s="775">
        <f>H26</f>
        <v>100</v>
      </c>
      <c r="V26" s="774" t="s">
        <v>17</v>
      </c>
      <c r="W26" s="775">
        <f>J26</f>
        <v>100</v>
      </c>
      <c r="X26" s="1816"/>
      <c r="Y26" s="3156"/>
      <c r="Z26" s="1817" t="str">
        <f>Q26</f>
        <v>平面位置/可视性</v>
      </c>
      <c r="AA26" s="1814">
        <f t="shared" si="3"/>
        <v>1</v>
      </c>
      <c r="AB26" s="1814">
        <f t="shared" si="4"/>
        <v>1</v>
      </c>
      <c r="AC26" s="1814">
        <f t="shared" si="5"/>
        <v>1</v>
      </c>
    </row>
    <row r="27" spans="1:29" s="117" customFormat="1" ht="15">
      <c r="A27" s="431"/>
      <c r="B27" s="451" t="s">
        <v>2648</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6"/>
      <c r="Q27" s="1798" t="str">
        <f t="shared" si="11"/>
        <v>人流量</v>
      </c>
      <c r="R27" s="770" t="s">
        <v>17</v>
      </c>
      <c r="S27" s="771">
        <f>F27</f>
        <v>100</v>
      </c>
      <c r="T27" s="770" t="s">
        <v>17</v>
      </c>
      <c r="U27" s="771">
        <f>H27</f>
        <v>100</v>
      </c>
      <c r="V27" s="770" t="s">
        <v>17</v>
      </c>
      <c r="W27" s="771">
        <f>J27</f>
        <v>100</v>
      </c>
      <c r="X27" s="772"/>
      <c r="Y27" s="3156"/>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6"/>
      <c r="Q29" s="1813">
        <f t="shared" si="11"/>
        <v>111</v>
      </c>
      <c r="R29" s="774" t="s">
        <v>17</v>
      </c>
      <c r="S29" s="775">
        <f t="shared" si="12"/>
        <v>100</v>
      </c>
      <c r="T29" s="774" t="s">
        <v>17</v>
      </c>
      <c r="U29" s="775">
        <f t="shared" si="13"/>
        <v>100</v>
      </c>
      <c r="V29" s="774" t="s">
        <v>17</v>
      </c>
      <c r="W29" s="775">
        <f t="shared" si="14"/>
        <v>100</v>
      </c>
      <c r="X29" s="1816"/>
      <c r="Y29" s="315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15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156"/>
      <c r="Z31" s="1817">
        <f t="shared" si="15"/>
        <v>111</v>
      </c>
      <c r="AA31" s="1814">
        <f t="shared" si="3"/>
        <v>1</v>
      </c>
      <c r="AB31" s="1814">
        <f t="shared" si="4"/>
        <v>1</v>
      </c>
      <c r="AC31" s="1814">
        <f t="shared" si="5"/>
        <v>1</v>
      </c>
    </row>
    <row r="32" spans="1:29" ht="15">
      <c r="A32" s="440" t="s">
        <v>2553</v>
      </c>
      <c r="B32" s="71" t="s">
        <v>2650</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21" t="s">
        <v>2555</v>
      </c>
      <c r="Q32" s="1813" t="str">
        <f t="shared" si="11"/>
        <v>商业类型</v>
      </c>
      <c r="R32" s="774" t="s">
        <v>17</v>
      </c>
      <c r="S32" s="775">
        <f t="shared" si="12"/>
        <v>100</v>
      </c>
      <c r="T32" s="774" t="s">
        <v>17</v>
      </c>
      <c r="U32" s="775">
        <f t="shared" si="13"/>
        <v>100</v>
      </c>
      <c r="V32" s="774" t="s">
        <v>17</v>
      </c>
      <c r="W32" s="775">
        <f t="shared" si="14"/>
        <v>100</v>
      </c>
      <c r="X32" s="1816"/>
      <c r="Y32" s="3158"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2"/>
      <c r="Q33" s="776" t="str">
        <f t="shared" si="11"/>
        <v>项目建筑规模</v>
      </c>
      <c r="R33" s="777" t="s">
        <v>17</v>
      </c>
      <c r="S33" s="778" t="e">
        <f t="shared" si="12"/>
        <v>#N/A</v>
      </c>
      <c r="T33" s="777" t="s">
        <v>17</v>
      </c>
      <c r="U33" s="778" t="e">
        <f t="shared" si="13"/>
        <v>#N/A</v>
      </c>
      <c r="V33" s="777" t="s">
        <v>17</v>
      </c>
      <c r="W33" s="778" t="e">
        <f t="shared" si="14"/>
        <v>#N/A</v>
      </c>
      <c r="X33" s="779"/>
      <c r="Y33" s="3158"/>
      <c r="Z33" s="780" t="str">
        <f t="shared" si="15"/>
        <v>项目建筑规模</v>
      </c>
      <c r="AA33" s="1814" t="e">
        <f t="shared" si="3"/>
        <v>#N/A</v>
      </c>
      <c r="AB33" s="1814" t="e">
        <f t="shared" si="4"/>
        <v>#N/A</v>
      </c>
      <c r="AC33" s="1814" t="e">
        <f t="shared" si="5"/>
        <v>#N/A</v>
      </c>
    </row>
    <row r="34" spans="1:29" ht="15">
      <c r="A34" s="472"/>
      <c r="B34" s="422" t="s">
        <v>2557</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22"/>
      <c r="Q34" s="1813" t="str">
        <f t="shared" si="11"/>
        <v>建筑结构</v>
      </c>
      <c r="R34" s="774" t="s">
        <v>17</v>
      </c>
      <c r="S34" s="775">
        <f t="shared" si="12"/>
        <v>100</v>
      </c>
      <c r="T34" s="774" t="s">
        <v>17</v>
      </c>
      <c r="U34" s="775">
        <f t="shared" si="13"/>
        <v>100</v>
      </c>
      <c r="V34" s="774" t="s">
        <v>17</v>
      </c>
      <c r="W34" s="775">
        <f t="shared" si="14"/>
        <v>100</v>
      </c>
      <c r="X34" s="1816"/>
      <c r="Y34" s="3158"/>
      <c r="Z34" s="1817" t="str">
        <f t="shared" si="15"/>
        <v>建筑结构</v>
      </c>
      <c r="AA34" s="1814">
        <f t="shared" si="3"/>
        <v>1</v>
      </c>
      <c r="AB34" s="1814">
        <f t="shared" si="4"/>
        <v>1</v>
      </c>
      <c r="AC34" s="1814">
        <f t="shared" si="5"/>
        <v>1</v>
      </c>
    </row>
    <row r="35" spans="1:29" ht="15">
      <c r="A35" s="472"/>
      <c r="B35" s="422" t="s">
        <v>2651</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22"/>
      <c r="Q35" s="1813" t="str">
        <f t="shared" si="11"/>
        <v>公共部分装修</v>
      </c>
      <c r="R35" s="774" t="s">
        <v>17</v>
      </c>
      <c r="S35" s="775">
        <f t="shared" si="12"/>
        <v>100</v>
      </c>
      <c r="T35" s="774" t="s">
        <v>17</v>
      </c>
      <c r="U35" s="775">
        <f t="shared" si="13"/>
        <v>100</v>
      </c>
      <c r="V35" s="774" t="s">
        <v>17</v>
      </c>
      <c r="W35" s="775">
        <f t="shared" si="14"/>
        <v>100</v>
      </c>
      <c r="X35" s="1816"/>
      <c r="Y35" s="3158"/>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2"/>
      <c r="Q36" s="1813" t="str">
        <f t="shared" si="11"/>
        <v>成新度</v>
      </c>
      <c r="R36" s="774" t="s">
        <v>17</v>
      </c>
      <c r="S36" s="775" t="e">
        <f t="shared" si="12"/>
        <v>#N/A</v>
      </c>
      <c r="T36" s="774" t="s">
        <v>17</v>
      </c>
      <c r="U36" s="775" t="e">
        <f t="shared" si="13"/>
        <v>#N/A</v>
      </c>
      <c r="V36" s="774" t="s">
        <v>17</v>
      </c>
      <c r="W36" s="775" t="e">
        <f t="shared" si="14"/>
        <v>#N/A</v>
      </c>
      <c r="X36" s="1816"/>
      <c r="Y36" s="3158"/>
      <c r="Z36" s="1817" t="str">
        <f t="shared" si="15"/>
        <v>成新度</v>
      </c>
      <c r="AA36" s="1814" t="e">
        <f t="shared" si="3"/>
        <v>#N/A</v>
      </c>
      <c r="AB36" s="1814" t="e">
        <f t="shared" si="4"/>
        <v>#N/A</v>
      </c>
      <c r="AC36" s="1814" t="e">
        <f t="shared" si="5"/>
        <v>#N/A</v>
      </c>
    </row>
    <row r="37" spans="1:29" s="117" customFormat="1" ht="15">
      <c r="A37" s="473"/>
      <c r="B37" s="422" t="s">
        <v>2653</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22"/>
      <c r="Q37" s="1798" t="str">
        <f t="shared" si="11"/>
        <v>市政基础设施</v>
      </c>
      <c r="R37" s="770" t="s">
        <v>17</v>
      </c>
      <c r="S37" s="771">
        <f t="shared" si="12"/>
        <v>100</v>
      </c>
      <c r="T37" s="770" t="s">
        <v>17</v>
      </c>
      <c r="U37" s="771">
        <f t="shared" si="13"/>
        <v>100</v>
      </c>
      <c r="V37" s="770" t="s">
        <v>17</v>
      </c>
      <c r="W37" s="771">
        <f t="shared" si="14"/>
        <v>100</v>
      </c>
      <c r="X37" s="772"/>
      <c r="Y37" s="3158"/>
      <c r="Z37" s="55" t="str">
        <f t="shared" si="15"/>
        <v>市政基础设施</v>
      </c>
      <c r="AA37" s="773">
        <f t="shared" si="3"/>
        <v>1</v>
      </c>
      <c r="AB37" s="773">
        <f t="shared" si="4"/>
        <v>1</v>
      </c>
      <c r="AC37" s="773">
        <f t="shared" si="5"/>
        <v>1</v>
      </c>
    </row>
    <row r="38" spans="1:29" ht="15">
      <c r="A38" s="472"/>
      <c r="B38" s="422" t="s">
        <v>2654</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22" t="s">
        <v>2555</v>
      </c>
      <c r="Q38" s="1813" t="str">
        <f t="shared" si="11"/>
        <v>业态</v>
      </c>
      <c r="R38" s="774" t="s">
        <v>17</v>
      </c>
      <c r="S38" s="775">
        <f t="shared" si="12"/>
        <v>100</v>
      </c>
      <c r="T38" s="774" t="s">
        <v>17</v>
      </c>
      <c r="U38" s="775">
        <f t="shared" si="13"/>
        <v>100</v>
      </c>
      <c r="V38" s="774" t="s">
        <v>17</v>
      </c>
      <c r="W38" s="775">
        <f t="shared" si="14"/>
        <v>100</v>
      </c>
      <c r="X38" s="1816"/>
      <c r="Y38" s="3158" t="s">
        <v>2555</v>
      </c>
      <c r="Z38" s="1817" t="str">
        <f t="shared" si="15"/>
        <v>业态</v>
      </c>
      <c r="AA38" s="1814">
        <f t="shared" si="3"/>
        <v>1</v>
      </c>
      <c r="AB38" s="1814">
        <f t="shared" si="4"/>
        <v>1</v>
      </c>
      <c r="AC38" s="1814">
        <f t="shared" si="5"/>
        <v>1</v>
      </c>
    </row>
    <row r="39" spans="1:29" ht="15">
      <c r="A39" s="472"/>
      <c r="B39" s="422" t="s">
        <v>2655</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22"/>
      <c r="Q39" s="1813" t="str">
        <f t="shared" si="11"/>
        <v>层高</v>
      </c>
      <c r="R39" s="774" t="s">
        <v>17</v>
      </c>
      <c r="S39" s="775">
        <f t="shared" si="12"/>
        <v>100</v>
      </c>
      <c r="T39" s="774" t="s">
        <v>17</v>
      </c>
      <c r="U39" s="775">
        <f t="shared" si="13"/>
        <v>100</v>
      </c>
      <c r="V39" s="774" t="s">
        <v>17</v>
      </c>
      <c r="W39" s="775">
        <f t="shared" si="14"/>
        <v>100</v>
      </c>
      <c r="X39" s="1816"/>
      <c r="Y39" s="3158"/>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2"/>
      <c r="Q40" s="1813" t="str">
        <f t="shared" si="11"/>
        <v>单套建筑面积</v>
      </c>
      <c r="R40" s="774" t="s">
        <v>17</v>
      </c>
      <c r="S40" s="775">
        <f t="shared" si="12"/>
        <v>100</v>
      </c>
      <c r="T40" s="774" t="s">
        <v>17</v>
      </c>
      <c r="U40" s="775">
        <f t="shared" si="13"/>
        <v>100</v>
      </c>
      <c r="V40" s="774" t="s">
        <v>17</v>
      </c>
      <c r="W40" s="775">
        <f t="shared" si="14"/>
        <v>100</v>
      </c>
      <c r="X40" s="1816"/>
      <c r="Y40" s="3158"/>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2"/>
      <c r="Q41" s="776" t="str">
        <f t="shared" si="11"/>
        <v>进深比</v>
      </c>
      <c r="R41" s="777" t="s">
        <v>17</v>
      </c>
      <c r="S41" s="778">
        <f t="shared" si="12"/>
        <v>100</v>
      </c>
      <c r="T41" s="777" t="s">
        <v>17</v>
      </c>
      <c r="U41" s="778">
        <f t="shared" si="13"/>
        <v>100</v>
      </c>
      <c r="V41" s="777" t="s">
        <v>17</v>
      </c>
      <c r="W41" s="778">
        <f t="shared" si="14"/>
        <v>100</v>
      </c>
      <c r="X41" s="779"/>
      <c r="Y41" s="3158"/>
      <c r="Z41" s="780" t="str">
        <f t="shared" si="15"/>
        <v>进深比</v>
      </c>
      <c r="AA41" s="1814">
        <f t="shared" si="3"/>
        <v>1</v>
      </c>
      <c r="AB41" s="1814">
        <f t="shared" si="4"/>
        <v>1</v>
      </c>
      <c r="AC41" s="1814">
        <f t="shared" si="5"/>
        <v>1</v>
      </c>
    </row>
    <row r="42" spans="1:29" ht="15">
      <c r="A42" s="472"/>
      <c r="B42" s="422" t="s">
        <v>2658</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22"/>
      <c r="Q42" s="1813" t="str">
        <f t="shared" si="11"/>
        <v>内部装修</v>
      </c>
      <c r="R42" s="774" t="s">
        <v>17</v>
      </c>
      <c r="S42" s="775">
        <f t="shared" si="12"/>
        <v>100</v>
      </c>
      <c r="T42" s="774" t="s">
        <v>17</v>
      </c>
      <c r="U42" s="775">
        <f t="shared" si="13"/>
        <v>100</v>
      </c>
      <c r="V42" s="774" t="s">
        <v>17</v>
      </c>
      <c r="W42" s="775">
        <f t="shared" si="14"/>
        <v>100</v>
      </c>
      <c r="X42" s="1816"/>
      <c r="Y42" s="3158"/>
      <c r="Z42" s="1817" t="str">
        <f t="shared" si="15"/>
        <v>内部装修</v>
      </c>
      <c r="AA42" s="1814">
        <f t="shared" si="3"/>
        <v>1</v>
      </c>
      <c r="AB42" s="1814">
        <f t="shared" si="4"/>
        <v>1</v>
      </c>
      <c r="AC42" s="1814">
        <f t="shared" si="5"/>
        <v>1</v>
      </c>
    </row>
    <row r="43" spans="1:29" ht="15">
      <c r="A43" s="472"/>
      <c r="B43" s="422" t="s">
        <v>2566</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22"/>
      <c r="Q43" s="1813" t="str">
        <f t="shared" si="11"/>
        <v>内部装修维护情况</v>
      </c>
      <c r="R43" s="774" t="s">
        <v>17</v>
      </c>
      <c r="S43" s="775">
        <f t="shared" si="12"/>
        <v>100</v>
      </c>
      <c r="T43" s="774" t="s">
        <v>17</v>
      </c>
      <c r="U43" s="775">
        <f t="shared" si="13"/>
        <v>100</v>
      </c>
      <c r="V43" s="774" t="s">
        <v>17</v>
      </c>
      <c r="W43" s="775">
        <f t="shared" si="14"/>
        <v>100</v>
      </c>
      <c r="X43" s="1816"/>
      <c r="Y43" s="315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2"/>
      <c r="Q44" s="1798">
        <f t="shared" si="11"/>
        <v>111</v>
      </c>
      <c r="R44" s="770" t="s">
        <v>17</v>
      </c>
      <c r="S44" s="771">
        <f t="shared" si="12"/>
        <v>100</v>
      </c>
      <c r="T44" s="770" t="s">
        <v>17</v>
      </c>
      <c r="U44" s="771">
        <f t="shared" si="13"/>
        <v>100</v>
      </c>
      <c r="V44" s="770" t="s">
        <v>17</v>
      </c>
      <c r="W44" s="771">
        <f t="shared" si="14"/>
        <v>100</v>
      </c>
      <c r="X44" s="772"/>
      <c r="Y44" s="315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2"/>
      <c r="Q45" s="1813">
        <f t="shared" si="11"/>
        <v>111</v>
      </c>
      <c r="R45" s="774" t="s">
        <v>17</v>
      </c>
      <c r="S45" s="775">
        <f t="shared" si="12"/>
        <v>100</v>
      </c>
      <c r="T45" s="774" t="s">
        <v>17</v>
      </c>
      <c r="U45" s="775">
        <f t="shared" si="13"/>
        <v>100</v>
      </c>
      <c r="V45" s="774" t="s">
        <v>17</v>
      </c>
      <c r="W45" s="775">
        <f t="shared" si="14"/>
        <v>100</v>
      </c>
      <c r="X45" s="1816"/>
      <c r="Y45" s="3158"/>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3"/>
      <c r="Q46" s="1813">
        <f t="shared" si="11"/>
        <v>111</v>
      </c>
      <c r="R46" s="774" t="s">
        <v>17</v>
      </c>
      <c r="S46" s="775">
        <f t="shared" si="12"/>
        <v>100</v>
      </c>
      <c r="T46" s="774" t="s">
        <v>17</v>
      </c>
      <c r="U46" s="775">
        <f t="shared" si="13"/>
        <v>100</v>
      </c>
      <c r="V46" s="774" t="s">
        <v>17</v>
      </c>
      <c r="W46" s="775">
        <f t="shared" si="14"/>
        <v>100</v>
      </c>
      <c r="X46" s="1816"/>
      <c r="Y46" s="3224"/>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153" t="str">
        <f>A47</f>
        <v>成交单价（元/平方米）</v>
      </c>
      <c r="Q47" s="3153"/>
      <c r="R47" s="3159">
        <f>E47</f>
        <v>0</v>
      </c>
      <c r="S47" s="3159"/>
      <c r="T47" s="3159">
        <f>G47</f>
        <v>0</v>
      </c>
      <c r="U47" s="3159"/>
      <c r="V47" s="3159">
        <f>I47</f>
        <v>0</v>
      </c>
      <c r="W47" s="3159"/>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153" t="str">
        <f>A48</f>
        <v>比较价值（元/平方米）</v>
      </c>
      <c r="Q48" s="3153"/>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147" t="str">
        <f>A49</f>
        <v>估价对象XX用房的比较价值（楼面单价，元/平方米）</v>
      </c>
      <c r="Q49" s="314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2538</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2575</v>
      </c>
      <c r="B60" s="516"/>
      <c r="C60" s="517"/>
      <c r="D60" s="518"/>
      <c r="E60" s="518"/>
      <c r="F60" s="518"/>
      <c r="G60" s="518"/>
      <c r="H60" s="518"/>
      <c r="I60" s="518"/>
      <c r="J60" s="518"/>
      <c r="K60" s="518"/>
      <c r="L60" s="518"/>
      <c r="M60" s="519"/>
      <c r="N60" s="518"/>
      <c r="O60" s="519"/>
      <c r="P60" s="2634"/>
      <c r="Q60" s="504"/>
    </row>
    <row r="61" spans="1:29" s="117" customFormat="1" ht="15">
      <c r="A61" s="521" t="s">
        <v>2540</v>
      </c>
      <c r="B61" s="510"/>
      <c r="C61" s="522" t="s">
        <v>2642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2578</v>
      </c>
      <c r="B63" s="528" t="s">
        <v>2544</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2670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2553</v>
      </c>
      <c r="B100" s="528" t="s">
        <v>2671</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2604</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2606</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2672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2673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2674</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2610</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5" t="s">
        <v>2676</v>
      </c>
      <c r="C1" s="1623" t="s">
        <v>2520</v>
      </c>
      <c r="D1" s="1624"/>
      <c r="E1" s="1633"/>
      <c r="F1" s="2590"/>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92"/>
      <c r="D2" s="1368" t="e">
        <f ca="1">SUMIF(INDIRECT("'"&amp;F2&amp;"'"&amp;"!A:A"),"承租人权益价值",INDIRECT("'"&amp;F2&amp;"'"&amp;"!c:c"))</f>
        <v>#REF!</v>
      </c>
      <c r="E2" s="2593" t="s">
        <v>2321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2634</v>
      </c>
      <c r="D3" s="399">
        <f>IF(D1="",'数据-汇总表'!E3,SUMIF('数据-汇总表'!$C19:$C33,D1,'数据-汇总表'!$E19:$E33))</f>
        <v>143860.73000000001</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150" t="s">
        <v>2636</v>
      </c>
      <c r="D4" s="3163"/>
      <c r="E4" s="3164" t="s">
        <v>2637</v>
      </c>
      <c r="F4" s="3165"/>
      <c r="G4" s="3150" t="s">
        <v>2638</v>
      </c>
      <c r="H4" s="3163"/>
      <c r="I4" s="3150" t="s">
        <v>2639</v>
      </c>
      <c r="J4" s="3163"/>
      <c r="K4" s="610" t="s">
        <v>2640</v>
      </c>
      <c r="L4" s="1133"/>
      <c r="M4" s="1134"/>
      <c r="N4" s="1134"/>
      <c r="O4" s="1134"/>
      <c r="P4" s="3233" t="s">
        <v>2641</v>
      </c>
      <c r="Q4" s="3234"/>
      <c r="R4" s="3237" t="s">
        <v>2637</v>
      </c>
      <c r="S4" s="3238"/>
      <c r="T4" s="3237" t="s">
        <v>2638</v>
      </c>
      <c r="U4" s="3238"/>
      <c r="V4" s="3239" t="s">
        <v>2639</v>
      </c>
      <c r="W4" s="3239"/>
      <c r="X4" s="2676"/>
      <c r="Y4" s="3237" t="s">
        <v>2641</v>
      </c>
      <c r="Z4" s="3238"/>
      <c r="AA4" s="3241" t="s">
        <v>2637</v>
      </c>
      <c r="AB4" s="3241" t="s">
        <v>2638</v>
      </c>
      <c r="AC4" s="3230" t="s">
        <v>2639</v>
      </c>
    </row>
    <row r="5" spans="1:29" ht="15">
      <c r="A5" s="404"/>
      <c r="B5" s="405"/>
      <c r="C5" s="3180" t="s">
        <v>2532</v>
      </c>
      <c r="D5" s="3181"/>
      <c r="E5" s="3187" t="s">
        <v>2533</v>
      </c>
      <c r="F5" s="3188"/>
      <c r="G5" s="3180" t="s">
        <v>2534</v>
      </c>
      <c r="H5" s="3181"/>
      <c r="I5" s="3180" t="s">
        <v>2535</v>
      </c>
      <c r="J5" s="3181"/>
      <c r="K5" s="610"/>
      <c r="L5" s="1133"/>
      <c r="M5" s="1134"/>
      <c r="N5" s="1134"/>
      <c r="O5" s="1134"/>
      <c r="P5" s="3235"/>
      <c r="Q5" s="3169"/>
      <c r="R5" s="3174"/>
      <c r="S5" s="3175"/>
      <c r="T5" s="3174"/>
      <c r="U5" s="3175"/>
      <c r="V5" s="3159"/>
      <c r="W5" s="3159"/>
      <c r="X5" s="1816"/>
      <c r="Y5" s="3174"/>
      <c r="Z5" s="3175"/>
      <c r="AA5" s="3161"/>
      <c r="AB5" s="3161"/>
      <c r="AC5" s="3231"/>
    </row>
    <row r="6" spans="1:29" ht="15.75" thickBot="1">
      <c r="A6" s="406"/>
      <c r="B6" s="407"/>
      <c r="C6" s="3178" t="s">
        <v>2536</v>
      </c>
      <c r="D6" s="3179"/>
      <c r="E6" s="3185" t="s">
        <v>2536</v>
      </c>
      <c r="F6" s="3186"/>
      <c r="G6" s="3178" t="s">
        <v>2536</v>
      </c>
      <c r="H6" s="3179"/>
      <c r="I6" s="3178" t="s">
        <v>2536</v>
      </c>
      <c r="J6" s="3179"/>
      <c r="K6" s="610" t="s">
        <v>2537</v>
      </c>
      <c r="L6" s="1133"/>
      <c r="M6" s="1134"/>
      <c r="N6" s="1134"/>
      <c r="O6" s="1134"/>
      <c r="P6" s="3236"/>
      <c r="Q6" s="3171"/>
      <c r="R6" s="3174"/>
      <c r="S6" s="3175"/>
      <c r="T6" s="3176"/>
      <c r="U6" s="3177"/>
      <c r="V6" s="3159"/>
      <c r="W6" s="3159"/>
      <c r="X6" s="1816"/>
      <c r="Y6" s="3176"/>
      <c r="Z6" s="3177"/>
      <c r="AA6" s="3162"/>
      <c r="AB6" s="3162"/>
      <c r="AC6" s="3232"/>
    </row>
    <row r="7" spans="1:29" s="117" customFormat="1" ht="15.75" thickBot="1">
      <c r="A7" s="408" t="s">
        <v>2538</v>
      </c>
      <c r="B7" s="409"/>
      <c r="C7" s="410">
        <f>'数据-取费表'!B2</f>
        <v>43557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0" t="s">
        <v>2539</v>
      </c>
      <c r="Q7" s="3184"/>
      <c r="R7" s="770" t="s">
        <v>17</v>
      </c>
      <c r="S7" s="771">
        <f t="shared" ref="S7:S15" si="0">F7</f>
        <v>0</v>
      </c>
      <c r="T7" s="770" t="s">
        <v>17</v>
      </c>
      <c r="U7" s="771">
        <f t="shared" ref="U7:U15" si="1">H7</f>
        <v>0</v>
      </c>
      <c r="V7" s="770" t="s">
        <v>17</v>
      </c>
      <c r="W7" s="771">
        <f t="shared" ref="W7:W15" si="2">J7</f>
        <v>0</v>
      </c>
      <c r="X7" s="772"/>
      <c r="Y7" s="3182" t="s">
        <v>2539</v>
      </c>
      <c r="Z7" s="3183"/>
      <c r="AA7" s="773" t="e">
        <f>D7/F7</f>
        <v>#DIV/0!</v>
      </c>
      <c r="AB7" s="773" t="e">
        <f>D7/H7</f>
        <v>#DIV/0!</v>
      </c>
      <c r="AC7" s="2677" t="e">
        <f>D7/J7</f>
        <v>#DIV/0!</v>
      </c>
    </row>
    <row r="8" spans="1:29" s="117" customFormat="1" ht="15.75" thickBot="1">
      <c r="A8" s="408" t="s">
        <v>2540</v>
      </c>
      <c r="B8" s="409"/>
      <c r="C8" s="414" t="s">
        <v>2642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0" t="s">
        <v>2542</v>
      </c>
      <c r="Q8" s="3183"/>
      <c r="R8" s="770" t="s">
        <v>17</v>
      </c>
      <c r="S8" s="771">
        <f t="shared" si="0"/>
        <v>0</v>
      </c>
      <c r="T8" s="770" t="s">
        <v>17</v>
      </c>
      <c r="U8" s="771">
        <f t="shared" si="1"/>
        <v>0</v>
      </c>
      <c r="V8" s="770" t="s">
        <v>17</v>
      </c>
      <c r="W8" s="771">
        <f t="shared" si="2"/>
        <v>0</v>
      </c>
      <c r="X8" s="772"/>
      <c r="Y8" s="3182" t="s">
        <v>2542</v>
      </c>
      <c r="Z8" s="3183"/>
      <c r="AA8" s="773" t="e">
        <f t="shared" ref="AA8:AA47" si="3">D8/F8</f>
        <v>#DIV/0!</v>
      </c>
      <c r="AB8" s="773" t="e">
        <f t="shared" ref="AB8:AB47" si="4">D8/H8</f>
        <v>#DIV/0!</v>
      </c>
      <c r="AC8" s="2677" t="e">
        <f t="shared" ref="AC8:AC47" si="5">D8/J8</f>
        <v>#DIV/0!</v>
      </c>
    </row>
    <row r="9" spans="1:29" s="117" customFormat="1">
      <c r="A9" s="415" t="s">
        <v>2543</v>
      </c>
      <c r="B9" s="71" t="s">
        <v>2544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2" t="s">
        <v>2545</v>
      </c>
      <c r="Q9" s="1798" t="str">
        <f t="shared" ref="Q9:Q15" si="6">B9</f>
        <v>用途</v>
      </c>
      <c r="R9" s="770" t="s">
        <v>17</v>
      </c>
      <c r="S9" s="771">
        <f t="shared" si="0"/>
        <v>100</v>
      </c>
      <c r="T9" s="770" t="s">
        <v>17</v>
      </c>
      <c r="U9" s="771">
        <f t="shared" si="1"/>
        <v>100</v>
      </c>
      <c r="V9" s="770" t="s">
        <v>17</v>
      </c>
      <c r="W9" s="771">
        <f t="shared" si="2"/>
        <v>100</v>
      </c>
      <c r="X9" s="772"/>
      <c r="Y9" s="3004" t="s">
        <v>2546</v>
      </c>
      <c r="Z9" s="55" t="str">
        <f t="shared" ref="Z9:Z15" si="7">Q9</f>
        <v>用途</v>
      </c>
      <c r="AA9" s="773">
        <f t="shared" si="3"/>
        <v>1</v>
      </c>
      <c r="AB9" s="773">
        <f t="shared" si="4"/>
        <v>1</v>
      </c>
      <c r="AC9" s="2677">
        <f t="shared" si="5"/>
        <v>1</v>
      </c>
    </row>
    <row r="10" spans="1:29" s="427" customFormat="1" ht="27">
      <c r="A10" s="421"/>
      <c r="B10" s="422" t="s">
        <v>2547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2"/>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77">
        <f t="shared" si="5"/>
        <v>1</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2"/>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52"/>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52"/>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52"/>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77">
        <f t="shared" si="5"/>
        <v>1</v>
      </c>
    </row>
    <row r="15" spans="1:29" ht="15">
      <c r="A15" s="440" t="s">
        <v>2549</v>
      </c>
      <c r="B15" s="629" t="s">
        <v>2677</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5" t="s">
        <v>2550</v>
      </c>
      <c r="Q15" s="1813" t="str">
        <f t="shared" si="6"/>
        <v>办公集聚程度</v>
      </c>
      <c r="R15" s="774" t="s">
        <v>17</v>
      </c>
      <c r="S15" s="775">
        <f t="shared" si="0"/>
        <v>100</v>
      </c>
      <c r="T15" s="774" t="s">
        <v>17</v>
      </c>
      <c r="U15" s="775">
        <f t="shared" si="1"/>
        <v>100</v>
      </c>
      <c r="V15" s="774" t="s">
        <v>17</v>
      </c>
      <c r="W15" s="775">
        <f t="shared" si="2"/>
        <v>100</v>
      </c>
      <c r="X15" s="1816"/>
      <c r="Y15" s="3155" t="s">
        <v>2550</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26"/>
      <c r="Q16" s="1813"/>
      <c r="R16" s="774"/>
      <c r="S16" s="775"/>
      <c r="T16" s="774"/>
      <c r="U16" s="775"/>
      <c r="V16" s="774"/>
      <c r="W16" s="775"/>
      <c r="X16" s="1816"/>
      <c r="Y16" s="3156"/>
      <c r="Z16" s="1817"/>
      <c r="AA16" s="1814">
        <v>1</v>
      </c>
      <c r="AB16" s="1814">
        <v>1</v>
      </c>
      <c r="AC16" s="2680">
        <v>1</v>
      </c>
    </row>
    <row r="17" spans="1:29" ht="15">
      <c r="A17" s="428"/>
      <c r="B17" s="631" t="s">
        <v>2089</v>
      </c>
      <c r="C17" s="268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6"/>
      <c r="Q17" s="1813" t="str">
        <f>B17</f>
        <v>交通便捷度</v>
      </c>
      <c r="R17" s="774" t="s">
        <v>17</v>
      </c>
      <c r="S17" s="775">
        <f>F17</f>
        <v>100</v>
      </c>
      <c r="T17" s="774" t="s">
        <v>17</v>
      </c>
      <c r="U17" s="775">
        <f>H17</f>
        <v>100</v>
      </c>
      <c r="V17" s="774" t="s">
        <v>17</v>
      </c>
      <c r="W17" s="775">
        <f>J17</f>
        <v>100</v>
      </c>
      <c r="X17" s="1816"/>
      <c r="Y17" s="3156"/>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6"/>
      <c r="Q18" s="1813"/>
      <c r="R18" s="774"/>
      <c r="S18" s="775"/>
      <c r="T18" s="774"/>
      <c r="U18" s="775"/>
      <c r="V18" s="774"/>
      <c r="W18" s="775"/>
      <c r="X18" s="1816"/>
      <c r="Y18" s="3156"/>
      <c r="Z18" s="1817"/>
      <c r="AA18" s="1814">
        <v>1</v>
      </c>
      <c r="AB18" s="1814">
        <v>1</v>
      </c>
      <c r="AC18" s="2680">
        <v>1</v>
      </c>
    </row>
    <row r="19" spans="1:29" ht="15">
      <c r="A19" s="428"/>
      <c r="B19" s="631" t="s">
        <v>2678</v>
      </c>
      <c r="C19" s="268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6"/>
      <c r="Q19" s="1813" t="str">
        <f>B19</f>
        <v>公共配套设施</v>
      </c>
      <c r="R19" s="774" t="s">
        <v>17</v>
      </c>
      <c r="S19" s="775">
        <f>F19</f>
        <v>100</v>
      </c>
      <c r="T19" s="774" t="s">
        <v>17</v>
      </c>
      <c r="U19" s="775">
        <f>H19</f>
        <v>100</v>
      </c>
      <c r="V19" s="774" t="s">
        <v>17</v>
      </c>
      <c r="W19" s="775">
        <f>J19</f>
        <v>100</v>
      </c>
      <c r="X19" s="1816"/>
      <c r="Y19" s="3156"/>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6"/>
      <c r="Q20" s="1813"/>
      <c r="R20" s="774"/>
      <c r="S20" s="775"/>
      <c r="T20" s="774"/>
      <c r="U20" s="775"/>
      <c r="V20" s="774"/>
      <c r="W20" s="775"/>
      <c r="X20" s="1816"/>
      <c r="Y20" s="3156"/>
      <c r="Z20" s="1817"/>
      <c r="AA20" s="1814">
        <v>1</v>
      </c>
      <c r="AB20" s="1814">
        <v>1</v>
      </c>
      <c r="AC20" s="2680">
        <v>1</v>
      </c>
    </row>
    <row r="21" spans="1:29" ht="15">
      <c r="A21" s="428"/>
      <c r="B21" s="633" t="s">
        <v>2679</v>
      </c>
      <c r="C21" s="2681"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56"/>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6"/>
      <c r="Q22" s="1813"/>
      <c r="R22" s="774"/>
      <c r="S22" s="775"/>
      <c r="T22" s="774"/>
      <c r="U22" s="775"/>
      <c r="V22" s="774"/>
      <c r="W22" s="775"/>
      <c r="X22" s="1816"/>
      <c r="Y22" s="3156"/>
      <c r="Z22" s="1817"/>
      <c r="AA22" s="1814">
        <v>1</v>
      </c>
      <c r="AB22" s="1814">
        <v>1</v>
      </c>
      <c r="AC22" s="2680">
        <v>1</v>
      </c>
    </row>
    <row r="23" spans="1:29" ht="15">
      <c r="A23" s="428"/>
      <c r="B23" s="631" t="s">
        <v>2680</v>
      </c>
      <c r="C23" s="268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6"/>
      <c r="Q23" s="1813" t="str">
        <f>B23</f>
        <v>环境质量</v>
      </c>
      <c r="R23" s="774" t="s">
        <v>17</v>
      </c>
      <c r="S23" s="775">
        <f>F23</f>
        <v>100</v>
      </c>
      <c r="T23" s="774" t="s">
        <v>17</v>
      </c>
      <c r="U23" s="775">
        <f>H23</f>
        <v>100</v>
      </c>
      <c r="V23" s="774" t="s">
        <v>17</v>
      </c>
      <c r="W23" s="775">
        <f>J23</f>
        <v>100</v>
      </c>
      <c r="X23" s="1816"/>
      <c r="Y23" s="3156"/>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6"/>
      <c r="Q24" s="1813"/>
      <c r="R24" s="774"/>
      <c r="S24" s="775"/>
      <c r="T24" s="774"/>
      <c r="U24" s="775"/>
      <c r="V24" s="774"/>
      <c r="W24" s="775"/>
      <c r="X24" s="1816"/>
      <c r="Y24" s="3156"/>
      <c r="Z24" s="1817"/>
      <c r="AA24" s="1814">
        <v>1</v>
      </c>
      <c r="AB24" s="1814">
        <v>1</v>
      </c>
      <c r="AC24" s="2680">
        <v>1</v>
      </c>
    </row>
    <row r="25" spans="1:29" ht="27">
      <c r="A25" s="404"/>
      <c r="B25" s="631" t="s">
        <v>2681</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6"/>
      <c r="Q25" s="1813" t="str">
        <f>B25</f>
        <v>毗邻道路的类型与等级</v>
      </c>
      <c r="R25" s="774" t="s">
        <v>17</v>
      </c>
      <c r="S25" s="775">
        <f>F25</f>
        <v>100</v>
      </c>
      <c r="T25" s="774" t="s">
        <v>17</v>
      </c>
      <c r="U25" s="775">
        <f>H25</f>
        <v>100</v>
      </c>
      <c r="V25" s="774" t="s">
        <v>17</v>
      </c>
      <c r="W25" s="775">
        <f>J25</f>
        <v>100</v>
      </c>
      <c r="X25" s="1816"/>
      <c r="Y25" s="3156"/>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26"/>
      <c r="Q26" s="1813"/>
      <c r="R26" s="774"/>
      <c r="S26" s="775"/>
      <c r="T26" s="774"/>
      <c r="U26" s="775"/>
      <c r="V26" s="774"/>
      <c r="W26" s="775"/>
      <c r="X26" s="1816"/>
      <c r="Y26" s="3156"/>
      <c r="Z26" s="1817"/>
      <c r="AA26" s="1814">
        <v>1</v>
      </c>
      <c r="AB26" s="1814">
        <v>1</v>
      </c>
      <c r="AC26" s="2680">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6"/>
      <c r="Q27" s="1813" t="str">
        <f t="shared" ref="Q27:Q47" si="11">B27</f>
        <v>楼层</v>
      </c>
      <c r="R27" s="774" t="s">
        <v>17</v>
      </c>
      <c r="S27" s="775">
        <f>F27</f>
        <v>100</v>
      </c>
      <c r="T27" s="774" t="s">
        <v>17</v>
      </c>
      <c r="U27" s="775">
        <f>H27</f>
        <v>100</v>
      </c>
      <c r="V27" s="774" t="s">
        <v>17</v>
      </c>
      <c r="W27" s="775">
        <f>J27</f>
        <v>100</v>
      </c>
      <c r="X27" s="1816"/>
      <c r="Y27" s="3156"/>
      <c r="Z27" s="1817" t="str">
        <f>Q27</f>
        <v>楼层</v>
      </c>
      <c r="AA27" s="1814">
        <f t="shared" si="3"/>
        <v>1</v>
      </c>
      <c r="AB27" s="1814">
        <f t="shared" si="4"/>
        <v>1</v>
      </c>
      <c r="AC27" s="2680">
        <f t="shared" si="5"/>
        <v>1</v>
      </c>
    </row>
    <row r="28" spans="1:29" s="117" customFormat="1" ht="15">
      <c r="A28" s="431"/>
      <c r="B28" s="631" t="s">
        <v>2682</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6"/>
      <c r="Q28" s="1798" t="str">
        <f t="shared" si="11"/>
        <v>朝向</v>
      </c>
      <c r="R28" s="770" t="s">
        <v>17</v>
      </c>
      <c r="S28" s="771">
        <f>F28</f>
        <v>100</v>
      </c>
      <c r="T28" s="770" t="s">
        <v>17</v>
      </c>
      <c r="U28" s="771">
        <f>H28</f>
        <v>100</v>
      </c>
      <c r="V28" s="770" t="s">
        <v>17</v>
      </c>
      <c r="W28" s="771">
        <f>J28</f>
        <v>100</v>
      </c>
      <c r="X28" s="772"/>
      <c r="Y28" s="3156"/>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6"/>
      <c r="Q29" s="1813">
        <f t="shared" si="11"/>
        <v>111</v>
      </c>
      <c r="R29" s="774" t="s">
        <v>17</v>
      </c>
      <c r="S29" s="775">
        <f t="shared" ref="S29:S47" si="12">F29</f>
        <v>100</v>
      </c>
      <c r="T29" s="774" t="s">
        <v>17</v>
      </c>
      <c r="U29" s="775">
        <f t="shared" ref="U29:U47" si="13">H29</f>
        <v>100</v>
      </c>
      <c r="V29" s="774" t="s">
        <v>17</v>
      </c>
      <c r="W29" s="775">
        <f t="shared" ref="W29:W47" si="14">J29</f>
        <v>100</v>
      </c>
      <c r="X29" s="1816"/>
      <c r="Y29" s="3156"/>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156"/>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156"/>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6"/>
      <c r="Q32" s="1813">
        <f t="shared" si="11"/>
        <v>111</v>
      </c>
      <c r="R32" s="774" t="s">
        <v>17</v>
      </c>
      <c r="S32" s="775">
        <f t="shared" si="12"/>
        <v>100</v>
      </c>
      <c r="T32" s="774" t="s">
        <v>17</v>
      </c>
      <c r="U32" s="775">
        <f t="shared" si="13"/>
        <v>100</v>
      </c>
      <c r="V32" s="774" t="s">
        <v>17</v>
      </c>
      <c r="W32" s="775">
        <f t="shared" si="14"/>
        <v>100</v>
      </c>
      <c r="X32" s="1816"/>
      <c r="Y32" s="3156"/>
      <c r="Z32" s="1817">
        <f t="shared" si="15"/>
        <v>111</v>
      </c>
      <c r="AA32" s="1814">
        <f t="shared" si="3"/>
        <v>1</v>
      </c>
      <c r="AB32" s="1814">
        <f t="shared" si="4"/>
        <v>1</v>
      </c>
      <c r="AC32" s="2680">
        <f t="shared" si="5"/>
        <v>1</v>
      </c>
    </row>
    <row r="33" spans="1:29" ht="15">
      <c r="A33" s="440" t="s">
        <v>2553</v>
      </c>
      <c r="B33" s="71" t="s">
        <v>2683</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21" t="s">
        <v>2555</v>
      </c>
      <c r="Q33" s="1813" t="str">
        <f t="shared" si="11"/>
        <v>建筑类型</v>
      </c>
      <c r="R33" s="774" t="s">
        <v>17</v>
      </c>
      <c r="S33" s="775">
        <f t="shared" si="12"/>
        <v>100</v>
      </c>
      <c r="T33" s="774" t="s">
        <v>17</v>
      </c>
      <c r="U33" s="775">
        <f t="shared" si="13"/>
        <v>100</v>
      </c>
      <c r="V33" s="774" t="s">
        <v>17</v>
      </c>
      <c r="W33" s="775">
        <f t="shared" si="14"/>
        <v>100</v>
      </c>
      <c r="X33" s="1816"/>
      <c r="Y33" s="3158" t="s">
        <v>2555</v>
      </c>
      <c r="Z33" s="1817" t="str">
        <f t="shared" si="15"/>
        <v>建筑类型</v>
      </c>
      <c r="AA33" s="1814">
        <f t="shared" si="3"/>
        <v>1</v>
      </c>
      <c r="AB33" s="1814">
        <f t="shared" si="4"/>
        <v>1</v>
      </c>
      <c r="AC33" s="2680">
        <f t="shared" si="5"/>
        <v>1</v>
      </c>
    </row>
    <row r="34" spans="1:29" s="471" customFormat="1" ht="15">
      <c r="A34" s="468"/>
      <c r="B34" s="42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2"/>
      <c r="Q34" s="776" t="str">
        <f t="shared" si="11"/>
        <v>项目建筑规模</v>
      </c>
      <c r="R34" s="777" t="s">
        <v>17</v>
      </c>
      <c r="S34" s="778" t="e">
        <f t="shared" si="12"/>
        <v>#N/A</v>
      </c>
      <c r="T34" s="777" t="s">
        <v>17</v>
      </c>
      <c r="U34" s="778" t="e">
        <f t="shared" si="13"/>
        <v>#N/A</v>
      </c>
      <c r="V34" s="777" t="s">
        <v>17</v>
      </c>
      <c r="W34" s="778" t="e">
        <f t="shared" si="14"/>
        <v>#N/A</v>
      </c>
      <c r="X34" s="779"/>
      <c r="Y34" s="3158"/>
      <c r="Z34" s="780" t="str">
        <f t="shared" si="15"/>
        <v>项目建筑规模</v>
      </c>
      <c r="AA34" s="1814" t="e">
        <f t="shared" si="3"/>
        <v>#N/A</v>
      </c>
      <c r="AB34" s="1814" t="e">
        <f t="shared" si="4"/>
        <v>#N/A</v>
      </c>
      <c r="AC34" s="2680" t="e">
        <f t="shared" si="5"/>
        <v>#N/A</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2"/>
      <c r="Q35" s="1813" t="str">
        <f t="shared" si="11"/>
        <v>建筑结构</v>
      </c>
      <c r="R35" s="774" t="s">
        <v>17</v>
      </c>
      <c r="S35" s="775">
        <f t="shared" si="12"/>
        <v>100</v>
      </c>
      <c r="T35" s="774" t="s">
        <v>17</v>
      </c>
      <c r="U35" s="775">
        <f t="shared" si="13"/>
        <v>100</v>
      </c>
      <c r="V35" s="774" t="s">
        <v>17</v>
      </c>
      <c r="W35" s="775">
        <f t="shared" si="14"/>
        <v>100</v>
      </c>
      <c r="X35" s="1816"/>
      <c r="Y35" s="3158"/>
      <c r="Z35" s="1817" t="str">
        <f t="shared" si="15"/>
        <v>建筑结构</v>
      </c>
      <c r="AA35" s="1814">
        <f t="shared" si="3"/>
        <v>1</v>
      </c>
      <c r="AB35" s="1814">
        <f t="shared" si="4"/>
        <v>1</v>
      </c>
      <c r="AC35" s="2680">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2"/>
      <c r="Q36" s="1813" t="str">
        <f t="shared" si="11"/>
        <v>公共部分装修</v>
      </c>
      <c r="R36" s="774" t="s">
        <v>17</v>
      </c>
      <c r="S36" s="775">
        <f t="shared" si="12"/>
        <v>100</v>
      </c>
      <c r="T36" s="774" t="s">
        <v>17</v>
      </c>
      <c r="U36" s="775">
        <f t="shared" si="13"/>
        <v>100</v>
      </c>
      <c r="V36" s="774" t="s">
        <v>17</v>
      </c>
      <c r="W36" s="775">
        <f t="shared" si="14"/>
        <v>100</v>
      </c>
      <c r="X36" s="1816"/>
      <c r="Y36" s="3158"/>
      <c r="Z36" s="1817" t="str">
        <f t="shared" si="15"/>
        <v>公共部分装修</v>
      </c>
      <c r="AA36" s="1814">
        <f t="shared" si="3"/>
        <v>1</v>
      </c>
      <c r="AB36" s="1814">
        <f t="shared" si="4"/>
        <v>1</v>
      </c>
      <c r="AC36" s="2680">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2"/>
      <c r="Q37" s="1813" t="str">
        <f t="shared" si="11"/>
        <v>成新度</v>
      </c>
      <c r="R37" s="774" t="s">
        <v>17</v>
      </c>
      <c r="S37" s="775" t="e">
        <f t="shared" si="12"/>
        <v>#N/A</v>
      </c>
      <c r="T37" s="774" t="s">
        <v>17</v>
      </c>
      <c r="U37" s="775" t="e">
        <f t="shared" si="13"/>
        <v>#N/A</v>
      </c>
      <c r="V37" s="774" t="s">
        <v>17</v>
      </c>
      <c r="W37" s="775" t="e">
        <f t="shared" si="14"/>
        <v>#N/A</v>
      </c>
      <c r="X37" s="1816"/>
      <c r="Y37" s="3158"/>
      <c r="Z37" s="1817" t="str">
        <f t="shared" si="15"/>
        <v>成新度</v>
      </c>
      <c r="AA37" s="1814" t="e">
        <f t="shared" si="3"/>
        <v>#N/A</v>
      </c>
      <c r="AB37" s="1814" t="e">
        <f t="shared" si="4"/>
        <v>#N/A</v>
      </c>
      <c r="AC37" s="2680"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2"/>
      <c r="Q38" s="1798" t="str">
        <f t="shared" si="11"/>
        <v>写字楼等级</v>
      </c>
      <c r="R38" s="770" t="s">
        <v>17</v>
      </c>
      <c r="S38" s="771">
        <f t="shared" si="12"/>
        <v>100</v>
      </c>
      <c r="T38" s="770" t="s">
        <v>17</v>
      </c>
      <c r="U38" s="771">
        <f t="shared" si="13"/>
        <v>100</v>
      </c>
      <c r="V38" s="770" t="s">
        <v>17</v>
      </c>
      <c r="W38" s="771">
        <f t="shared" si="14"/>
        <v>100</v>
      </c>
      <c r="X38" s="772"/>
      <c r="Y38" s="3158"/>
      <c r="Z38" s="55" t="str">
        <f t="shared" si="15"/>
        <v>写字楼等级</v>
      </c>
      <c r="AA38" s="773">
        <f t="shared" si="3"/>
        <v>1</v>
      </c>
      <c r="AB38" s="773">
        <f t="shared" si="4"/>
        <v>1</v>
      </c>
      <c r="AC38" s="2677">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2" t="s">
        <v>2555</v>
      </c>
      <c r="Q39" s="1813" t="str">
        <f t="shared" si="11"/>
        <v>物业管理</v>
      </c>
      <c r="R39" s="774" t="s">
        <v>17</v>
      </c>
      <c r="S39" s="775">
        <f t="shared" si="12"/>
        <v>100</v>
      </c>
      <c r="T39" s="774" t="s">
        <v>17</v>
      </c>
      <c r="U39" s="775">
        <f t="shared" si="13"/>
        <v>100</v>
      </c>
      <c r="V39" s="774" t="s">
        <v>17</v>
      </c>
      <c r="W39" s="775">
        <f t="shared" si="14"/>
        <v>100</v>
      </c>
      <c r="X39" s="1816"/>
      <c r="Y39" s="3158" t="s">
        <v>2555</v>
      </c>
      <c r="Z39" s="1817" t="str">
        <f t="shared" si="15"/>
        <v>物业管理</v>
      </c>
      <c r="AA39" s="1814">
        <f t="shared" si="3"/>
        <v>1</v>
      </c>
      <c r="AB39" s="1814">
        <f t="shared" si="4"/>
        <v>1</v>
      </c>
      <c r="AC39" s="2680">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2"/>
      <c r="Q40" s="1813" t="str">
        <f t="shared" si="11"/>
        <v>市政基础设施</v>
      </c>
      <c r="R40" s="774" t="s">
        <v>17</v>
      </c>
      <c r="S40" s="775">
        <f t="shared" si="12"/>
        <v>100</v>
      </c>
      <c r="T40" s="774" t="s">
        <v>17</v>
      </c>
      <c r="U40" s="775">
        <f t="shared" si="13"/>
        <v>100</v>
      </c>
      <c r="V40" s="774" t="s">
        <v>17</v>
      </c>
      <c r="W40" s="775">
        <f t="shared" si="14"/>
        <v>100</v>
      </c>
      <c r="X40" s="1816"/>
      <c r="Y40" s="3158"/>
      <c r="Z40" s="1817" t="str">
        <f t="shared" si="15"/>
        <v>市政基础设施</v>
      </c>
      <c r="AA40" s="1814">
        <f t="shared" si="3"/>
        <v>1</v>
      </c>
      <c r="AB40" s="1814">
        <f t="shared" si="4"/>
        <v>1</v>
      </c>
      <c r="AC40" s="2680">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2"/>
      <c r="Q41" s="1813" t="str">
        <f t="shared" si="11"/>
        <v>层高</v>
      </c>
      <c r="R41" s="774" t="s">
        <v>17</v>
      </c>
      <c r="S41" s="775">
        <f t="shared" si="12"/>
        <v>100</v>
      </c>
      <c r="T41" s="774" t="s">
        <v>17</v>
      </c>
      <c r="U41" s="775">
        <f t="shared" si="13"/>
        <v>100</v>
      </c>
      <c r="V41" s="774" t="s">
        <v>17</v>
      </c>
      <c r="W41" s="775">
        <f t="shared" si="14"/>
        <v>100</v>
      </c>
      <c r="X41" s="1816"/>
      <c r="Y41" s="3158"/>
      <c r="Z41" s="1817" t="str">
        <f t="shared" si="15"/>
        <v>层高</v>
      </c>
      <c r="AA41" s="1814">
        <f t="shared" si="3"/>
        <v>1</v>
      </c>
      <c r="AB41" s="1814">
        <f t="shared" si="4"/>
        <v>1</v>
      </c>
      <c r="AC41" s="2680">
        <f t="shared" si="5"/>
        <v>1</v>
      </c>
    </row>
    <row r="42" spans="1:29" s="471" customFormat="1" ht="15">
      <c r="A42" s="468"/>
      <c r="B42" s="1815"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2"/>
      <c r="Q42" s="776" t="str">
        <f t="shared" si="11"/>
        <v>单套建筑面积</v>
      </c>
      <c r="R42" s="777" t="s">
        <v>17</v>
      </c>
      <c r="S42" s="778">
        <f t="shared" si="12"/>
        <v>100</v>
      </c>
      <c r="T42" s="777" t="s">
        <v>17</v>
      </c>
      <c r="U42" s="778">
        <f t="shared" si="13"/>
        <v>100</v>
      </c>
      <c r="V42" s="777" t="s">
        <v>17</v>
      </c>
      <c r="W42" s="778">
        <f t="shared" si="14"/>
        <v>100</v>
      </c>
      <c r="X42" s="779"/>
      <c r="Y42" s="3158"/>
      <c r="Z42" s="780" t="str">
        <f t="shared" si="15"/>
        <v>单套建筑面积</v>
      </c>
      <c r="AA42" s="1814">
        <f t="shared" si="3"/>
        <v>1</v>
      </c>
      <c r="AB42" s="1814">
        <f t="shared" si="4"/>
        <v>1</v>
      </c>
      <c r="AC42" s="2680">
        <f t="shared" si="5"/>
        <v>1</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2"/>
      <c r="Q43" s="1813" t="str">
        <f t="shared" si="11"/>
        <v>内部装修</v>
      </c>
      <c r="R43" s="774" t="s">
        <v>17</v>
      </c>
      <c r="S43" s="775">
        <f t="shared" si="12"/>
        <v>100</v>
      </c>
      <c r="T43" s="774" t="s">
        <v>17</v>
      </c>
      <c r="U43" s="775">
        <f t="shared" si="13"/>
        <v>100</v>
      </c>
      <c r="V43" s="774" t="s">
        <v>17</v>
      </c>
      <c r="W43" s="775">
        <f t="shared" si="14"/>
        <v>100</v>
      </c>
      <c r="X43" s="1816"/>
      <c r="Y43" s="3158"/>
      <c r="Z43" s="1817" t="str">
        <f t="shared" si="15"/>
        <v>内部装修</v>
      </c>
      <c r="AA43" s="1814">
        <f t="shared" si="3"/>
        <v>1</v>
      </c>
      <c r="AB43" s="1814">
        <f t="shared" si="4"/>
        <v>1</v>
      </c>
      <c r="AC43" s="2680">
        <f t="shared" si="5"/>
        <v>1</v>
      </c>
    </row>
    <row r="44" spans="1:29" ht="15">
      <c r="A44" s="472"/>
      <c r="B44" s="422" t="s">
        <v>2566</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22"/>
      <c r="Q44" s="1813" t="str">
        <f t="shared" si="11"/>
        <v>内部装修维护情况</v>
      </c>
      <c r="R44" s="774" t="s">
        <v>17</v>
      </c>
      <c r="S44" s="775">
        <f t="shared" si="12"/>
        <v>100</v>
      </c>
      <c r="T44" s="774" t="s">
        <v>17</v>
      </c>
      <c r="U44" s="775">
        <f t="shared" si="13"/>
        <v>100</v>
      </c>
      <c r="V44" s="774" t="s">
        <v>17</v>
      </c>
      <c r="W44" s="775">
        <f t="shared" si="14"/>
        <v>100</v>
      </c>
      <c r="X44" s="1816"/>
      <c r="Y44" s="3158"/>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2"/>
      <c r="Q45" s="1798">
        <f t="shared" si="11"/>
        <v>111</v>
      </c>
      <c r="R45" s="770" t="s">
        <v>17</v>
      </c>
      <c r="S45" s="771">
        <f t="shared" si="12"/>
        <v>100</v>
      </c>
      <c r="T45" s="770" t="s">
        <v>17</v>
      </c>
      <c r="U45" s="771">
        <f t="shared" si="13"/>
        <v>100</v>
      </c>
      <c r="V45" s="770" t="s">
        <v>17</v>
      </c>
      <c r="W45" s="771">
        <f t="shared" si="14"/>
        <v>100</v>
      </c>
      <c r="X45" s="772"/>
      <c r="Y45" s="315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2"/>
      <c r="Q46" s="1813">
        <f t="shared" si="11"/>
        <v>111</v>
      </c>
      <c r="R46" s="774" t="s">
        <v>17</v>
      </c>
      <c r="S46" s="775">
        <f t="shared" si="12"/>
        <v>100</v>
      </c>
      <c r="T46" s="774" t="s">
        <v>17</v>
      </c>
      <c r="U46" s="775">
        <f t="shared" si="13"/>
        <v>100</v>
      </c>
      <c r="V46" s="774" t="s">
        <v>17</v>
      </c>
      <c r="W46" s="775">
        <f t="shared" si="14"/>
        <v>100</v>
      </c>
      <c r="X46" s="1816"/>
      <c r="Y46" s="3158"/>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3"/>
      <c r="Q47" s="1813">
        <f t="shared" si="11"/>
        <v>111</v>
      </c>
      <c r="R47" s="774" t="s">
        <v>17</v>
      </c>
      <c r="S47" s="775">
        <f t="shared" si="12"/>
        <v>100</v>
      </c>
      <c r="T47" s="774" t="s">
        <v>17</v>
      </c>
      <c r="U47" s="775">
        <f t="shared" si="13"/>
        <v>100</v>
      </c>
      <c r="V47" s="774" t="s">
        <v>17</v>
      </c>
      <c r="W47" s="775">
        <f t="shared" si="14"/>
        <v>100</v>
      </c>
      <c r="X47" s="1816"/>
      <c r="Y47" s="3224"/>
      <c r="Z47" s="1817">
        <f t="shared" si="15"/>
        <v>111</v>
      </c>
      <c r="AA47" s="1814">
        <f t="shared" si="3"/>
        <v>1</v>
      </c>
      <c r="AB47" s="1814">
        <f t="shared" si="4"/>
        <v>1</v>
      </c>
      <c r="AC47" s="2680">
        <f t="shared" si="5"/>
        <v>1</v>
      </c>
    </row>
    <row r="48" spans="1:29" ht="15">
      <c r="A48" s="479" t="s">
        <v>2567</v>
      </c>
      <c r="B48" s="480"/>
      <c r="C48" s="1410" t="s">
        <v>1</v>
      </c>
      <c r="D48" s="1411"/>
      <c r="E48" s="1412"/>
      <c r="F48" s="1413"/>
      <c r="G48" s="1414"/>
      <c r="H48" s="1415"/>
      <c r="I48" s="1412"/>
      <c r="J48" s="485"/>
      <c r="K48" s="783"/>
      <c r="L48" s="1146"/>
      <c r="M48" s="1134"/>
      <c r="N48" s="1134"/>
      <c r="O48" s="1134"/>
      <c r="P48" s="3152" t="str">
        <f>A48</f>
        <v>成交单价（元/平方米）</v>
      </c>
      <c r="Q48" s="3153"/>
      <c r="R48" s="3220">
        <f>E48</f>
        <v>0</v>
      </c>
      <c r="S48" s="3220"/>
      <c r="T48" s="3220">
        <f>G48</f>
        <v>0</v>
      </c>
      <c r="U48" s="3220"/>
      <c r="V48" s="3220">
        <f>I48</f>
        <v>0</v>
      </c>
      <c r="W48" s="3220"/>
      <c r="X48" s="446"/>
      <c r="Y48" s="781"/>
      <c r="Z48" s="446"/>
      <c r="AA48" s="446"/>
      <c r="AB48" s="446"/>
      <c r="AC48" s="630"/>
    </row>
    <row r="49" spans="1:29" ht="15.75" thickBot="1">
      <c r="A49" s="486" t="s">
        <v>2659</v>
      </c>
      <c r="B49" s="487"/>
      <c r="C49" s="1416" t="e">
        <f>R50</f>
        <v>#DIV/0!</v>
      </c>
      <c r="D49" s="1417"/>
      <c r="E49" s="1418" t="e">
        <f>R49</f>
        <v>#DIV/0!</v>
      </c>
      <c r="F49" s="1418"/>
      <c r="G49" s="1416" t="e">
        <f>T49</f>
        <v>#DIV/0!</v>
      </c>
      <c r="H49" s="1417"/>
      <c r="I49" s="1418" t="e">
        <f>V49</f>
        <v>#DIV/0!</v>
      </c>
      <c r="J49" s="489"/>
      <c r="K49" s="784"/>
      <c r="L49" s="1146"/>
      <c r="M49" s="1134"/>
      <c r="N49" s="1134"/>
      <c r="O49" s="1134"/>
      <c r="P49" s="3152" t="str">
        <f>A49</f>
        <v>比较价值（元/平方米）</v>
      </c>
      <c r="Q49" s="3153"/>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6"/>
      <c r="Y49" s="446"/>
      <c r="Z49" s="446"/>
      <c r="AA49" s="446"/>
      <c r="AB49" s="446"/>
      <c r="AC49" s="630"/>
    </row>
    <row r="50" spans="1:29" ht="15.75" thickBot="1">
      <c r="A50" s="492" t="s">
        <v>2660</v>
      </c>
      <c r="B50" s="493"/>
      <c r="C50" s="1420" t="e">
        <f>R50</f>
        <v>#DIV/0!</v>
      </c>
      <c r="D50" s="1420"/>
      <c r="E50" s="1420"/>
      <c r="F50" s="1420"/>
      <c r="G50" s="1420"/>
      <c r="H50" s="1420"/>
      <c r="I50" s="1420"/>
      <c r="J50" s="494"/>
      <c r="K50" s="785"/>
      <c r="L50" s="1146"/>
      <c r="M50" s="1134"/>
      <c r="N50" s="1134"/>
      <c r="O50" s="1134"/>
      <c r="P50" s="3227" t="str">
        <f>A50</f>
        <v>估价对象XX用房的比较价值（楼面单价，元/平方米）</v>
      </c>
      <c r="Q50" s="3228"/>
      <c r="R50" s="3229" t="e">
        <f>IF(F1="售价",ROUND(AVERAGE(R49:V49),0),ROUND(AVERAGE(R49:V49),1))</f>
        <v>#DIV/0!</v>
      </c>
      <c r="S50" s="3229"/>
      <c r="T50" s="3229"/>
      <c r="U50" s="3229"/>
      <c r="V50" s="3229"/>
      <c r="W50" s="3229"/>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7"/>
      <c r="Q58" s="504"/>
    </row>
    <row r="59" spans="1:29" s="508" customFormat="1" ht="15">
      <c r="A59" s="505" t="s">
        <v>2538</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2575</v>
      </c>
      <c r="B61" s="516"/>
      <c r="C61" s="517"/>
      <c r="D61" s="518"/>
      <c r="E61" s="518"/>
      <c r="F61" s="518"/>
      <c r="G61" s="518"/>
      <c r="H61" s="518"/>
      <c r="I61" s="518"/>
      <c r="J61" s="518"/>
      <c r="K61" s="518"/>
      <c r="L61" s="518"/>
      <c r="M61" s="519"/>
      <c r="N61" s="518"/>
      <c r="O61" s="519"/>
      <c r="P61" s="2688"/>
      <c r="Q61" s="504"/>
    </row>
    <row r="62" spans="1:29" s="117" customFormat="1" ht="15">
      <c r="A62" s="521" t="s">
        <v>2540</v>
      </c>
      <c r="B62" s="510"/>
      <c r="C62" s="522" t="s">
        <v>2642</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2578</v>
      </c>
      <c r="B64" s="528" t="s">
        <v>2544</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2689</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2553</v>
      </c>
      <c r="B101" s="528" t="s">
        <v>2602</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2604</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2606</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2690</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2607</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2608</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2691</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2610</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33165.41平方米。根据《房屋所有权证》[]，估价对象建筑面积为143860.73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居住项目，该项目尚在开发建设中。根据《国有土地使用证》[]，估价对象（分摊）出让国有建设用地使用权面积为33165.41平方米。根据《房屋所有权证》[]，估价对象规划建筑面积为143860.73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2019年4月2日（评估专业人员实地查勘之日）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5" t="s">
        <v>2692</v>
      </c>
      <c r="C1" s="1623" t="s">
        <v>2520</v>
      </c>
      <c r="D1" s="1624"/>
      <c r="E1" s="1633"/>
      <c r="F1" s="2590"/>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IF(C2="——",ROUND(C43*D3/10000,0),ROUND(C43*D3/10000,0)-D2)</f>
        <v>#DIV/0!</v>
      </c>
      <c r="C2" s="2592"/>
      <c r="D2" s="1127" t="e">
        <f ca="1">SUMIF(INDIRECT("'"&amp;F2&amp;"'"&amp;"!A:A"),"承租人权益价值",INDIRECT("'"&amp;F2&amp;"'"&amp;"!c:c"))</f>
        <v>#REF!</v>
      </c>
      <c r="E2" s="2593" t="s">
        <v>2321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2634</v>
      </c>
      <c r="D3" s="399">
        <f>IF(D1="",'数据-汇总表'!E3,SUMIF('数据-汇总表'!$C19:$C33,D1,'数据-汇总表'!$E19:$E33))</f>
        <v>143860.73000000001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150" t="s">
        <v>2636</v>
      </c>
      <c r="D4" s="3163"/>
      <c r="E4" s="3164" t="s">
        <v>2637</v>
      </c>
      <c r="F4" s="3165"/>
      <c r="G4" s="3150" t="s">
        <v>2638</v>
      </c>
      <c r="H4" s="3163"/>
      <c r="I4" s="3150" t="s">
        <v>2639</v>
      </c>
      <c r="J4" s="3163"/>
      <c r="K4" s="610" t="s">
        <v>2640</v>
      </c>
      <c r="L4" s="1133"/>
      <c r="M4" s="1134"/>
      <c r="N4" s="1134"/>
      <c r="O4" s="1134"/>
      <c r="P4" s="3166" t="s">
        <v>2641</v>
      </c>
      <c r="Q4" s="3167"/>
      <c r="R4" s="3172" t="s">
        <v>2637</v>
      </c>
      <c r="S4" s="3173"/>
      <c r="T4" s="3172" t="s">
        <v>2638</v>
      </c>
      <c r="U4" s="3173"/>
      <c r="V4" s="3159" t="s">
        <v>2639</v>
      </c>
      <c r="W4" s="3159"/>
      <c r="X4" s="1816"/>
      <c r="Y4" s="3172" t="s">
        <v>2641</v>
      </c>
      <c r="Z4" s="3173"/>
      <c r="AA4" s="3160" t="s">
        <v>2637</v>
      </c>
      <c r="AB4" s="3161" t="s">
        <v>2638</v>
      </c>
      <c r="AC4" s="3160" t="s">
        <v>2639</v>
      </c>
    </row>
    <row r="5" spans="1:29" ht="15">
      <c r="A5" s="404"/>
      <c r="B5" s="405"/>
      <c r="C5" s="3180" t="s">
        <v>2532</v>
      </c>
      <c r="D5" s="3181"/>
      <c r="E5" s="3187" t="s">
        <v>2533</v>
      </c>
      <c r="F5" s="3188"/>
      <c r="G5" s="3180" t="s">
        <v>2534</v>
      </c>
      <c r="H5" s="3181"/>
      <c r="I5" s="3180" t="s">
        <v>2535</v>
      </c>
      <c r="J5" s="3181"/>
      <c r="K5" s="610"/>
      <c r="L5" s="1133"/>
      <c r="M5" s="1134"/>
      <c r="N5" s="1134"/>
      <c r="O5" s="1134"/>
      <c r="P5" s="3168"/>
      <c r="Q5" s="3169"/>
      <c r="R5" s="3174"/>
      <c r="S5" s="3175"/>
      <c r="T5" s="3174"/>
      <c r="U5" s="3175"/>
      <c r="V5" s="3159"/>
      <c r="W5" s="3159"/>
      <c r="X5" s="1816"/>
      <c r="Y5" s="3174"/>
      <c r="Z5" s="3175"/>
      <c r="AA5" s="3161"/>
      <c r="AB5" s="3161"/>
      <c r="AC5" s="3161"/>
    </row>
    <row r="6" spans="1:29" ht="15.75" thickBot="1">
      <c r="A6" s="406"/>
      <c r="B6" s="407"/>
      <c r="C6" s="3178" t="s">
        <v>2536</v>
      </c>
      <c r="D6" s="3179"/>
      <c r="E6" s="3185" t="s">
        <v>2536</v>
      </c>
      <c r="F6" s="3186"/>
      <c r="G6" s="3178" t="s">
        <v>2536</v>
      </c>
      <c r="H6" s="3179"/>
      <c r="I6" s="3178" t="s">
        <v>2536</v>
      </c>
      <c r="J6" s="3179"/>
      <c r="K6" s="610" t="s">
        <v>2537</v>
      </c>
      <c r="L6" s="1133"/>
      <c r="M6" s="1134"/>
      <c r="N6" s="1134"/>
      <c r="O6" s="1134"/>
      <c r="P6" s="3170"/>
      <c r="Q6" s="3171"/>
      <c r="R6" s="3174"/>
      <c r="S6" s="3175"/>
      <c r="T6" s="3176"/>
      <c r="U6" s="3177"/>
      <c r="V6" s="3159"/>
      <c r="W6" s="3159"/>
      <c r="X6" s="1816"/>
      <c r="Y6" s="3176"/>
      <c r="Z6" s="3177"/>
      <c r="AA6" s="3162"/>
      <c r="AB6" s="3162"/>
      <c r="AC6" s="3162"/>
    </row>
    <row r="7" spans="1:29" s="117" customFormat="1" ht="15.75" thickBot="1">
      <c r="A7" s="408" t="s">
        <v>2538</v>
      </c>
      <c r="B7" s="409"/>
      <c r="C7" s="410">
        <f>'数据-取费表'!B2</f>
        <v>43557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2" t="s">
        <v>2539</v>
      </c>
      <c r="Q7" s="3184"/>
      <c r="R7" s="770" t="s">
        <v>17</v>
      </c>
      <c r="S7" s="771">
        <f t="shared" ref="S7:S15" si="0">F7</f>
        <v>0</v>
      </c>
      <c r="T7" s="770" t="s">
        <v>17</v>
      </c>
      <c r="U7" s="771">
        <f t="shared" ref="U7:U15" si="1">H7</f>
        <v>0</v>
      </c>
      <c r="V7" s="770" t="s">
        <v>17</v>
      </c>
      <c r="W7" s="771">
        <f t="shared" ref="W7:W15" si="2">J7</f>
        <v>0</v>
      </c>
      <c r="X7" s="772"/>
      <c r="Y7" s="3182" t="s">
        <v>2539</v>
      </c>
      <c r="Z7" s="3183"/>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2" t="s">
        <v>2542</v>
      </c>
      <c r="Q8" s="3183"/>
      <c r="R8" s="770" t="s">
        <v>17</v>
      </c>
      <c r="S8" s="771">
        <f t="shared" si="0"/>
        <v>0</v>
      </c>
      <c r="T8" s="770" t="s">
        <v>17</v>
      </c>
      <c r="U8" s="771">
        <f t="shared" si="1"/>
        <v>0</v>
      </c>
      <c r="V8" s="770" t="s">
        <v>17</v>
      </c>
      <c r="W8" s="771">
        <f t="shared" si="2"/>
        <v>0</v>
      </c>
      <c r="X8" s="772"/>
      <c r="Y8" s="3182" t="s">
        <v>2542</v>
      </c>
      <c r="Z8" s="3183"/>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3" t="s">
        <v>2545</v>
      </c>
      <c r="Q9" s="1798" t="str">
        <f t="shared" ref="Q9:Q15" si="6">B9</f>
        <v>用途</v>
      </c>
      <c r="R9" s="770" t="s">
        <v>17</v>
      </c>
      <c r="S9" s="771">
        <f t="shared" si="0"/>
        <v>100</v>
      </c>
      <c r="T9" s="770" t="s">
        <v>17</v>
      </c>
      <c r="U9" s="771">
        <f t="shared" si="1"/>
        <v>100</v>
      </c>
      <c r="V9" s="770" t="s">
        <v>17</v>
      </c>
      <c r="W9" s="771">
        <f t="shared" si="2"/>
        <v>100</v>
      </c>
      <c r="X9" s="772"/>
      <c r="Y9" s="300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3"/>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3"/>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3"/>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3"/>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3"/>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2549</v>
      </c>
      <c r="B15" s="69" t="s">
        <v>2693</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5" t="s">
        <v>2550</v>
      </c>
      <c r="Q15" s="1813" t="str">
        <f t="shared" si="6"/>
        <v>产业集聚程度</v>
      </c>
      <c r="R15" s="774" t="s">
        <v>17</v>
      </c>
      <c r="S15" s="775">
        <f t="shared" si="0"/>
        <v>100</v>
      </c>
      <c r="T15" s="774" t="s">
        <v>17</v>
      </c>
      <c r="U15" s="775">
        <f t="shared" si="1"/>
        <v>100</v>
      </c>
      <c r="V15" s="774" t="s">
        <v>17</v>
      </c>
      <c r="W15" s="775">
        <f t="shared" si="2"/>
        <v>100</v>
      </c>
      <c r="X15" s="1816"/>
      <c r="Y15" s="3155"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6"/>
      <c r="Q16" s="1813"/>
      <c r="R16" s="774"/>
      <c r="S16" s="775"/>
      <c r="T16" s="774"/>
      <c r="U16" s="775"/>
      <c r="V16" s="774"/>
      <c r="W16" s="775"/>
      <c r="X16" s="1816"/>
      <c r="Y16" s="3156"/>
      <c r="Z16" s="1817"/>
      <c r="AA16" s="1814">
        <v>1</v>
      </c>
      <c r="AB16" s="1814">
        <v>1</v>
      </c>
      <c r="AC16" s="1814">
        <v>1</v>
      </c>
    </row>
    <row r="17" spans="1:29" ht="85.5">
      <c r="A17" s="428"/>
      <c r="B17" s="451" t="s">
        <v>2089</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6"/>
      <c r="Q17" s="1813" t="str">
        <f>B17</f>
        <v>交通便捷度</v>
      </c>
      <c r="R17" s="774" t="s">
        <v>17</v>
      </c>
      <c r="S17" s="775">
        <f>F17</f>
        <v>100</v>
      </c>
      <c r="T17" s="774" t="s">
        <v>17</v>
      </c>
      <c r="U17" s="775">
        <f>H17</f>
        <v>100</v>
      </c>
      <c r="V17" s="774" t="s">
        <v>17</v>
      </c>
      <c r="W17" s="775">
        <f>J17</f>
        <v>100</v>
      </c>
      <c r="X17" s="1816"/>
      <c r="Y17" s="315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56"/>
      <c r="Q18" s="1813"/>
      <c r="R18" s="774"/>
      <c r="S18" s="775"/>
      <c r="T18" s="774"/>
      <c r="U18" s="775"/>
      <c r="V18" s="774"/>
      <c r="W18" s="775"/>
      <c r="X18" s="1816"/>
      <c r="Y18" s="3156"/>
      <c r="Z18" s="1817"/>
      <c r="AA18" s="1814">
        <v>1</v>
      </c>
      <c r="AB18" s="1814">
        <v>1</v>
      </c>
      <c r="AC18" s="1814">
        <v>1</v>
      </c>
    </row>
    <row r="19" spans="1:29" ht="42.75">
      <c r="A19" s="428"/>
      <c r="B19" s="451" t="s">
        <v>2678</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6"/>
      <c r="Q19" s="1813" t="str">
        <f>B19</f>
        <v>公共配套设施</v>
      </c>
      <c r="R19" s="774" t="s">
        <v>17</v>
      </c>
      <c r="S19" s="775">
        <f>F19</f>
        <v>100</v>
      </c>
      <c r="T19" s="774" t="s">
        <v>17</v>
      </c>
      <c r="U19" s="775">
        <f>H19</f>
        <v>100</v>
      </c>
      <c r="V19" s="774" t="s">
        <v>17</v>
      </c>
      <c r="W19" s="775">
        <f>J19</f>
        <v>100</v>
      </c>
      <c r="X19" s="1816"/>
      <c r="Y19" s="315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56"/>
      <c r="Q20" s="1813"/>
      <c r="R20" s="774"/>
      <c r="S20" s="775"/>
      <c r="T20" s="774"/>
      <c r="U20" s="775"/>
      <c r="V20" s="774"/>
      <c r="W20" s="775"/>
      <c r="X20" s="1816"/>
      <c r="Y20" s="3156"/>
      <c r="Z20" s="1817"/>
      <c r="AA20" s="1814">
        <v>1</v>
      </c>
      <c r="AB20" s="1814">
        <v>1</v>
      </c>
      <c r="AC20" s="1814">
        <v>1</v>
      </c>
    </row>
    <row r="21" spans="1:29" ht="28.5">
      <c r="A21" s="428"/>
      <c r="B21" s="1387" t="s">
        <v>2679</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6"/>
      <c r="Q21" s="1813" t="str">
        <f>B21</f>
        <v>基础设施水平</v>
      </c>
      <c r="R21" s="774" t="s">
        <v>17</v>
      </c>
      <c r="S21" s="775">
        <f>F21</f>
        <v>100</v>
      </c>
      <c r="T21" s="774" t="s">
        <v>17</v>
      </c>
      <c r="U21" s="775">
        <f>H21</f>
        <v>100</v>
      </c>
      <c r="V21" s="774" t="s">
        <v>17</v>
      </c>
      <c r="W21" s="775">
        <f>J21</f>
        <v>100</v>
      </c>
      <c r="X21" s="1816"/>
      <c r="Y21" s="315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56"/>
      <c r="Q22" s="1813"/>
      <c r="R22" s="774"/>
      <c r="S22" s="775"/>
      <c r="T22" s="774"/>
      <c r="U22" s="775"/>
      <c r="V22" s="774"/>
      <c r="W22" s="775"/>
      <c r="X22" s="1816"/>
      <c r="Y22" s="3156"/>
      <c r="Z22" s="1817"/>
      <c r="AA22" s="1814">
        <v>1</v>
      </c>
      <c r="AB22" s="1814">
        <v>1</v>
      </c>
      <c r="AC22" s="1814">
        <v>1</v>
      </c>
    </row>
    <row r="23" spans="1:29" ht="71.25">
      <c r="A23" s="428"/>
      <c r="B23" s="451" t="s">
        <v>2680</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6"/>
      <c r="Q23" s="1813" t="str">
        <f>B23</f>
        <v>环境质量</v>
      </c>
      <c r="R23" s="774" t="s">
        <v>17</v>
      </c>
      <c r="S23" s="775">
        <f>F23</f>
        <v>100</v>
      </c>
      <c r="T23" s="774" t="s">
        <v>17</v>
      </c>
      <c r="U23" s="775">
        <f>H23</f>
        <v>100</v>
      </c>
      <c r="V23" s="774" t="s">
        <v>17</v>
      </c>
      <c r="W23" s="775">
        <f>J23</f>
        <v>100</v>
      </c>
      <c r="X23" s="1816"/>
      <c r="Y23" s="3156"/>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56"/>
      <c r="Q24" s="1813"/>
      <c r="R24" s="774"/>
      <c r="S24" s="775"/>
      <c r="T24" s="774"/>
      <c r="U24" s="775"/>
      <c r="V24" s="774"/>
      <c r="W24" s="775"/>
      <c r="X24" s="1816"/>
      <c r="Y24" s="315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6"/>
      <c r="Q25" s="1813">
        <f>B25</f>
        <v>111</v>
      </c>
      <c r="R25" s="774" t="s">
        <v>17</v>
      </c>
      <c r="S25" s="775">
        <f>F25</f>
        <v>100</v>
      </c>
      <c r="T25" s="774" t="s">
        <v>17</v>
      </c>
      <c r="U25" s="775">
        <f>H25</f>
        <v>100</v>
      </c>
      <c r="V25" s="774" t="s">
        <v>17</v>
      </c>
      <c r="W25" s="775">
        <f>J25</f>
        <v>100</v>
      </c>
      <c r="X25" s="1816"/>
      <c r="Y25" s="315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6"/>
      <c r="Q26" s="1813">
        <f t="shared" ref="Q26:Q40" si="11">B26</f>
        <v>111</v>
      </c>
      <c r="R26" s="774" t="s">
        <v>17</v>
      </c>
      <c r="S26" s="775">
        <f>F26</f>
        <v>100</v>
      </c>
      <c r="T26" s="774" t="s">
        <v>17</v>
      </c>
      <c r="U26" s="775">
        <f>H26</f>
        <v>100</v>
      </c>
      <c r="V26" s="774" t="s">
        <v>17</v>
      </c>
      <c r="W26" s="775">
        <f>J26</f>
        <v>100</v>
      </c>
      <c r="X26" s="1816"/>
      <c r="Y26" s="315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6"/>
      <c r="Q27" s="1798">
        <f t="shared" si="11"/>
        <v>111</v>
      </c>
      <c r="R27" s="770" t="s">
        <v>17</v>
      </c>
      <c r="S27" s="771">
        <f>F27</f>
        <v>100</v>
      </c>
      <c r="T27" s="770" t="s">
        <v>17</v>
      </c>
      <c r="U27" s="771">
        <f>H27</f>
        <v>100</v>
      </c>
      <c r="V27" s="770" t="s">
        <v>17</v>
      </c>
      <c r="W27" s="771">
        <f>J27</f>
        <v>100</v>
      </c>
      <c r="X27" s="772"/>
      <c r="Y27" s="315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6"/>
      <c r="Q28" s="1813">
        <f t="shared" si="11"/>
        <v>111</v>
      </c>
      <c r="R28" s="774" t="s">
        <v>17</v>
      </c>
      <c r="S28" s="775">
        <f t="shared" ref="S28:S40" si="12">F28</f>
        <v>100</v>
      </c>
      <c r="T28" s="774" t="s">
        <v>17</v>
      </c>
      <c r="U28" s="775">
        <f t="shared" ref="U28:U40" si="13">H28</f>
        <v>100</v>
      </c>
      <c r="V28" s="774" t="s">
        <v>17</v>
      </c>
      <c r="W28" s="775">
        <f t="shared" ref="W28:W40" si="14">J28</f>
        <v>100</v>
      </c>
      <c r="X28" s="1816"/>
      <c r="Y28" s="3156"/>
      <c r="Z28" s="1817">
        <f t="shared" ref="Z28:Z40" si="15">Q28</f>
        <v>111</v>
      </c>
      <c r="AA28" s="1814">
        <f t="shared" si="3"/>
        <v>1</v>
      </c>
      <c r="AB28" s="1814">
        <f t="shared" si="4"/>
        <v>1</v>
      </c>
      <c r="AC28" s="1814">
        <f t="shared" si="5"/>
        <v>1</v>
      </c>
    </row>
    <row r="29" spans="1:29" ht="28.5">
      <c r="A29" s="466" t="s">
        <v>2553</v>
      </c>
      <c r="B29" s="71" t="s">
        <v>2683</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57" t="s">
        <v>2555</v>
      </c>
      <c r="Q29" s="1813" t="str">
        <f t="shared" si="11"/>
        <v>建筑类型</v>
      </c>
      <c r="R29" s="774" t="s">
        <v>17</v>
      </c>
      <c r="S29" s="775">
        <f t="shared" si="12"/>
        <v>100</v>
      </c>
      <c r="T29" s="774" t="s">
        <v>17</v>
      </c>
      <c r="U29" s="775">
        <f t="shared" si="13"/>
        <v>100</v>
      </c>
      <c r="V29" s="774" t="s">
        <v>17</v>
      </c>
      <c r="W29" s="775">
        <f t="shared" si="14"/>
        <v>100</v>
      </c>
      <c r="X29" s="1816"/>
      <c r="Y29" s="3158"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58"/>
      <c r="Q30" s="776" t="str">
        <f t="shared" si="11"/>
        <v>项目建筑规模</v>
      </c>
      <c r="R30" s="777" t="s">
        <v>17</v>
      </c>
      <c r="S30" s="778" t="e">
        <f t="shared" si="12"/>
        <v>#N/A</v>
      </c>
      <c r="T30" s="777" t="s">
        <v>17</v>
      </c>
      <c r="U30" s="778" t="e">
        <f t="shared" si="13"/>
        <v>#N/A</v>
      </c>
      <c r="V30" s="777" t="s">
        <v>17</v>
      </c>
      <c r="W30" s="778" t="e">
        <f t="shared" si="14"/>
        <v>#N/A</v>
      </c>
      <c r="X30" s="779"/>
      <c r="Y30" s="3158"/>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58"/>
      <c r="Q31" s="1813" t="str">
        <f t="shared" si="11"/>
        <v>建筑结构</v>
      </c>
      <c r="R31" s="774" t="s">
        <v>17</v>
      </c>
      <c r="S31" s="775">
        <f t="shared" si="12"/>
        <v>100</v>
      </c>
      <c r="T31" s="774" t="s">
        <v>17</v>
      </c>
      <c r="U31" s="775">
        <f t="shared" si="13"/>
        <v>100</v>
      </c>
      <c r="V31" s="774" t="s">
        <v>17</v>
      </c>
      <c r="W31" s="775">
        <f t="shared" si="14"/>
        <v>100</v>
      </c>
      <c r="X31" s="1816"/>
      <c r="Y31" s="3158"/>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58"/>
      <c r="Q32" s="1813" t="str">
        <f t="shared" si="11"/>
        <v>公共部分装修</v>
      </c>
      <c r="R32" s="774" t="s">
        <v>17</v>
      </c>
      <c r="S32" s="775">
        <f t="shared" si="12"/>
        <v>100</v>
      </c>
      <c r="T32" s="774" t="s">
        <v>17</v>
      </c>
      <c r="U32" s="775">
        <f t="shared" si="13"/>
        <v>100</v>
      </c>
      <c r="V32" s="774" t="s">
        <v>17</v>
      </c>
      <c r="W32" s="775">
        <f t="shared" si="14"/>
        <v>100</v>
      </c>
      <c r="X32" s="1816"/>
      <c r="Y32" s="3158"/>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58"/>
      <c r="Q33" s="1813" t="str">
        <f t="shared" si="11"/>
        <v>成新度</v>
      </c>
      <c r="R33" s="774" t="s">
        <v>17</v>
      </c>
      <c r="S33" s="775" t="e">
        <f t="shared" si="12"/>
        <v>#N/A</v>
      </c>
      <c r="T33" s="774" t="s">
        <v>17</v>
      </c>
      <c r="U33" s="775" t="e">
        <f t="shared" si="13"/>
        <v>#N/A</v>
      </c>
      <c r="V33" s="774" t="s">
        <v>17</v>
      </c>
      <c r="W33" s="775" t="e">
        <f t="shared" si="14"/>
        <v>#N/A</v>
      </c>
      <c r="X33" s="1816"/>
      <c r="Y33" s="3158"/>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58"/>
      <c r="Q34" s="1798" t="str">
        <f t="shared" si="11"/>
        <v>物业管理</v>
      </c>
      <c r="R34" s="770" t="s">
        <v>17</v>
      </c>
      <c r="S34" s="771">
        <f t="shared" si="12"/>
        <v>100</v>
      </c>
      <c r="T34" s="770" t="s">
        <v>17</v>
      </c>
      <c r="U34" s="771">
        <f t="shared" si="13"/>
        <v>100</v>
      </c>
      <c r="V34" s="770" t="s">
        <v>17</v>
      </c>
      <c r="W34" s="771">
        <f t="shared" si="14"/>
        <v>100</v>
      </c>
      <c r="X34" s="772"/>
      <c r="Y34" s="3158"/>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58" t="s">
        <v>2555</v>
      </c>
      <c r="Q35" s="1813" t="str">
        <f t="shared" si="11"/>
        <v>市政基础设施</v>
      </c>
      <c r="R35" s="774" t="s">
        <v>17</v>
      </c>
      <c r="S35" s="775">
        <f t="shared" si="12"/>
        <v>100</v>
      </c>
      <c r="T35" s="774" t="s">
        <v>17</v>
      </c>
      <c r="U35" s="775">
        <f t="shared" si="13"/>
        <v>100</v>
      </c>
      <c r="V35" s="774" t="s">
        <v>17</v>
      </c>
      <c r="W35" s="775">
        <f t="shared" si="14"/>
        <v>100</v>
      </c>
      <c r="X35" s="1816"/>
      <c r="Y35" s="3158"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58"/>
      <c r="Q36" s="1813" t="str">
        <f t="shared" si="11"/>
        <v>内部装修</v>
      </c>
      <c r="R36" s="774" t="s">
        <v>17</v>
      </c>
      <c r="S36" s="775">
        <f t="shared" si="12"/>
        <v>100</v>
      </c>
      <c r="T36" s="774" t="s">
        <v>17</v>
      </c>
      <c r="U36" s="775">
        <f t="shared" si="13"/>
        <v>100</v>
      </c>
      <c r="V36" s="774" t="s">
        <v>17</v>
      </c>
      <c r="W36" s="775">
        <f t="shared" si="14"/>
        <v>100</v>
      </c>
      <c r="X36" s="1816"/>
      <c r="Y36" s="3158"/>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58"/>
      <c r="Q37" s="1813" t="str">
        <f t="shared" si="11"/>
        <v>内部装修状况</v>
      </c>
      <c r="R37" s="774" t="s">
        <v>17</v>
      </c>
      <c r="S37" s="775">
        <f t="shared" si="12"/>
        <v>100</v>
      </c>
      <c r="T37" s="774" t="s">
        <v>17</v>
      </c>
      <c r="U37" s="775">
        <f t="shared" si="13"/>
        <v>100</v>
      </c>
      <c r="V37" s="774" t="s">
        <v>17</v>
      </c>
      <c r="W37" s="775">
        <f t="shared" si="14"/>
        <v>100</v>
      </c>
      <c r="X37" s="1816"/>
      <c r="Y37" s="315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58"/>
      <c r="Q38" s="776">
        <f t="shared" si="11"/>
        <v>111</v>
      </c>
      <c r="R38" s="777" t="s">
        <v>17</v>
      </c>
      <c r="S38" s="778">
        <f t="shared" si="12"/>
        <v>100</v>
      </c>
      <c r="T38" s="777" t="s">
        <v>17</v>
      </c>
      <c r="U38" s="778">
        <f t="shared" si="13"/>
        <v>100</v>
      </c>
      <c r="V38" s="777" t="s">
        <v>17</v>
      </c>
      <c r="W38" s="778">
        <f t="shared" si="14"/>
        <v>100</v>
      </c>
      <c r="X38" s="779"/>
      <c r="Y38" s="315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58"/>
      <c r="Q39" s="1813">
        <f t="shared" si="11"/>
        <v>111</v>
      </c>
      <c r="R39" s="774" t="s">
        <v>17</v>
      </c>
      <c r="S39" s="775">
        <f t="shared" si="12"/>
        <v>100</v>
      </c>
      <c r="T39" s="774" t="s">
        <v>17</v>
      </c>
      <c r="U39" s="775">
        <f t="shared" si="13"/>
        <v>100</v>
      </c>
      <c r="V39" s="774" t="s">
        <v>17</v>
      </c>
      <c r="W39" s="775">
        <f t="shared" si="14"/>
        <v>100</v>
      </c>
      <c r="X39" s="1816"/>
      <c r="Y39" s="3158"/>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4"/>
      <c r="Q40" s="1813">
        <f t="shared" si="11"/>
        <v>111</v>
      </c>
      <c r="R40" s="774" t="s">
        <v>17</v>
      </c>
      <c r="S40" s="775">
        <f t="shared" si="12"/>
        <v>100</v>
      </c>
      <c r="T40" s="774" t="s">
        <v>17</v>
      </c>
      <c r="U40" s="775">
        <f t="shared" si="13"/>
        <v>100</v>
      </c>
      <c r="V40" s="774" t="s">
        <v>17</v>
      </c>
      <c r="W40" s="775">
        <f t="shared" si="14"/>
        <v>100</v>
      </c>
      <c r="X40" s="1816"/>
      <c r="Y40" s="3224"/>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153" t="str">
        <f>A41</f>
        <v>成交单价（元/平方米）</v>
      </c>
      <c r="Q41" s="3153"/>
      <c r="R41" s="3220">
        <f>E41</f>
        <v>0</v>
      </c>
      <c r="S41" s="3220"/>
      <c r="T41" s="3220">
        <f>G41</f>
        <v>0</v>
      </c>
      <c r="U41" s="3220"/>
      <c r="V41" s="3220">
        <f>I41</f>
        <v>0</v>
      </c>
      <c r="W41" s="3220"/>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153" t="str">
        <f>A42</f>
        <v>比较价值（元/平方米）</v>
      </c>
      <c r="Q42" s="3153"/>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147" t="str">
        <f>A43</f>
        <v>估价对象XX用房的比较价值（楼面单价，元/平方米）</v>
      </c>
      <c r="Q43" s="3148"/>
      <c r="R43" s="3219" t="e">
        <f>IF(F1="售价",ROUND(AVERAGE(R42:V42),0),ROUND(AVERAGE(R42:V42),1))</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90"/>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92"/>
      <c r="D2" s="1127" t="e">
        <f ca="1">SUMIF(INDIRECT("'"&amp;F2&amp;"'"&amp;"!A:A"),"承租人权益价值",INDIRECT("'"&amp;F2&amp;"'"&amp;"!c:c"))</f>
        <v>#REF!</v>
      </c>
      <c r="E2" s="2593" t="s">
        <v>2321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150" t="s">
        <v>2636</v>
      </c>
      <c r="D4" s="3163"/>
      <c r="E4" s="3164" t="s">
        <v>2637</v>
      </c>
      <c r="F4" s="3165"/>
      <c r="G4" s="3150" t="s">
        <v>2638</v>
      </c>
      <c r="H4" s="3163"/>
      <c r="I4" s="3150" t="s">
        <v>2639</v>
      </c>
      <c r="J4" s="3163"/>
      <c r="K4" s="610" t="s">
        <v>2640</v>
      </c>
      <c r="L4" s="1133"/>
      <c r="M4" s="1134"/>
      <c r="N4" s="1134"/>
      <c r="O4" s="1134"/>
      <c r="P4" s="3166" t="s">
        <v>2641</v>
      </c>
      <c r="Q4" s="3167"/>
      <c r="R4" s="3172" t="s">
        <v>2637</v>
      </c>
      <c r="S4" s="3173"/>
      <c r="T4" s="3172" t="s">
        <v>2638</v>
      </c>
      <c r="U4" s="3173"/>
      <c r="V4" s="3159" t="s">
        <v>2639</v>
      </c>
      <c r="W4" s="3159"/>
      <c r="X4" s="1816"/>
      <c r="Y4" s="3172" t="s">
        <v>2641</v>
      </c>
      <c r="Z4" s="3173"/>
      <c r="AA4" s="3160" t="s">
        <v>2637</v>
      </c>
      <c r="AB4" s="3161" t="s">
        <v>2638</v>
      </c>
      <c r="AC4" s="3160" t="s">
        <v>2639</v>
      </c>
    </row>
    <row r="5" spans="1:29" ht="15">
      <c r="A5" s="404"/>
      <c r="B5" s="405"/>
      <c r="C5" s="3180" t="s">
        <v>2532</v>
      </c>
      <c r="D5" s="3181"/>
      <c r="E5" s="3187" t="s">
        <v>2533</v>
      </c>
      <c r="F5" s="3188"/>
      <c r="G5" s="3180" t="s">
        <v>2534</v>
      </c>
      <c r="H5" s="3181"/>
      <c r="I5" s="3180" t="s">
        <v>2535</v>
      </c>
      <c r="J5" s="3181"/>
      <c r="K5" s="610"/>
      <c r="L5" s="1133"/>
      <c r="M5" s="1134"/>
      <c r="N5" s="1134"/>
      <c r="O5" s="1134"/>
      <c r="P5" s="3168"/>
      <c r="Q5" s="3169"/>
      <c r="R5" s="3174"/>
      <c r="S5" s="3175"/>
      <c r="T5" s="3174"/>
      <c r="U5" s="3175"/>
      <c r="V5" s="3159"/>
      <c r="W5" s="3159"/>
      <c r="X5" s="1816"/>
      <c r="Y5" s="3174"/>
      <c r="Z5" s="3175"/>
      <c r="AA5" s="3161"/>
      <c r="AB5" s="3161"/>
      <c r="AC5" s="3161"/>
    </row>
    <row r="6" spans="1:29" ht="15.75" thickBot="1">
      <c r="A6" s="406"/>
      <c r="B6" s="407"/>
      <c r="C6" s="3178" t="s">
        <v>2536</v>
      </c>
      <c r="D6" s="3179"/>
      <c r="E6" s="3185" t="s">
        <v>2536</v>
      </c>
      <c r="F6" s="3186"/>
      <c r="G6" s="3178" t="s">
        <v>2536</v>
      </c>
      <c r="H6" s="3179"/>
      <c r="I6" s="3178" t="s">
        <v>2536</v>
      </c>
      <c r="J6" s="3179"/>
      <c r="K6" s="610" t="s">
        <v>2537</v>
      </c>
      <c r="L6" s="1133"/>
      <c r="M6" s="1134"/>
      <c r="N6" s="1134"/>
      <c r="O6" s="1134"/>
      <c r="P6" s="3170"/>
      <c r="Q6" s="3171"/>
      <c r="R6" s="3174"/>
      <c r="S6" s="3175"/>
      <c r="T6" s="3176"/>
      <c r="U6" s="3177"/>
      <c r="V6" s="3159"/>
      <c r="W6" s="3159"/>
      <c r="X6" s="1816"/>
      <c r="Y6" s="3176"/>
      <c r="Z6" s="3177"/>
      <c r="AA6" s="3162"/>
      <c r="AB6" s="3162"/>
      <c r="AC6" s="3162"/>
    </row>
    <row r="7" spans="1:29" s="117" customFormat="1" ht="15.75" thickBot="1">
      <c r="A7" s="408" t="s">
        <v>2538</v>
      </c>
      <c r="B7" s="409"/>
      <c r="C7" s="410">
        <f>'数据-取费表'!B2</f>
        <v>43557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2539</v>
      </c>
      <c r="Q7" s="3184"/>
      <c r="R7" s="770" t="s">
        <v>17</v>
      </c>
      <c r="S7" s="771">
        <f t="shared" ref="S7:S14" si="0">F7</f>
        <v>0</v>
      </c>
      <c r="T7" s="770" t="s">
        <v>17</v>
      </c>
      <c r="U7" s="771">
        <f t="shared" ref="U7:U14" si="1">H7</f>
        <v>0</v>
      </c>
      <c r="V7" s="770" t="s">
        <v>17</v>
      </c>
      <c r="W7" s="771">
        <f t="shared" ref="W7:W14" si="2">J7</f>
        <v>0</v>
      </c>
      <c r="X7" s="772"/>
      <c r="Y7" s="3182" t="s">
        <v>2539</v>
      </c>
      <c r="Z7" s="3183"/>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2542</v>
      </c>
      <c r="Q8" s="3183"/>
      <c r="R8" s="770" t="s">
        <v>17</v>
      </c>
      <c r="S8" s="771">
        <f t="shared" si="0"/>
        <v>0</v>
      </c>
      <c r="T8" s="770" t="s">
        <v>17</v>
      </c>
      <c r="U8" s="771">
        <f t="shared" si="1"/>
        <v>0</v>
      </c>
      <c r="V8" s="770" t="s">
        <v>17</v>
      </c>
      <c r="W8" s="771">
        <f t="shared" si="2"/>
        <v>0</v>
      </c>
      <c r="X8" s="772"/>
      <c r="Y8" s="3182" t="s">
        <v>2542</v>
      </c>
      <c r="Z8" s="3183"/>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3" t="s">
        <v>2545</v>
      </c>
      <c r="Q9" s="1798" t="str">
        <f t="shared" ref="Q9:Q14" si="6">B9</f>
        <v>用途</v>
      </c>
      <c r="R9" s="770" t="s">
        <v>17</v>
      </c>
      <c r="S9" s="771">
        <f t="shared" si="0"/>
        <v>100</v>
      </c>
      <c r="T9" s="770" t="s">
        <v>17</v>
      </c>
      <c r="U9" s="771">
        <f t="shared" si="1"/>
        <v>100</v>
      </c>
      <c r="V9" s="770" t="s">
        <v>17</v>
      </c>
      <c r="W9" s="771">
        <f t="shared" si="2"/>
        <v>100</v>
      </c>
      <c r="X9" s="772"/>
      <c r="Y9" s="3004"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3"/>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3"/>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3"/>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3"/>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
      <c r="A14" s="401" t="s">
        <v>2549</v>
      </c>
      <c r="B14" s="629" t="s">
        <v>2699</v>
      </c>
      <c r="C14" s="269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5" t="s">
        <v>2550</v>
      </c>
      <c r="Q14" s="1813" t="str">
        <f t="shared" si="6"/>
        <v>交通便捷度</v>
      </c>
      <c r="R14" s="774" t="s">
        <v>17</v>
      </c>
      <c r="S14" s="775">
        <f t="shared" si="0"/>
        <v>100</v>
      </c>
      <c r="T14" s="774" t="s">
        <v>17</v>
      </c>
      <c r="U14" s="775">
        <f t="shared" si="1"/>
        <v>100</v>
      </c>
      <c r="V14" s="774" t="s">
        <v>17</v>
      </c>
      <c r="W14" s="775">
        <f t="shared" si="2"/>
        <v>100</v>
      </c>
      <c r="X14" s="1816"/>
      <c r="Y14" s="3155"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6"/>
      <c r="Q15" s="1813"/>
      <c r="R15" s="774"/>
      <c r="S15" s="775"/>
      <c r="T15" s="774"/>
      <c r="U15" s="775"/>
      <c r="V15" s="774"/>
      <c r="W15" s="775"/>
      <c r="X15" s="1816"/>
      <c r="Y15" s="3156"/>
      <c r="Z15" s="1817"/>
      <c r="AA15" s="1814">
        <v>1</v>
      </c>
      <c r="AB15" s="1814">
        <v>1</v>
      </c>
      <c r="AC15" s="1814">
        <v>1</v>
      </c>
    </row>
    <row r="16" spans="1:29" ht="15">
      <c r="A16" s="404"/>
      <c r="B16" s="631" t="s">
        <v>2678</v>
      </c>
      <c r="C16" s="261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6"/>
      <c r="Q16" s="1813" t="str">
        <f>B16</f>
        <v>公共配套设施</v>
      </c>
      <c r="R16" s="774" t="s">
        <v>17</v>
      </c>
      <c r="S16" s="775">
        <f>F16</f>
        <v>100</v>
      </c>
      <c r="T16" s="774" t="s">
        <v>17</v>
      </c>
      <c r="U16" s="775">
        <f>H16</f>
        <v>100</v>
      </c>
      <c r="V16" s="774" t="s">
        <v>17</v>
      </c>
      <c r="W16" s="775">
        <f>J16</f>
        <v>100</v>
      </c>
      <c r="X16" s="1816"/>
      <c r="Y16" s="3156"/>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56"/>
      <c r="Q17" s="1813"/>
      <c r="R17" s="774"/>
      <c r="S17" s="775"/>
      <c r="T17" s="774"/>
      <c r="U17" s="775"/>
      <c r="V17" s="774"/>
      <c r="W17" s="775"/>
      <c r="X17" s="1816"/>
      <c r="Y17" s="3156"/>
      <c r="Z17" s="1817"/>
      <c r="AA17" s="1814">
        <v>1</v>
      </c>
      <c r="AB17" s="1814">
        <v>1</v>
      </c>
      <c r="AC17" s="1814">
        <v>1</v>
      </c>
    </row>
    <row r="18" spans="1:29" ht="15">
      <c r="A18" s="404"/>
      <c r="B18" s="633" t="s">
        <v>2679</v>
      </c>
      <c r="C18" s="2613"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6"/>
      <c r="Q18" s="1813" t="str">
        <f>B18</f>
        <v>基础设施水平</v>
      </c>
      <c r="R18" s="774" t="s">
        <v>17</v>
      </c>
      <c r="S18" s="775">
        <f>F18</f>
        <v>100</v>
      </c>
      <c r="T18" s="774" t="s">
        <v>17</v>
      </c>
      <c r="U18" s="775">
        <f>H18</f>
        <v>100</v>
      </c>
      <c r="V18" s="774" t="s">
        <v>17</v>
      </c>
      <c r="W18" s="775">
        <f>J18</f>
        <v>100</v>
      </c>
      <c r="X18" s="1816"/>
      <c r="Y18" s="3156"/>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56"/>
      <c r="Q19" s="1813"/>
      <c r="R19" s="774"/>
      <c r="S19" s="775"/>
      <c r="T19" s="774"/>
      <c r="U19" s="775"/>
      <c r="V19" s="774"/>
      <c r="W19" s="775"/>
      <c r="X19" s="1816"/>
      <c r="Y19" s="3156"/>
      <c r="Z19" s="1817"/>
      <c r="AA19" s="1814">
        <v>1</v>
      </c>
      <c r="AB19" s="1814">
        <v>1</v>
      </c>
      <c r="AC19" s="1814">
        <v>1</v>
      </c>
    </row>
    <row r="20" spans="1:29" ht="15">
      <c r="A20" s="404"/>
      <c r="B20" s="631" t="s">
        <v>2700</v>
      </c>
      <c r="C20" s="261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6"/>
      <c r="Q20" s="1813" t="str">
        <f>B20</f>
        <v>自然及人文环境</v>
      </c>
      <c r="R20" s="774" t="s">
        <v>17</v>
      </c>
      <c r="S20" s="775">
        <f>F20</f>
        <v>100</v>
      </c>
      <c r="T20" s="774" t="s">
        <v>17</v>
      </c>
      <c r="U20" s="775">
        <f>H20</f>
        <v>100</v>
      </c>
      <c r="V20" s="774" t="s">
        <v>17</v>
      </c>
      <c r="W20" s="775">
        <f>J20</f>
        <v>100</v>
      </c>
      <c r="X20" s="1816"/>
      <c r="Y20" s="315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6"/>
      <c r="Q21" s="1813"/>
      <c r="R21" s="774"/>
      <c r="S21" s="775"/>
      <c r="T21" s="774"/>
      <c r="U21" s="775"/>
      <c r="V21" s="774"/>
      <c r="W21" s="775"/>
      <c r="X21" s="1816"/>
      <c r="Y21" s="3156"/>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6"/>
      <c r="Q22" s="1813" t="str">
        <f>B22</f>
        <v>楼层</v>
      </c>
      <c r="R22" s="774" t="s">
        <v>17</v>
      </c>
      <c r="S22" s="775">
        <f>F22</f>
        <v>100</v>
      </c>
      <c r="T22" s="774" t="s">
        <v>17</v>
      </c>
      <c r="U22" s="775">
        <f>H22</f>
        <v>100</v>
      </c>
      <c r="V22" s="774" t="s">
        <v>17</v>
      </c>
      <c r="W22" s="775">
        <f>J22</f>
        <v>100</v>
      </c>
      <c r="X22" s="1816"/>
      <c r="Y22" s="315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6"/>
      <c r="Q23" s="1813">
        <f>B23</f>
        <v>111</v>
      </c>
      <c r="R23" s="774" t="s">
        <v>17</v>
      </c>
      <c r="S23" s="775">
        <f>F23</f>
        <v>100</v>
      </c>
      <c r="T23" s="774" t="s">
        <v>17</v>
      </c>
      <c r="U23" s="775">
        <f>H23</f>
        <v>100</v>
      </c>
      <c r="V23" s="774" t="s">
        <v>17</v>
      </c>
      <c r="W23" s="775">
        <f>J23</f>
        <v>100</v>
      </c>
      <c r="X23" s="1816"/>
      <c r="Y23" s="315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6"/>
      <c r="Q24" s="1813">
        <f t="shared" ref="Q24:Q36" si="11">B24</f>
        <v>111</v>
      </c>
      <c r="R24" s="774" t="s">
        <v>17</v>
      </c>
      <c r="S24" s="775">
        <f>F24</f>
        <v>100</v>
      </c>
      <c r="T24" s="774" t="s">
        <v>17</v>
      </c>
      <c r="U24" s="775">
        <f>H24</f>
        <v>100</v>
      </c>
      <c r="V24" s="774" t="s">
        <v>17</v>
      </c>
      <c r="W24" s="775">
        <f>J24</f>
        <v>100</v>
      </c>
      <c r="X24" s="1816"/>
      <c r="Y24" s="315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6"/>
      <c r="Q25" s="1798">
        <f t="shared" si="11"/>
        <v>111</v>
      </c>
      <c r="R25" s="770" t="s">
        <v>17</v>
      </c>
      <c r="S25" s="771">
        <f>F25</f>
        <v>100</v>
      </c>
      <c r="T25" s="770" t="s">
        <v>17</v>
      </c>
      <c r="U25" s="771">
        <f>H25</f>
        <v>100</v>
      </c>
      <c r="V25" s="770" t="s">
        <v>17</v>
      </c>
      <c r="W25" s="771">
        <f>J25</f>
        <v>100</v>
      </c>
      <c r="X25" s="772"/>
      <c r="Y25" s="3156"/>
      <c r="Z25" s="55">
        <f>Q25</f>
        <v>111</v>
      </c>
      <c r="AA25" s="1814">
        <f>D25/F25</f>
        <v>1</v>
      </c>
      <c r="AB25" s="1814">
        <f>D25/H25</f>
        <v>1</v>
      </c>
      <c r="AC25" s="1814">
        <f>D25/J25</f>
        <v>1</v>
      </c>
    </row>
    <row r="26" spans="1:29" ht="28.5">
      <c r="A26" s="652" t="s">
        <v>2553</v>
      </c>
      <c r="B26" s="70" t="s">
        <v>2702</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57"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58"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58"/>
      <c r="Q27" s="776" t="str">
        <f t="shared" si="11"/>
        <v>项目停车位配比</v>
      </c>
      <c r="R27" s="777" t="s">
        <v>17</v>
      </c>
      <c r="S27" s="778">
        <f t="shared" si="12"/>
        <v>100</v>
      </c>
      <c r="T27" s="777" t="s">
        <v>17</v>
      </c>
      <c r="U27" s="778">
        <f t="shared" si="13"/>
        <v>100</v>
      </c>
      <c r="V27" s="777" t="s">
        <v>17</v>
      </c>
      <c r="W27" s="778">
        <f t="shared" si="14"/>
        <v>100</v>
      </c>
      <c r="X27" s="779"/>
      <c r="Y27" s="3158"/>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58"/>
      <c r="Q28" s="1813" t="str">
        <f t="shared" si="11"/>
        <v>公共部分装修</v>
      </c>
      <c r="R28" s="774" t="s">
        <v>17</v>
      </c>
      <c r="S28" s="775">
        <f t="shared" si="12"/>
        <v>100</v>
      </c>
      <c r="T28" s="774" t="s">
        <v>17</v>
      </c>
      <c r="U28" s="775">
        <f t="shared" si="13"/>
        <v>100</v>
      </c>
      <c r="V28" s="774" t="s">
        <v>17</v>
      </c>
      <c r="W28" s="775">
        <f t="shared" si="14"/>
        <v>100</v>
      </c>
      <c r="X28" s="1816"/>
      <c r="Y28" s="3158"/>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58"/>
      <c r="Q29" s="1813" t="str">
        <f t="shared" si="11"/>
        <v>成新率</v>
      </c>
      <c r="R29" s="774" t="s">
        <v>17</v>
      </c>
      <c r="S29" s="775" t="e">
        <f t="shared" si="12"/>
        <v>#N/A</v>
      </c>
      <c r="T29" s="774" t="s">
        <v>17</v>
      </c>
      <c r="U29" s="775" t="e">
        <f t="shared" si="13"/>
        <v>#N/A</v>
      </c>
      <c r="V29" s="774" t="s">
        <v>17</v>
      </c>
      <c r="W29" s="775" t="e">
        <f t="shared" si="14"/>
        <v>#N/A</v>
      </c>
      <c r="X29" s="1816"/>
      <c r="Y29" s="3158"/>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58"/>
      <c r="Q30" s="1813" t="str">
        <f t="shared" si="11"/>
        <v>物业等级</v>
      </c>
      <c r="R30" s="774" t="s">
        <v>17</v>
      </c>
      <c r="S30" s="775">
        <f t="shared" si="12"/>
        <v>100</v>
      </c>
      <c r="T30" s="774" t="s">
        <v>17</v>
      </c>
      <c r="U30" s="775">
        <f t="shared" si="13"/>
        <v>100</v>
      </c>
      <c r="V30" s="774" t="s">
        <v>17</v>
      </c>
      <c r="W30" s="775">
        <f t="shared" si="14"/>
        <v>100</v>
      </c>
      <c r="X30" s="1816"/>
      <c r="Y30" s="3158"/>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58"/>
      <c r="Q31" s="1798" t="str">
        <f t="shared" si="11"/>
        <v>停车位面积</v>
      </c>
      <c r="R31" s="770" t="s">
        <v>17</v>
      </c>
      <c r="S31" s="771" t="e">
        <f t="shared" si="12"/>
        <v>#N/A</v>
      </c>
      <c r="T31" s="770" t="s">
        <v>17</v>
      </c>
      <c r="U31" s="771" t="e">
        <f t="shared" si="13"/>
        <v>#N/A</v>
      </c>
      <c r="V31" s="770" t="s">
        <v>17</v>
      </c>
      <c r="W31" s="771" t="e">
        <f t="shared" si="14"/>
        <v>#N/A</v>
      </c>
      <c r="X31" s="772"/>
      <c r="Y31" s="3158"/>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58" t="s">
        <v>2555</v>
      </c>
      <c r="Q32" s="1813" t="str">
        <f t="shared" si="11"/>
        <v>车位类型</v>
      </c>
      <c r="R32" s="774" t="s">
        <v>17</v>
      </c>
      <c r="S32" s="775">
        <f t="shared" si="12"/>
        <v>100</v>
      </c>
      <c r="T32" s="774" t="s">
        <v>17</v>
      </c>
      <c r="U32" s="775">
        <f t="shared" si="13"/>
        <v>100</v>
      </c>
      <c r="V32" s="774" t="s">
        <v>17</v>
      </c>
      <c r="W32" s="775">
        <f t="shared" si="14"/>
        <v>100</v>
      </c>
      <c r="X32" s="1816"/>
      <c r="Y32" s="3158"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58"/>
      <c r="Q33" s="1813" t="str">
        <f t="shared" si="11"/>
        <v>是否直接入户</v>
      </c>
      <c r="R33" s="774" t="s">
        <v>17</v>
      </c>
      <c r="S33" s="775">
        <f t="shared" si="12"/>
        <v>100</v>
      </c>
      <c r="T33" s="774" t="s">
        <v>17</v>
      </c>
      <c r="U33" s="775">
        <f t="shared" si="13"/>
        <v>100</v>
      </c>
      <c r="V33" s="774" t="s">
        <v>17</v>
      </c>
      <c r="W33" s="775">
        <f t="shared" si="14"/>
        <v>100</v>
      </c>
      <c r="X33" s="1816"/>
      <c r="Y33" s="315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58"/>
      <c r="Q34" s="1813">
        <f t="shared" si="11"/>
        <v>111</v>
      </c>
      <c r="R34" s="774" t="s">
        <v>17</v>
      </c>
      <c r="S34" s="775">
        <f t="shared" si="12"/>
        <v>100</v>
      </c>
      <c r="T34" s="774" t="s">
        <v>17</v>
      </c>
      <c r="U34" s="775">
        <f t="shared" si="13"/>
        <v>100</v>
      </c>
      <c r="V34" s="774" t="s">
        <v>17</v>
      </c>
      <c r="W34" s="775">
        <f t="shared" si="14"/>
        <v>100</v>
      </c>
      <c r="X34" s="1816"/>
      <c r="Y34" s="315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58"/>
      <c r="Q35" s="776">
        <f t="shared" si="11"/>
        <v>111</v>
      </c>
      <c r="R35" s="777" t="s">
        <v>17</v>
      </c>
      <c r="S35" s="778">
        <f t="shared" si="12"/>
        <v>100</v>
      </c>
      <c r="T35" s="777" t="s">
        <v>17</v>
      </c>
      <c r="U35" s="778">
        <f t="shared" si="13"/>
        <v>100</v>
      </c>
      <c r="V35" s="777" t="s">
        <v>17</v>
      </c>
      <c r="W35" s="778">
        <f t="shared" si="14"/>
        <v>100</v>
      </c>
      <c r="X35" s="779"/>
      <c r="Y35" s="315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58"/>
      <c r="Q36" s="1813">
        <f t="shared" si="11"/>
        <v>111</v>
      </c>
      <c r="R36" s="774" t="s">
        <v>17</v>
      </c>
      <c r="S36" s="775">
        <f t="shared" si="12"/>
        <v>100</v>
      </c>
      <c r="T36" s="774" t="s">
        <v>17</v>
      </c>
      <c r="U36" s="775">
        <f t="shared" si="13"/>
        <v>100</v>
      </c>
      <c r="V36" s="774" t="s">
        <v>17</v>
      </c>
      <c r="W36" s="775">
        <f t="shared" si="14"/>
        <v>100</v>
      </c>
      <c r="X36" s="1816"/>
      <c r="Y36" s="3158"/>
      <c r="Z36" s="1817">
        <f t="shared" si="15"/>
        <v>111</v>
      </c>
      <c r="AA36" s="1814">
        <f t="shared" si="3"/>
        <v>1</v>
      </c>
      <c r="AB36" s="1814">
        <f t="shared" si="4"/>
        <v>1</v>
      </c>
      <c r="AC36" s="1814">
        <f t="shared" si="5"/>
        <v>1</v>
      </c>
    </row>
    <row r="37" spans="1:29" ht="15">
      <c r="A37" s="479" t="s">
        <v>2710</v>
      </c>
      <c r="B37" s="2701" t="s">
        <v>2711</v>
      </c>
      <c r="C37" s="1410" t="s">
        <v>1</v>
      </c>
      <c r="D37" s="1411"/>
      <c r="E37" s="1412"/>
      <c r="F37" s="1413"/>
      <c r="G37" s="1414"/>
      <c r="H37" s="1415"/>
      <c r="I37" s="1412"/>
      <c r="J37" s="1415"/>
      <c r="K37" s="619"/>
      <c r="L37" s="1146"/>
      <c r="M37" s="1147"/>
      <c r="N37" s="1134"/>
      <c r="O37" s="1147"/>
      <c r="P37" s="3153" t="str">
        <f>A37</f>
        <v>成交单价</v>
      </c>
      <c r="Q37" s="3153"/>
      <c r="R37" s="3220">
        <f>E37</f>
        <v>0</v>
      </c>
      <c r="S37" s="3220"/>
      <c r="T37" s="3220">
        <f>G37</f>
        <v>0</v>
      </c>
      <c r="U37" s="3220"/>
      <c r="V37" s="3220">
        <f>I37</f>
        <v>0</v>
      </c>
      <c r="W37" s="3220"/>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3" t="str">
        <f>A38</f>
        <v>比较价值（元/平方米）</v>
      </c>
      <c r="Q38" s="3153"/>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147" t="str">
        <f>A39</f>
        <v>估价对象XX用房的比较价值（楼面单价，元/平方米）</v>
      </c>
      <c r="Q39" s="3148"/>
      <c r="R39" s="3219" t="e">
        <f>IF(F1="售价",ROUND(AVERAGE(R38:V38),0),ROUND(AVERAGE(R38:V38),1))</f>
        <v>#DIV/0!</v>
      </c>
      <c r="S39" s="3219"/>
      <c r="T39" s="3219"/>
      <c r="U39" s="3219"/>
      <c r="V39" s="3219"/>
      <c r="W39" s="321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90"/>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92"/>
      <c r="D2" s="1127" t="e">
        <f ca="1">SUMIF(INDIRECT("'"&amp;F2&amp;"'"&amp;"!A:A"),"承租人权益价值",INDIRECT("'"&amp;F2&amp;"'"&amp;"!c:c"))</f>
        <v>#REF!</v>
      </c>
      <c r="E2" s="2593" t="s">
        <v>2321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150" t="s">
        <v>2636</v>
      </c>
      <c r="D4" s="3163"/>
      <c r="E4" s="3164" t="s">
        <v>2637</v>
      </c>
      <c r="F4" s="3165"/>
      <c r="G4" s="3150" t="s">
        <v>2638</v>
      </c>
      <c r="H4" s="3163"/>
      <c r="I4" s="3150" t="s">
        <v>2639</v>
      </c>
      <c r="J4" s="3163"/>
      <c r="K4" s="610" t="s">
        <v>2640</v>
      </c>
      <c r="L4" s="1133"/>
      <c r="M4" s="1134"/>
      <c r="N4" s="1134"/>
      <c r="O4" s="1134"/>
      <c r="P4" s="3166" t="s">
        <v>2641</v>
      </c>
      <c r="Q4" s="3167"/>
      <c r="R4" s="3172" t="s">
        <v>2637</v>
      </c>
      <c r="S4" s="3173"/>
      <c r="T4" s="3172" t="s">
        <v>2638</v>
      </c>
      <c r="U4" s="3173"/>
      <c r="V4" s="3159" t="s">
        <v>2639</v>
      </c>
      <c r="W4" s="3159"/>
      <c r="X4" s="1816"/>
      <c r="Y4" s="3172" t="s">
        <v>2641</v>
      </c>
      <c r="Z4" s="3173"/>
      <c r="AA4" s="3160" t="s">
        <v>2637</v>
      </c>
      <c r="AB4" s="3161" t="s">
        <v>2638</v>
      </c>
      <c r="AC4" s="3160" t="s">
        <v>2639</v>
      </c>
    </row>
    <row r="5" spans="1:29" ht="15">
      <c r="A5" s="404"/>
      <c r="B5" s="405"/>
      <c r="C5" s="3180" t="s">
        <v>2532</v>
      </c>
      <c r="D5" s="3181"/>
      <c r="E5" s="3187" t="s">
        <v>2533</v>
      </c>
      <c r="F5" s="3188"/>
      <c r="G5" s="3180" t="s">
        <v>2534</v>
      </c>
      <c r="H5" s="3181"/>
      <c r="I5" s="3180" t="s">
        <v>2535</v>
      </c>
      <c r="J5" s="3181"/>
      <c r="K5" s="610"/>
      <c r="L5" s="1133"/>
      <c r="M5" s="1134"/>
      <c r="N5" s="1134"/>
      <c r="O5" s="1134"/>
      <c r="P5" s="3168"/>
      <c r="Q5" s="3169"/>
      <c r="R5" s="3174"/>
      <c r="S5" s="3175"/>
      <c r="T5" s="3174"/>
      <c r="U5" s="3175"/>
      <c r="V5" s="3159"/>
      <c r="W5" s="3159"/>
      <c r="X5" s="1816"/>
      <c r="Y5" s="3174"/>
      <c r="Z5" s="3175"/>
      <c r="AA5" s="3161"/>
      <c r="AB5" s="3161"/>
      <c r="AC5" s="3161"/>
    </row>
    <row r="6" spans="1:29" ht="15.75" thickBot="1">
      <c r="A6" s="406"/>
      <c r="B6" s="407"/>
      <c r="C6" s="3178" t="s">
        <v>2536</v>
      </c>
      <c r="D6" s="3179"/>
      <c r="E6" s="3185" t="s">
        <v>2536</v>
      </c>
      <c r="F6" s="3186"/>
      <c r="G6" s="3178" t="s">
        <v>2536</v>
      </c>
      <c r="H6" s="3179"/>
      <c r="I6" s="3178" t="s">
        <v>2536</v>
      </c>
      <c r="J6" s="3179"/>
      <c r="K6" s="610" t="s">
        <v>2537</v>
      </c>
      <c r="L6" s="1133"/>
      <c r="M6" s="1134"/>
      <c r="N6" s="1134"/>
      <c r="O6" s="1134"/>
      <c r="P6" s="3170"/>
      <c r="Q6" s="3171"/>
      <c r="R6" s="3174"/>
      <c r="S6" s="3175"/>
      <c r="T6" s="3176"/>
      <c r="U6" s="3177"/>
      <c r="V6" s="3159"/>
      <c r="W6" s="3159"/>
      <c r="X6" s="1816"/>
      <c r="Y6" s="3176"/>
      <c r="Z6" s="3177"/>
      <c r="AA6" s="3162"/>
      <c r="AB6" s="3162"/>
      <c r="AC6" s="3162"/>
    </row>
    <row r="7" spans="1:29" s="117" customFormat="1" ht="15.75" thickBot="1">
      <c r="A7" s="408" t="s">
        <v>2538</v>
      </c>
      <c r="B7" s="409"/>
      <c r="C7" s="410">
        <f>'数据-取费表'!B2</f>
        <v>43557</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82" t="s">
        <v>2539</v>
      </c>
      <c r="Q7" s="3184"/>
      <c r="R7" s="770" t="s">
        <v>17</v>
      </c>
      <c r="S7" s="771">
        <f t="shared" ref="S7:S14" si="0">F7</f>
        <v>0</v>
      </c>
      <c r="T7" s="770" t="s">
        <v>17</v>
      </c>
      <c r="U7" s="771">
        <f t="shared" ref="U7:U14" si="1">H7</f>
        <v>0</v>
      </c>
      <c r="V7" s="770" t="s">
        <v>17</v>
      </c>
      <c r="W7" s="771">
        <f t="shared" ref="W7:W14" si="2">J7</f>
        <v>0</v>
      </c>
      <c r="X7" s="772"/>
      <c r="Y7" s="3182" t="s">
        <v>2539</v>
      </c>
      <c r="Z7" s="3183"/>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2542</v>
      </c>
      <c r="Q8" s="3183"/>
      <c r="R8" s="770" t="s">
        <v>17</v>
      </c>
      <c r="S8" s="771">
        <f t="shared" si="0"/>
        <v>0</v>
      </c>
      <c r="T8" s="770" t="s">
        <v>17</v>
      </c>
      <c r="U8" s="771">
        <f t="shared" si="1"/>
        <v>0</v>
      </c>
      <c r="V8" s="770" t="s">
        <v>17</v>
      </c>
      <c r="W8" s="771">
        <f t="shared" si="2"/>
        <v>0</v>
      </c>
      <c r="X8" s="772"/>
      <c r="Y8" s="3182" t="s">
        <v>2542</v>
      </c>
      <c r="Z8" s="3183"/>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3" t="s">
        <v>2545</v>
      </c>
      <c r="Q9" s="1798" t="str">
        <f t="shared" ref="Q9:Q14" si="6">B9</f>
        <v>用途</v>
      </c>
      <c r="R9" s="770" t="s">
        <v>17</v>
      </c>
      <c r="S9" s="771">
        <f t="shared" si="0"/>
        <v>100</v>
      </c>
      <c r="T9" s="770" t="s">
        <v>17</v>
      </c>
      <c r="U9" s="771">
        <f t="shared" si="1"/>
        <v>100</v>
      </c>
      <c r="V9" s="770" t="s">
        <v>17</v>
      </c>
      <c r="W9" s="771">
        <f t="shared" si="2"/>
        <v>100</v>
      </c>
      <c r="X9" s="772"/>
      <c r="Y9" s="3004"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3"/>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3"/>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3"/>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3"/>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
      <c r="A14" s="440" t="s">
        <v>2549</v>
      </c>
      <c r="B14" s="69" t="s">
        <v>2699</v>
      </c>
      <c r="C14" s="269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5" t="s">
        <v>2550</v>
      </c>
      <c r="Q14" s="1813" t="str">
        <f t="shared" si="6"/>
        <v>交通便捷度</v>
      </c>
      <c r="R14" s="774" t="s">
        <v>17</v>
      </c>
      <c r="S14" s="775">
        <f t="shared" si="0"/>
        <v>100</v>
      </c>
      <c r="T14" s="774" t="s">
        <v>17</v>
      </c>
      <c r="U14" s="775">
        <f t="shared" si="1"/>
        <v>100</v>
      </c>
      <c r="V14" s="774" t="s">
        <v>17</v>
      </c>
      <c r="W14" s="775">
        <f t="shared" si="2"/>
        <v>100</v>
      </c>
      <c r="X14" s="1816"/>
      <c r="Y14" s="3155"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6"/>
      <c r="Q15" s="1813"/>
      <c r="R15" s="774"/>
      <c r="S15" s="775"/>
      <c r="T15" s="774"/>
      <c r="U15" s="775"/>
      <c r="V15" s="774"/>
      <c r="W15" s="775"/>
      <c r="X15" s="1816"/>
      <c r="Y15" s="3156"/>
      <c r="Z15" s="1817"/>
      <c r="AA15" s="1814">
        <v>1</v>
      </c>
      <c r="AB15" s="1814">
        <v>1</v>
      </c>
      <c r="AC15" s="1814">
        <v>1</v>
      </c>
    </row>
    <row r="16" spans="1:29" ht="15">
      <c r="A16" s="428"/>
      <c r="B16" s="451" t="s">
        <v>2678</v>
      </c>
      <c r="C16" s="261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6"/>
      <c r="Q16" s="1813" t="str">
        <f>B16</f>
        <v>公共配套设施</v>
      </c>
      <c r="R16" s="774" t="s">
        <v>17</v>
      </c>
      <c r="S16" s="775">
        <f>F16</f>
        <v>100</v>
      </c>
      <c r="T16" s="774" t="s">
        <v>17</v>
      </c>
      <c r="U16" s="775">
        <f>H16</f>
        <v>100</v>
      </c>
      <c r="V16" s="774" t="s">
        <v>17</v>
      </c>
      <c r="W16" s="775">
        <f>J16</f>
        <v>100</v>
      </c>
      <c r="X16" s="1816"/>
      <c r="Y16" s="3156"/>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56"/>
      <c r="Q17" s="1813"/>
      <c r="R17" s="774"/>
      <c r="S17" s="775"/>
      <c r="T17" s="774"/>
      <c r="U17" s="775"/>
      <c r="V17" s="774"/>
      <c r="W17" s="775"/>
      <c r="X17" s="1816"/>
      <c r="Y17" s="3156"/>
      <c r="Z17" s="1817"/>
      <c r="AA17" s="1814">
        <v>1</v>
      </c>
      <c r="AB17" s="1814">
        <v>1</v>
      </c>
      <c r="AC17" s="1814">
        <v>1</v>
      </c>
    </row>
    <row r="18" spans="1:29" ht="15">
      <c r="A18" s="428"/>
      <c r="B18" s="1387" t="s">
        <v>2679</v>
      </c>
      <c r="C18" s="2613"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6"/>
      <c r="Q18" s="1813" t="str">
        <f>B18</f>
        <v>基础设施水平</v>
      </c>
      <c r="R18" s="774" t="s">
        <v>17</v>
      </c>
      <c r="S18" s="775">
        <f>F18</f>
        <v>100</v>
      </c>
      <c r="T18" s="774" t="s">
        <v>17</v>
      </c>
      <c r="U18" s="775">
        <f>H18</f>
        <v>100</v>
      </c>
      <c r="V18" s="774" t="s">
        <v>17</v>
      </c>
      <c r="W18" s="775">
        <f>J18</f>
        <v>100</v>
      </c>
      <c r="X18" s="1816"/>
      <c r="Y18" s="3156"/>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56"/>
      <c r="Q19" s="1813"/>
      <c r="R19" s="774"/>
      <c r="S19" s="775"/>
      <c r="T19" s="774"/>
      <c r="U19" s="775"/>
      <c r="V19" s="774"/>
      <c r="W19" s="775"/>
      <c r="X19" s="1816"/>
      <c r="Y19" s="3156"/>
      <c r="Z19" s="1817"/>
      <c r="AA19" s="1814">
        <v>1</v>
      </c>
      <c r="AB19" s="1814">
        <v>1</v>
      </c>
      <c r="AC19" s="1814">
        <v>1</v>
      </c>
    </row>
    <row r="20" spans="1:29" ht="15">
      <c r="A20" s="428"/>
      <c r="B20" s="451" t="s">
        <v>2700</v>
      </c>
      <c r="C20" s="261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6"/>
      <c r="Q20" s="1813" t="str">
        <f>B20</f>
        <v>自然及人文环境</v>
      </c>
      <c r="R20" s="774" t="s">
        <v>17</v>
      </c>
      <c r="S20" s="775">
        <f>F20</f>
        <v>100</v>
      </c>
      <c r="T20" s="774" t="s">
        <v>17</v>
      </c>
      <c r="U20" s="775">
        <f>H20</f>
        <v>100</v>
      </c>
      <c r="V20" s="774" t="s">
        <v>17</v>
      </c>
      <c r="W20" s="775">
        <f>J20</f>
        <v>100</v>
      </c>
      <c r="X20" s="1816"/>
      <c r="Y20" s="315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6"/>
      <c r="Q21" s="1813"/>
      <c r="R21" s="774"/>
      <c r="S21" s="775"/>
      <c r="T21" s="774"/>
      <c r="U21" s="775"/>
      <c r="V21" s="774"/>
      <c r="W21" s="775"/>
      <c r="X21" s="1816"/>
      <c r="Y21" s="3156"/>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6"/>
      <c r="Q22" s="1813" t="str">
        <f>B22</f>
        <v>楼层</v>
      </c>
      <c r="R22" s="774" t="s">
        <v>17</v>
      </c>
      <c r="S22" s="775">
        <f>F22</f>
        <v>100</v>
      </c>
      <c r="T22" s="774" t="s">
        <v>17</v>
      </c>
      <c r="U22" s="775">
        <f>H22</f>
        <v>100</v>
      </c>
      <c r="V22" s="774" t="s">
        <v>17</v>
      </c>
      <c r="W22" s="775">
        <f>J22</f>
        <v>100</v>
      </c>
      <c r="X22" s="1816"/>
      <c r="Y22" s="3156"/>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6"/>
      <c r="Q23" s="1813">
        <f>B23</f>
        <v>111</v>
      </c>
      <c r="R23" s="774" t="s">
        <v>17</v>
      </c>
      <c r="S23" s="775">
        <f>F23</f>
        <v>100</v>
      </c>
      <c r="T23" s="774" t="s">
        <v>17</v>
      </c>
      <c r="U23" s="775">
        <f>H23</f>
        <v>100</v>
      </c>
      <c r="V23" s="774" t="s">
        <v>17</v>
      </c>
      <c r="W23" s="775">
        <f>J23</f>
        <v>100</v>
      </c>
      <c r="X23" s="1816"/>
      <c r="Y23" s="3156"/>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6"/>
      <c r="Q24" s="1813">
        <f t="shared" ref="Q24:Q34" si="11">B24</f>
        <v>111</v>
      </c>
      <c r="R24" s="774" t="s">
        <v>17</v>
      </c>
      <c r="S24" s="775">
        <f>F24</f>
        <v>100</v>
      </c>
      <c r="T24" s="774" t="s">
        <v>17</v>
      </c>
      <c r="U24" s="775">
        <f>H24</f>
        <v>100</v>
      </c>
      <c r="V24" s="774" t="s">
        <v>17</v>
      </c>
      <c r="W24" s="775">
        <f>J24</f>
        <v>100</v>
      </c>
      <c r="X24" s="1816"/>
      <c r="Y24" s="3156"/>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56"/>
      <c r="Q25" s="1798">
        <f t="shared" si="11"/>
        <v>111</v>
      </c>
      <c r="R25" s="770" t="s">
        <v>17</v>
      </c>
      <c r="S25" s="771">
        <f>F25</f>
        <v>100</v>
      </c>
      <c r="T25" s="770" t="s">
        <v>17</v>
      </c>
      <c r="U25" s="771">
        <f>H25</f>
        <v>100</v>
      </c>
      <c r="V25" s="770" t="s">
        <v>17</v>
      </c>
      <c r="W25" s="771">
        <f>J25</f>
        <v>100</v>
      </c>
      <c r="X25" s="772"/>
      <c r="Y25" s="3156"/>
      <c r="Z25" s="55">
        <f>Q25</f>
        <v>111</v>
      </c>
      <c r="AA25" s="1814">
        <f>D25/F25</f>
        <v>1</v>
      </c>
      <c r="AB25" s="1814">
        <f>D25/H25</f>
        <v>1</v>
      </c>
      <c r="AC25" s="1814">
        <f>D25/J25</f>
        <v>1</v>
      </c>
    </row>
    <row r="26" spans="1:29" ht="28.5">
      <c r="A26" s="466" t="s">
        <v>2553</v>
      </c>
      <c r="B26" s="71" t="s">
        <v>2704</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57"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58"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58"/>
      <c r="Q27" s="776" t="str">
        <f t="shared" si="11"/>
        <v>成新率</v>
      </c>
      <c r="R27" s="777" t="s">
        <v>17</v>
      </c>
      <c r="S27" s="778" t="e">
        <f t="shared" si="12"/>
        <v>#N/A</v>
      </c>
      <c r="T27" s="777" t="s">
        <v>17</v>
      </c>
      <c r="U27" s="778" t="e">
        <f t="shared" si="13"/>
        <v>#N/A</v>
      </c>
      <c r="V27" s="777" t="s">
        <v>17</v>
      </c>
      <c r="W27" s="778" t="e">
        <f t="shared" si="14"/>
        <v>#N/A</v>
      </c>
      <c r="X27" s="779"/>
      <c r="Y27" s="3158"/>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58"/>
      <c r="Q28" s="1813" t="str">
        <f t="shared" si="11"/>
        <v>物业等级</v>
      </c>
      <c r="R28" s="774" t="s">
        <v>17</v>
      </c>
      <c r="S28" s="775">
        <f t="shared" si="12"/>
        <v>100</v>
      </c>
      <c r="T28" s="774" t="s">
        <v>17</v>
      </c>
      <c r="U28" s="775">
        <f t="shared" si="13"/>
        <v>100</v>
      </c>
      <c r="V28" s="774" t="s">
        <v>17</v>
      </c>
      <c r="W28" s="775">
        <f t="shared" si="14"/>
        <v>100</v>
      </c>
      <c r="X28" s="1816"/>
      <c r="Y28" s="3158"/>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58"/>
      <c r="Q29" s="1813" t="str">
        <f t="shared" si="11"/>
        <v>有无电梯</v>
      </c>
      <c r="R29" s="774" t="s">
        <v>17</v>
      </c>
      <c r="S29" s="775">
        <f t="shared" si="12"/>
        <v>100</v>
      </c>
      <c r="T29" s="774" t="s">
        <v>17</v>
      </c>
      <c r="U29" s="775">
        <f t="shared" si="13"/>
        <v>100</v>
      </c>
      <c r="V29" s="774" t="s">
        <v>17</v>
      </c>
      <c r="W29" s="775">
        <f t="shared" si="14"/>
        <v>100</v>
      </c>
      <c r="X29" s="1816"/>
      <c r="Y29" s="3158"/>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58"/>
      <c r="Q30" s="1813" t="str">
        <f t="shared" si="11"/>
        <v>建筑面积</v>
      </c>
      <c r="R30" s="774" t="s">
        <v>17</v>
      </c>
      <c r="S30" s="775" t="e">
        <f t="shared" si="12"/>
        <v>#N/A</v>
      </c>
      <c r="T30" s="774" t="s">
        <v>17</v>
      </c>
      <c r="U30" s="775" t="e">
        <f t="shared" si="13"/>
        <v>#N/A</v>
      </c>
      <c r="V30" s="774" t="s">
        <v>17</v>
      </c>
      <c r="W30" s="775" t="e">
        <f t="shared" si="14"/>
        <v>#N/A</v>
      </c>
      <c r="X30" s="1816"/>
      <c r="Y30" s="3158"/>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58"/>
      <c r="Q31" s="1798" t="str">
        <f t="shared" si="11"/>
        <v>是否封闭</v>
      </c>
      <c r="R31" s="770" t="s">
        <v>17</v>
      </c>
      <c r="S31" s="771">
        <f t="shared" si="12"/>
        <v>100</v>
      </c>
      <c r="T31" s="770" t="s">
        <v>17</v>
      </c>
      <c r="U31" s="771">
        <f t="shared" si="13"/>
        <v>100</v>
      </c>
      <c r="V31" s="770" t="s">
        <v>17</v>
      </c>
      <c r="W31" s="771">
        <f t="shared" si="14"/>
        <v>100</v>
      </c>
      <c r="X31" s="772"/>
      <c r="Y31" s="315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58" t="s">
        <v>2555</v>
      </c>
      <c r="Q32" s="1813">
        <f t="shared" si="11"/>
        <v>111</v>
      </c>
      <c r="R32" s="774" t="s">
        <v>17</v>
      </c>
      <c r="S32" s="775">
        <f t="shared" si="12"/>
        <v>100</v>
      </c>
      <c r="T32" s="774" t="s">
        <v>17</v>
      </c>
      <c r="U32" s="775">
        <f t="shared" si="13"/>
        <v>100</v>
      </c>
      <c r="V32" s="774" t="s">
        <v>17</v>
      </c>
      <c r="W32" s="775">
        <f t="shared" si="14"/>
        <v>100</v>
      </c>
      <c r="X32" s="1816"/>
      <c r="Y32" s="3158" t="s">
        <v>2555</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58"/>
      <c r="Q33" s="1813">
        <f t="shared" si="11"/>
        <v>111</v>
      </c>
      <c r="R33" s="774" t="s">
        <v>17</v>
      </c>
      <c r="S33" s="775">
        <f t="shared" si="12"/>
        <v>100</v>
      </c>
      <c r="T33" s="774" t="s">
        <v>17</v>
      </c>
      <c r="U33" s="775">
        <f t="shared" si="13"/>
        <v>100</v>
      </c>
      <c r="V33" s="774" t="s">
        <v>17</v>
      </c>
      <c r="W33" s="775">
        <f t="shared" si="14"/>
        <v>100</v>
      </c>
      <c r="X33" s="1816"/>
      <c r="Y33" s="3158"/>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58"/>
      <c r="Q34" s="1813">
        <f t="shared" si="11"/>
        <v>111</v>
      </c>
      <c r="R34" s="774" t="s">
        <v>17</v>
      </c>
      <c r="S34" s="775">
        <f t="shared" si="12"/>
        <v>100</v>
      </c>
      <c r="T34" s="774" t="s">
        <v>17</v>
      </c>
      <c r="U34" s="775">
        <f t="shared" si="13"/>
        <v>100</v>
      </c>
      <c r="V34" s="774" t="s">
        <v>17</v>
      </c>
      <c r="W34" s="775">
        <f t="shared" si="14"/>
        <v>100</v>
      </c>
      <c r="X34" s="1816"/>
      <c r="Y34" s="3158"/>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153" t="str">
        <f>A35</f>
        <v>成交单价（元/平方米）</v>
      </c>
      <c r="Q35" s="3153"/>
      <c r="R35" s="3220">
        <f>E35</f>
        <v>0</v>
      </c>
      <c r="S35" s="3220"/>
      <c r="T35" s="3220">
        <f>G35</f>
        <v>0</v>
      </c>
      <c r="U35" s="3220"/>
      <c r="V35" s="3220">
        <f>I35</f>
        <v>0</v>
      </c>
      <c r="W35" s="3220"/>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153" t="str">
        <f>A36</f>
        <v>比较价值（元/平方米）</v>
      </c>
      <c r="Q36" s="3153"/>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147" t="str">
        <f>A37</f>
        <v>估价对象XX用房的比较价值（楼面单价，元/平方米）</v>
      </c>
      <c r="Q37" s="3148"/>
      <c r="R37" s="3219" t="e">
        <f>IF(F1="售价",ROUND(AVERAGE(R36:V36),0),ROUND(AVERAGE(R36:V36),1))</f>
        <v>#DIV/0!</v>
      </c>
      <c r="S37" s="3219"/>
      <c r="T37" s="3219"/>
      <c r="U37" s="3219"/>
      <c r="V37" s="3219"/>
      <c r="W37" s="321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150" t="s">
        <v>2636</v>
      </c>
      <c r="D4" s="3163"/>
      <c r="E4" s="3164" t="s">
        <v>2637</v>
      </c>
      <c r="F4" s="3165"/>
      <c r="G4" s="3150" t="s">
        <v>2638</v>
      </c>
      <c r="H4" s="3163"/>
      <c r="I4" s="3150" t="s">
        <v>2639</v>
      </c>
      <c r="J4" s="3163"/>
      <c r="K4" s="610" t="s">
        <v>2640</v>
      </c>
      <c r="L4" s="1133"/>
      <c r="M4" s="1134"/>
      <c r="N4" s="1134"/>
      <c r="O4" s="1134"/>
      <c r="P4" s="3166" t="s">
        <v>2641</v>
      </c>
      <c r="Q4" s="3167"/>
      <c r="R4" s="3172" t="s">
        <v>2637</v>
      </c>
      <c r="S4" s="3173"/>
      <c r="T4" s="3172" t="s">
        <v>2638</v>
      </c>
      <c r="U4" s="3173"/>
      <c r="V4" s="3159" t="s">
        <v>2639</v>
      </c>
      <c r="W4" s="3159"/>
      <c r="X4" s="1816"/>
      <c r="Y4" s="3172" t="s">
        <v>2641</v>
      </c>
      <c r="Z4" s="3173"/>
      <c r="AA4" s="3160" t="s">
        <v>2637</v>
      </c>
      <c r="AB4" s="3161" t="s">
        <v>2638</v>
      </c>
      <c r="AC4" s="3160" t="s">
        <v>2639</v>
      </c>
    </row>
    <row r="5" spans="1:29" ht="15">
      <c r="A5" s="404"/>
      <c r="B5" s="405"/>
      <c r="C5" s="3180" t="s">
        <v>2532</v>
      </c>
      <c r="D5" s="3181"/>
      <c r="E5" s="3187" t="s">
        <v>2533</v>
      </c>
      <c r="F5" s="3188"/>
      <c r="G5" s="3180" t="s">
        <v>2534</v>
      </c>
      <c r="H5" s="3181"/>
      <c r="I5" s="3180" t="s">
        <v>2535</v>
      </c>
      <c r="J5" s="3181"/>
      <c r="K5" s="610"/>
      <c r="L5" s="1133"/>
      <c r="M5" s="1134"/>
      <c r="N5" s="1134"/>
      <c r="O5" s="1134"/>
      <c r="P5" s="3168"/>
      <c r="Q5" s="3169"/>
      <c r="R5" s="3174"/>
      <c r="S5" s="3175"/>
      <c r="T5" s="3174"/>
      <c r="U5" s="3175"/>
      <c r="V5" s="3159"/>
      <c r="W5" s="3159"/>
      <c r="X5" s="1816"/>
      <c r="Y5" s="3174"/>
      <c r="Z5" s="3175"/>
      <c r="AA5" s="3161"/>
      <c r="AB5" s="3161"/>
      <c r="AC5" s="3161"/>
    </row>
    <row r="6" spans="1:29" ht="15.75" thickBot="1">
      <c r="A6" s="406"/>
      <c r="B6" s="407"/>
      <c r="C6" s="3242" t="s">
        <v>2787</v>
      </c>
      <c r="D6" s="3243"/>
      <c r="E6" s="3244" t="s">
        <v>2787</v>
      </c>
      <c r="F6" s="3245"/>
      <c r="G6" s="3242" t="s">
        <v>2787</v>
      </c>
      <c r="H6" s="3243"/>
      <c r="I6" s="3242" t="s">
        <v>2787</v>
      </c>
      <c r="J6" s="3243"/>
      <c r="K6" s="610" t="s">
        <v>2537</v>
      </c>
      <c r="L6" s="1133"/>
      <c r="M6" s="1134"/>
      <c r="N6" s="1134"/>
      <c r="O6" s="1134"/>
      <c r="P6" s="3170"/>
      <c r="Q6" s="3171"/>
      <c r="R6" s="3174"/>
      <c r="S6" s="3175"/>
      <c r="T6" s="3176"/>
      <c r="U6" s="3177"/>
      <c r="V6" s="3159"/>
      <c r="W6" s="3159"/>
      <c r="X6" s="1816"/>
      <c r="Y6" s="3176"/>
      <c r="Z6" s="3177"/>
      <c r="AA6" s="3162"/>
      <c r="AB6" s="3162"/>
      <c r="AC6" s="3162"/>
    </row>
    <row r="7" spans="1:29" s="117" customFormat="1" ht="15.75" thickBot="1">
      <c r="A7" s="408" t="s">
        <v>2538</v>
      </c>
      <c r="B7" s="409"/>
      <c r="C7" s="410">
        <f>'数据-取费表'!B2</f>
        <v>43557</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82" t="s">
        <v>2539</v>
      </c>
      <c r="Q7" s="3184"/>
      <c r="R7" s="770" t="s">
        <v>17</v>
      </c>
      <c r="S7" s="771">
        <f t="shared" ref="S7:S15" si="0">F7</f>
        <v>0</v>
      </c>
      <c r="T7" s="770" t="s">
        <v>17</v>
      </c>
      <c r="U7" s="771">
        <f t="shared" ref="U7:U15" si="1">H7</f>
        <v>0</v>
      </c>
      <c r="V7" s="770" t="s">
        <v>17</v>
      </c>
      <c r="W7" s="771">
        <f t="shared" ref="W7:W15" si="2">J7</f>
        <v>0</v>
      </c>
      <c r="X7" s="772"/>
      <c r="Y7" s="3182" t="s">
        <v>2539</v>
      </c>
      <c r="Z7" s="3183"/>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2" t="s">
        <v>2542</v>
      </c>
      <c r="Q8" s="3183"/>
      <c r="R8" s="770" t="s">
        <v>17</v>
      </c>
      <c r="S8" s="771">
        <f t="shared" si="0"/>
        <v>0</v>
      </c>
      <c r="T8" s="770" t="s">
        <v>17</v>
      </c>
      <c r="U8" s="771">
        <f t="shared" si="1"/>
        <v>0</v>
      </c>
      <c r="V8" s="770" t="s">
        <v>17</v>
      </c>
      <c r="W8" s="771">
        <f t="shared" si="2"/>
        <v>0</v>
      </c>
      <c r="X8" s="772"/>
      <c r="Y8" s="3182" t="s">
        <v>2542</v>
      </c>
      <c r="Z8" s="3183"/>
      <c r="AA8" s="773" t="e">
        <f t="shared" ref="AA8:AA40" si="3">D8/F8</f>
        <v>#DIV/0!</v>
      </c>
      <c r="AB8" s="773" t="e">
        <f t="shared" ref="AB8:AB40" si="4">D8/H8</f>
        <v>#DIV/0!</v>
      </c>
      <c r="AC8" s="773" t="e">
        <f t="shared" ref="AC8:AC40" si="5">D8/J8</f>
        <v>#DIV/0!</v>
      </c>
    </row>
    <row r="9" spans="1:29" s="117" customFormat="1">
      <c r="A9" s="415" t="s">
        <v>2543</v>
      </c>
      <c r="B9" s="71" t="s">
        <v>2544</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3" t="s">
        <v>2545</v>
      </c>
      <c r="Q9" s="1798" t="str">
        <f t="shared" ref="Q9:Q15" si="6">B9</f>
        <v>用途</v>
      </c>
      <c r="R9" s="770" t="s">
        <v>17</v>
      </c>
      <c r="S9" s="771">
        <f t="shared" si="0"/>
        <v>100</v>
      </c>
      <c r="T9" s="770" t="s">
        <v>17</v>
      </c>
      <c r="U9" s="771">
        <f t="shared" si="1"/>
        <v>100</v>
      </c>
      <c r="V9" s="770" t="s">
        <v>17</v>
      </c>
      <c r="W9" s="771">
        <f t="shared" si="2"/>
        <v>100</v>
      </c>
      <c r="X9" s="772"/>
      <c r="Y9" s="3004"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153"/>
      <c r="Q10" s="1798" t="str">
        <f t="shared" si="6"/>
        <v>土地使用年限（年）</v>
      </c>
      <c r="R10" s="770" t="s">
        <v>17</v>
      </c>
      <c r="S10" s="771">
        <f t="shared" si="0"/>
        <v>101</v>
      </c>
      <c r="T10" s="770" t="s">
        <v>17</v>
      </c>
      <c r="U10" s="771">
        <f t="shared" si="1"/>
        <v>101</v>
      </c>
      <c r="V10" s="770" t="s">
        <v>17</v>
      </c>
      <c r="W10" s="771">
        <f t="shared" si="2"/>
        <v>101</v>
      </c>
      <c r="X10" s="772"/>
      <c r="Y10" s="3004"/>
      <c r="Z10" s="55" t="str">
        <f t="shared" si="7"/>
        <v>土地使用年限（年）</v>
      </c>
      <c r="AA10" s="773">
        <f t="shared" si="3"/>
        <v>0.99009900990099009</v>
      </c>
      <c r="AB10" s="773">
        <f t="shared" si="4"/>
        <v>0.99009900990099009</v>
      </c>
      <c r="AC10" s="773">
        <f t="shared" si="5"/>
        <v>0.99009900990099009</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3"/>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3"/>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3"/>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3"/>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2549</v>
      </c>
      <c r="B15" s="629" t="s">
        <v>2788</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5" t="s">
        <v>2550</v>
      </c>
      <c r="Q15" s="1813" t="str">
        <f t="shared" si="6"/>
        <v>产业集聚程度</v>
      </c>
      <c r="R15" s="774" t="s">
        <v>17</v>
      </c>
      <c r="S15" s="775">
        <f t="shared" si="0"/>
        <v>100</v>
      </c>
      <c r="T15" s="774" t="s">
        <v>17</v>
      </c>
      <c r="U15" s="775">
        <f t="shared" si="1"/>
        <v>100</v>
      </c>
      <c r="V15" s="774" t="s">
        <v>17</v>
      </c>
      <c r="W15" s="775">
        <f t="shared" si="2"/>
        <v>100</v>
      </c>
      <c r="X15" s="1816"/>
      <c r="Y15" s="3155" t="s">
        <v>2550</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56"/>
      <c r="Q16" s="1813"/>
      <c r="R16" s="774"/>
      <c r="S16" s="775"/>
      <c r="T16" s="774"/>
      <c r="U16" s="775"/>
      <c r="V16" s="774"/>
      <c r="W16" s="775"/>
      <c r="X16" s="1816"/>
      <c r="Y16" s="3156"/>
      <c r="Z16" s="1817"/>
      <c r="AA16" s="1814">
        <v>1</v>
      </c>
      <c r="AB16" s="1814">
        <v>1</v>
      </c>
      <c r="AC16" s="1814">
        <v>1</v>
      </c>
    </row>
    <row r="17" spans="1:29" ht="85.5">
      <c r="A17" s="428"/>
      <c r="B17" s="631" t="s">
        <v>2699</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6"/>
      <c r="Q17" s="1813" t="str">
        <f>B17</f>
        <v>交通便捷度</v>
      </c>
      <c r="R17" s="774" t="s">
        <v>17</v>
      </c>
      <c r="S17" s="775">
        <f>F17</f>
        <v>100</v>
      </c>
      <c r="T17" s="774" t="s">
        <v>17</v>
      </c>
      <c r="U17" s="775">
        <f>H17</f>
        <v>100</v>
      </c>
      <c r="V17" s="774" t="s">
        <v>17</v>
      </c>
      <c r="W17" s="775">
        <f>J17</f>
        <v>100</v>
      </c>
      <c r="X17" s="1816"/>
      <c r="Y17" s="3156"/>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56"/>
      <c r="Q18" s="1813"/>
      <c r="R18" s="774"/>
      <c r="S18" s="775"/>
      <c r="T18" s="774"/>
      <c r="U18" s="775"/>
      <c r="V18" s="774"/>
      <c r="W18" s="775"/>
      <c r="X18" s="1816"/>
      <c r="Y18" s="3156"/>
      <c r="Z18" s="1817"/>
      <c r="AA18" s="1814">
        <v>1</v>
      </c>
      <c r="AB18" s="1814">
        <v>1</v>
      </c>
      <c r="AC18" s="1814">
        <v>1</v>
      </c>
    </row>
    <row r="19" spans="1:29" ht="15">
      <c r="A19" s="428"/>
      <c r="B19" s="631" t="s">
        <v>2738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6"/>
      <c r="Q19" s="1813" t="str">
        <f t="shared" ref="Q19:Q33" si="8">B19</f>
        <v>区域土地利用方向</v>
      </c>
      <c r="R19" s="774" t="s">
        <v>17</v>
      </c>
      <c r="S19" s="775">
        <f>F19</f>
        <v>100</v>
      </c>
      <c r="T19" s="774" t="s">
        <v>17</v>
      </c>
      <c r="U19" s="775">
        <f>H19</f>
        <v>100</v>
      </c>
      <c r="V19" s="774" t="s">
        <v>17</v>
      </c>
      <c r="W19" s="775">
        <f>J19</f>
        <v>100</v>
      </c>
      <c r="X19" s="1816"/>
      <c r="Y19" s="3156"/>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56"/>
      <c r="Q20" s="1813"/>
      <c r="R20" s="774"/>
      <c r="S20" s="775"/>
      <c r="T20" s="774"/>
      <c r="U20" s="775"/>
      <c r="V20" s="774"/>
      <c r="W20" s="775"/>
      <c r="X20" s="1816"/>
      <c r="Y20" s="3156"/>
      <c r="Z20" s="1817"/>
      <c r="AA20" s="1814"/>
      <c r="AB20" s="1814"/>
      <c r="AC20" s="1814"/>
    </row>
    <row r="21" spans="1:29" ht="71.25">
      <c r="A21" s="404"/>
      <c r="B21" s="631" t="s">
        <v>2789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6"/>
      <c r="Q21" s="1813" t="str">
        <f t="shared" si="8"/>
        <v>环境状况</v>
      </c>
      <c r="R21" s="774" t="s">
        <v>17</v>
      </c>
      <c r="S21" s="775">
        <f>F21</f>
        <v>100</v>
      </c>
      <c r="T21" s="774" t="s">
        <v>17</v>
      </c>
      <c r="U21" s="775">
        <f>H21</f>
        <v>100</v>
      </c>
      <c r="V21" s="774" t="s">
        <v>17</v>
      </c>
      <c r="W21" s="775">
        <f>J21</f>
        <v>100</v>
      </c>
      <c r="X21" s="1816"/>
      <c r="Y21" s="3156"/>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56"/>
      <c r="Q22" s="1813"/>
      <c r="R22" s="774"/>
      <c r="S22" s="775"/>
      <c r="T22" s="774"/>
      <c r="U22" s="775"/>
      <c r="V22" s="774"/>
      <c r="W22" s="775"/>
      <c r="X22" s="1816"/>
      <c r="Y22" s="3156"/>
      <c r="Z22" s="1817"/>
      <c r="AA22" s="1814">
        <v>1</v>
      </c>
      <c r="AB22" s="1814">
        <v>1</v>
      </c>
      <c r="AC22" s="1814">
        <v>1</v>
      </c>
    </row>
    <row r="23" spans="1:29" s="117" customFormat="1" ht="42.75">
      <c r="A23" s="649"/>
      <c r="B23" s="633" t="s">
        <v>2644</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6"/>
      <c r="Q23" s="1798" t="str">
        <f t="shared" si="8"/>
        <v>公共配套设施</v>
      </c>
      <c r="R23" s="770" t="s">
        <v>17</v>
      </c>
      <c r="S23" s="771">
        <f>F23</f>
        <v>100</v>
      </c>
      <c r="T23" s="770" t="s">
        <v>17</v>
      </c>
      <c r="U23" s="771">
        <f>H23</f>
        <v>100</v>
      </c>
      <c r="V23" s="770" t="s">
        <v>17</v>
      </c>
      <c r="W23" s="771">
        <f>J23</f>
        <v>100</v>
      </c>
      <c r="X23" s="772"/>
      <c r="Y23" s="3156"/>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56"/>
      <c r="Q24" s="1798"/>
      <c r="R24" s="770"/>
      <c r="S24" s="771"/>
      <c r="T24" s="770"/>
      <c r="U24" s="771"/>
      <c r="V24" s="770"/>
      <c r="W24" s="771"/>
      <c r="X24" s="772"/>
      <c r="Y24" s="3156"/>
      <c r="Z24" s="55"/>
      <c r="AA24" s="773">
        <v>1</v>
      </c>
      <c r="AB24" s="773">
        <v>1</v>
      </c>
      <c r="AC24" s="773">
        <v>1</v>
      </c>
    </row>
    <row r="25" spans="1:29" s="117" customFormat="1" ht="28.5">
      <c r="A25" s="649"/>
      <c r="B25" s="633" t="s">
        <v>2645</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6"/>
      <c r="Q25" s="1798" t="str">
        <f t="shared" ref="Q25" si="9">B25</f>
        <v>基础设施水平</v>
      </c>
      <c r="R25" s="770" t="s">
        <v>17</v>
      </c>
      <c r="S25" s="771">
        <f>F25</f>
        <v>100</v>
      </c>
      <c r="T25" s="770" t="s">
        <v>17</v>
      </c>
      <c r="U25" s="771">
        <f>H25</f>
        <v>100</v>
      </c>
      <c r="V25" s="770" t="s">
        <v>17</v>
      </c>
      <c r="W25" s="771">
        <f>J25</f>
        <v>100</v>
      </c>
      <c r="X25" s="772"/>
      <c r="Y25" s="3156"/>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56"/>
      <c r="Q26" s="1798"/>
      <c r="R26" s="770"/>
      <c r="S26" s="771"/>
      <c r="T26" s="770"/>
      <c r="U26" s="771"/>
      <c r="V26" s="770"/>
      <c r="W26" s="771"/>
      <c r="X26" s="772"/>
      <c r="Y26" s="3156"/>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6"/>
      <c r="Z27" s="1817" t="str">
        <f t="shared" ref="Z27:Z40" si="13">Q27</f>
        <v>临街状况</v>
      </c>
      <c r="AA27" s="1814">
        <f t="shared" si="3"/>
        <v>1</v>
      </c>
      <c r="AB27" s="1814">
        <f t="shared" si="4"/>
        <v>1</v>
      </c>
      <c r="AC27" s="1814">
        <f t="shared" si="5"/>
        <v>1</v>
      </c>
    </row>
    <row r="28" spans="1:29" ht="27">
      <c r="A28" s="428"/>
      <c r="B28" s="633" t="s">
        <v>2681</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6"/>
      <c r="Q28" s="1813" t="str">
        <f t="shared" si="8"/>
        <v>毗邻道路的类型与等级</v>
      </c>
      <c r="R28" s="774" t="s">
        <v>17</v>
      </c>
      <c r="S28" s="775">
        <f t="shared" si="10"/>
        <v>100</v>
      </c>
      <c r="T28" s="774" t="s">
        <v>17</v>
      </c>
      <c r="U28" s="775">
        <f t="shared" si="11"/>
        <v>100</v>
      </c>
      <c r="V28" s="774" t="s">
        <v>17</v>
      </c>
      <c r="W28" s="775">
        <f t="shared" si="12"/>
        <v>100</v>
      </c>
      <c r="X28" s="1816"/>
      <c r="Y28" s="3156"/>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56"/>
      <c r="Q29" s="1813"/>
      <c r="R29" s="774"/>
      <c r="S29" s="775"/>
      <c r="T29" s="774"/>
      <c r="U29" s="775"/>
      <c r="V29" s="774"/>
      <c r="W29" s="775"/>
      <c r="X29" s="1816"/>
      <c r="Y29" s="3156"/>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6"/>
      <c r="Q30" s="1813" t="str">
        <f t="shared" si="8"/>
        <v>土地级别</v>
      </c>
      <c r="R30" s="774" t="s">
        <v>17</v>
      </c>
      <c r="S30" s="775">
        <f t="shared" si="10"/>
        <v>100</v>
      </c>
      <c r="T30" s="774" t="s">
        <v>17</v>
      </c>
      <c r="U30" s="775">
        <f t="shared" si="11"/>
        <v>100</v>
      </c>
      <c r="V30" s="774" t="s">
        <v>17</v>
      </c>
      <c r="W30" s="775">
        <f t="shared" si="12"/>
        <v>100</v>
      </c>
      <c r="X30" s="1816"/>
      <c r="Y30" s="3156"/>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6"/>
      <c r="Q31" s="1813">
        <f t="shared" si="8"/>
        <v>111</v>
      </c>
      <c r="R31" s="774" t="s">
        <v>17</v>
      </c>
      <c r="S31" s="775">
        <f t="shared" si="10"/>
        <v>100</v>
      </c>
      <c r="T31" s="774" t="s">
        <v>17</v>
      </c>
      <c r="U31" s="775">
        <f t="shared" si="11"/>
        <v>100</v>
      </c>
      <c r="V31" s="774" t="s">
        <v>17</v>
      </c>
      <c r="W31" s="775">
        <f t="shared" si="12"/>
        <v>100</v>
      </c>
      <c r="X31" s="1816"/>
      <c r="Y31" s="3156"/>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57" t="s">
        <v>2555</v>
      </c>
      <c r="Q32" s="1813">
        <f t="shared" si="8"/>
        <v>111</v>
      </c>
      <c r="R32" s="774" t="s">
        <v>17</v>
      </c>
      <c r="S32" s="775">
        <f t="shared" si="10"/>
        <v>100</v>
      </c>
      <c r="T32" s="774" t="s">
        <v>17</v>
      </c>
      <c r="U32" s="775">
        <f t="shared" si="11"/>
        <v>100</v>
      </c>
      <c r="V32" s="774" t="s">
        <v>17</v>
      </c>
      <c r="W32" s="775">
        <f t="shared" si="12"/>
        <v>100</v>
      </c>
      <c r="X32" s="1816"/>
      <c r="Y32" s="3158" t="s">
        <v>2555</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58"/>
      <c r="Q33" s="1813">
        <f t="shared" si="8"/>
        <v>111</v>
      </c>
      <c r="R33" s="777" t="s">
        <v>17</v>
      </c>
      <c r="S33" s="778">
        <f t="shared" si="10"/>
        <v>100</v>
      </c>
      <c r="T33" s="777" t="s">
        <v>17</v>
      </c>
      <c r="U33" s="778">
        <f t="shared" si="11"/>
        <v>100</v>
      </c>
      <c r="V33" s="777" t="s">
        <v>17</v>
      </c>
      <c r="W33" s="778">
        <f t="shared" si="12"/>
        <v>100</v>
      </c>
      <c r="X33" s="779"/>
      <c r="Y33" s="3158"/>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58"/>
      <c r="Q34" s="1813" t="str">
        <f>B34</f>
        <v>宗地面积</v>
      </c>
      <c r="R34" s="774" t="s">
        <v>17</v>
      </c>
      <c r="S34" s="775" t="e">
        <f t="shared" si="10"/>
        <v>#N/A</v>
      </c>
      <c r="T34" s="774" t="s">
        <v>17</v>
      </c>
      <c r="U34" s="775" t="e">
        <f t="shared" si="11"/>
        <v>#N/A</v>
      </c>
      <c r="V34" s="774" t="s">
        <v>17</v>
      </c>
      <c r="W34" s="775" t="e">
        <f t="shared" si="12"/>
        <v>#N/A</v>
      </c>
      <c r="X34" s="1816"/>
      <c r="Y34" s="3158"/>
      <c r="Z34" s="1817" t="str">
        <f t="shared" si="13"/>
        <v>宗地面积</v>
      </c>
      <c r="AA34" s="1814" t="e">
        <f t="shared" si="3"/>
        <v>#N/A</v>
      </c>
      <c r="AB34" s="1814" t="e">
        <f t="shared" si="4"/>
        <v>#N/A</v>
      </c>
      <c r="AC34" s="1814" t="e">
        <f t="shared" si="5"/>
        <v>#N/A</v>
      </c>
    </row>
    <row r="35" spans="1:29" ht="15">
      <c r="A35" s="472"/>
      <c r="B35" s="422" t="s">
        <v>2742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58"/>
      <c r="Q35" s="1813" t="str">
        <f t="shared" ref="Q35:Q40" si="14">B35</f>
        <v>宗地形状</v>
      </c>
      <c r="R35" s="774" t="s">
        <v>17</v>
      </c>
      <c r="S35" s="775">
        <f t="shared" si="10"/>
        <v>100</v>
      </c>
      <c r="T35" s="774" t="s">
        <v>17</v>
      </c>
      <c r="U35" s="775">
        <f t="shared" si="11"/>
        <v>100</v>
      </c>
      <c r="V35" s="774" t="s">
        <v>17</v>
      </c>
      <c r="W35" s="775">
        <f t="shared" si="12"/>
        <v>100</v>
      </c>
      <c r="X35" s="1816"/>
      <c r="Y35" s="3158"/>
      <c r="Z35" s="1817" t="str">
        <f t="shared" si="13"/>
        <v>宗地形状</v>
      </c>
      <c r="AA35" s="1814">
        <f t="shared" si="3"/>
        <v>1</v>
      </c>
      <c r="AB35" s="1814">
        <f t="shared" si="4"/>
        <v>1</v>
      </c>
      <c r="AC35" s="1814">
        <f t="shared" si="5"/>
        <v>1</v>
      </c>
    </row>
    <row r="36" spans="1:29" s="117" customFormat="1" ht="15">
      <c r="A36" s="473"/>
      <c r="B36" s="422" t="s">
        <v>2744</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58"/>
      <c r="Q36" s="1813" t="str">
        <f t="shared" si="14"/>
        <v>宗地开发程度</v>
      </c>
      <c r="R36" s="770" t="s">
        <v>17</v>
      </c>
      <c r="S36" s="771">
        <f t="shared" si="10"/>
        <v>100</v>
      </c>
      <c r="T36" s="770" t="s">
        <v>17</v>
      </c>
      <c r="U36" s="771">
        <f t="shared" si="11"/>
        <v>100</v>
      </c>
      <c r="V36" s="770" t="s">
        <v>17</v>
      </c>
      <c r="W36" s="771">
        <f t="shared" si="12"/>
        <v>100</v>
      </c>
      <c r="X36" s="772"/>
      <c r="Y36" s="3158"/>
      <c r="Z36" s="55" t="str">
        <f t="shared" si="13"/>
        <v>宗地开发程度</v>
      </c>
      <c r="AA36" s="773">
        <f t="shared" si="3"/>
        <v>1</v>
      </c>
      <c r="AB36" s="773">
        <f t="shared" si="4"/>
        <v>1</v>
      </c>
      <c r="AC36" s="773">
        <f t="shared" si="5"/>
        <v>1</v>
      </c>
    </row>
    <row r="37" spans="1:29" ht="15">
      <c r="A37" s="472"/>
      <c r="B37" s="422" t="s">
        <v>2745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58" t="s">
        <v>2555</v>
      </c>
      <c r="Q37" s="1813" t="str">
        <f t="shared" si="14"/>
        <v>工程地质条件</v>
      </c>
      <c r="R37" s="774" t="s">
        <v>17</v>
      </c>
      <c r="S37" s="775">
        <f t="shared" si="10"/>
        <v>100</v>
      </c>
      <c r="T37" s="774" t="s">
        <v>17</v>
      </c>
      <c r="U37" s="775">
        <f t="shared" si="11"/>
        <v>100</v>
      </c>
      <c r="V37" s="774" t="s">
        <v>17</v>
      </c>
      <c r="W37" s="775">
        <f t="shared" si="12"/>
        <v>100</v>
      </c>
      <c r="X37" s="1816"/>
      <c r="Y37" s="3158"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58"/>
      <c r="Q38" s="1813">
        <f t="shared" si="14"/>
        <v>111</v>
      </c>
      <c r="R38" s="774" t="s">
        <v>17</v>
      </c>
      <c r="S38" s="775">
        <f t="shared" si="10"/>
        <v>100</v>
      </c>
      <c r="T38" s="774" t="s">
        <v>17</v>
      </c>
      <c r="U38" s="775">
        <f t="shared" si="11"/>
        <v>100</v>
      </c>
      <c r="V38" s="774" t="s">
        <v>17</v>
      </c>
      <c r="W38" s="775">
        <f t="shared" si="12"/>
        <v>100</v>
      </c>
      <c r="X38" s="1816"/>
      <c r="Y38" s="315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58"/>
      <c r="Q39" s="1813">
        <f t="shared" si="14"/>
        <v>111</v>
      </c>
      <c r="R39" s="774" t="s">
        <v>17</v>
      </c>
      <c r="S39" s="775">
        <f t="shared" si="10"/>
        <v>100</v>
      </c>
      <c r="T39" s="774" t="s">
        <v>17</v>
      </c>
      <c r="U39" s="775">
        <f t="shared" si="11"/>
        <v>100</v>
      </c>
      <c r="V39" s="774" t="s">
        <v>17</v>
      </c>
      <c r="W39" s="775">
        <f t="shared" si="12"/>
        <v>100</v>
      </c>
      <c r="X39" s="1816"/>
      <c r="Y39" s="3158"/>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58"/>
      <c r="Q40" s="1813">
        <f t="shared" si="14"/>
        <v>111</v>
      </c>
      <c r="R40" s="777" t="s">
        <v>17</v>
      </c>
      <c r="S40" s="778">
        <f t="shared" si="10"/>
        <v>100</v>
      </c>
      <c r="T40" s="777" t="s">
        <v>17</v>
      </c>
      <c r="U40" s="778">
        <f t="shared" si="11"/>
        <v>100</v>
      </c>
      <c r="V40" s="777" t="s">
        <v>17</v>
      </c>
      <c r="W40" s="778">
        <f t="shared" si="12"/>
        <v>100</v>
      </c>
      <c r="X40" s="779"/>
      <c r="Y40" s="3158"/>
      <c r="Z40" s="780">
        <f t="shared" si="13"/>
        <v>111</v>
      </c>
      <c r="AA40" s="1814">
        <f t="shared" si="3"/>
        <v>1</v>
      </c>
      <c r="AB40" s="1814">
        <f t="shared" si="4"/>
        <v>1</v>
      </c>
      <c r="AC40" s="1814">
        <f t="shared" si="5"/>
        <v>1</v>
      </c>
    </row>
    <row r="41" spans="1:29" ht="15">
      <c r="A41" s="479" t="s">
        <v>2710</v>
      </c>
      <c r="B41" s="2710" t="s">
        <v>2790</v>
      </c>
      <c r="C41" s="682" t="s">
        <v>1</v>
      </c>
      <c r="D41" s="481"/>
      <c r="E41" s="482"/>
      <c r="F41" s="483"/>
      <c r="G41" s="484"/>
      <c r="H41" s="485"/>
      <c r="I41" s="482"/>
      <c r="J41" s="485"/>
      <c r="K41" s="783"/>
      <c r="L41" s="1146"/>
      <c r="M41" s="1134"/>
      <c r="N41" s="1134"/>
      <c r="O41" s="1147"/>
      <c r="P41" s="3153" t="str">
        <f>A41</f>
        <v>成交单价</v>
      </c>
      <c r="Q41" s="3153"/>
      <c r="R41" s="3159">
        <f>E41</f>
        <v>0</v>
      </c>
      <c r="S41" s="3159"/>
      <c r="T41" s="3159">
        <f>G41</f>
        <v>0</v>
      </c>
      <c r="U41" s="3159"/>
      <c r="V41" s="3159">
        <f>I41</f>
        <v>0</v>
      </c>
      <c r="W41" s="3159"/>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153" t="str">
        <f>A42</f>
        <v>比较价值（元/平方米）</v>
      </c>
      <c r="Q42" s="3153"/>
      <c r="R42" s="3146" t="e">
        <f>ROUND(PRODUCT(R41,AA7:AA40),0)</f>
        <v>#DIV/0!</v>
      </c>
      <c r="S42" s="3146"/>
      <c r="T42" s="3146" t="e">
        <f>ROUND(PRODUCT(T41,AB7:AB40),0)</f>
        <v>#DIV/0!</v>
      </c>
      <c r="U42" s="3146"/>
      <c r="V42" s="3146" t="e">
        <f>ROUND(PRODUCT(V41,AC7:AC40),0)</f>
        <v>#DIV/0!</v>
      </c>
      <c r="W42" s="3146"/>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147" t="str">
        <f>A43</f>
        <v>估价对象XX用房的比较价值（楼面单价，元/平方米）</v>
      </c>
      <c r="Q43" s="3148"/>
      <c r="R43" s="3149" t="e">
        <f>ROUND(AVERAGE(R42:V42),0)</f>
        <v>#DIV/0!</v>
      </c>
      <c r="S43" s="3149"/>
      <c r="T43" s="3149"/>
      <c r="U43" s="3149"/>
      <c r="V43" s="3149"/>
      <c r="W43" s="31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11" t="s">
        <v>2750</v>
      </c>
      <c r="D50" s="2712" t="s">
        <v>2751</v>
      </c>
      <c r="E50" s="686" t="s">
        <v>2752</v>
      </c>
      <c r="F50" s="687" t="s">
        <v>2753</v>
      </c>
      <c r="G50" s="3150" t="s">
        <v>2754</v>
      </c>
      <c r="H50" s="3151"/>
      <c r="I50" s="1817" t="s">
        <v>2791</v>
      </c>
      <c r="J50" s="1817">
        <f>项目基本情况!F35</f>
        <v>0</v>
      </c>
      <c r="K50" s="2714" t="s">
        <v>2756</v>
      </c>
      <c r="L50" s="1109"/>
      <c r="M50" s="1147"/>
      <c r="N50" s="1147"/>
      <c r="O50" s="1147"/>
    </row>
    <row r="51" spans="1:17" s="692" customFormat="1">
      <c r="A51" s="688" t="s">
        <v>2757</v>
      </c>
      <c r="B51" s="689" t="e">
        <f>C43</f>
        <v>#DIV/0!</v>
      </c>
      <c r="C51" s="690">
        <v>1</v>
      </c>
      <c r="D51" s="1166">
        <v>1</v>
      </c>
      <c r="E51" s="690">
        <f>'数据-汇总表'!E8+'数据-汇总表'!E9</f>
        <v>142018.21000000002</v>
      </c>
      <c r="F51" s="691" t="e">
        <f t="shared" ref="F51:F60" si="15">ROUND(B51*E51/10000,0)</f>
        <v>#DIV/0!</v>
      </c>
      <c r="G51" s="3152"/>
      <c r="H51" s="3153"/>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154"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154"/>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154"/>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154"/>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5"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5"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6"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1026</v>
      </c>
      <c r="E61" s="696">
        <f>IF(B41="楼面地价",SUM(E51:E60),'数据-汇总表'!D3)</f>
        <v>33165.410000000003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7" t="s">
        <v>2772</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2" t="s">
        <v>2792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2794</v>
      </c>
      <c r="B1" s="241"/>
      <c r="C1" s="245" t="s">
        <v>2795</v>
      </c>
      <c r="D1" s="388">
        <f>SUM(D29:D30,D33:D39)</f>
        <v>0</v>
      </c>
      <c r="E1" s="2723"/>
      <c r="F1" s="2723"/>
      <c r="G1" s="2723"/>
      <c r="H1" s="2723"/>
      <c r="I1" s="2723"/>
      <c r="J1" s="2723"/>
      <c r="K1" s="1373"/>
      <c r="L1" s="2724" t="s">
        <v>2796</v>
      </c>
      <c r="M1" s="1083">
        <f>SUMPRODUCT((区片价!B5:B9=I2)*(区片价!C3:F3=E2)*(区片价!C5:F9))</f>
        <v>0</v>
      </c>
      <c r="N1" s="1086">
        <f>SUMPRODUCT((因素修正幅度!B5:B9=I2)*(因素修正幅度!C3:F3=E2)*(因素修正幅度!C5:F9))</f>
        <v>0</v>
      </c>
      <c r="O1" s="2725"/>
      <c r="P1" s="2725"/>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7" t="s">
        <v>2803</v>
      </c>
      <c r="D2" s="2728" t="s">
        <v>2804</v>
      </c>
      <c r="E2" s="2729"/>
      <c r="F2" s="2728" t="s">
        <v>2805</v>
      </c>
      <c r="G2" s="2730">
        <f>IF(E2="商业",项目基本情况!B37,IF(E2="办公",项目基本情况!C37,IF(E2="住宅",项目基本情况!D37,项目基本情况!E37)))</f>
        <v>0</v>
      </c>
      <c r="H2" s="2728" t="s">
        <v>2806</v>
      </c>
      <c r="I2" s="2730">
        <f>IF(E2="商业",项目基本情况!B38,IF(E2="办公",项目基本情况!C38,IF(E2="住宅",项目基本情况!D38,项目基本情况!E38)))</f>
        <v>0</v>
      </c>
      <c r="J2" s="2731"/>
      <c r="K2" s="1373"/>
      <c r="L2" s="2732"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7" t="s">
        <v>2809</v>
      </c>
      <c r="D3" s="2728" t="s">
        <v>2810</v>
      </c>
      <c r="E3" s="2733"/>
      <c r="F3" s="2734" t="s">
        <v>2811</v>
      </c>
      <c r="G3" s="916">
        <f>IF(F3="宗地容积率",'数据-汇总表'!I4,IF(F3="估价对象容积率",'数据-汇总表'!I6,'数据-汇总表'!I7))</f>
        <v>4.34</v>
      </c>
      <c r="H3" s="198" t="s">
        <v>2812</v>
      </c>
      <c r="I3" s="947"/>
      <c r="J3" s="2731" t="s">
        <v>2813</v>
      </c>
      <c r="K3" s="1373"/>
      <c r="L3" s="2732"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9"/>
      <c r="B4" s="3250"/>
      <c r="C4" s="3250"/>
      <c r="D4" s="3251"/>
      <c r="E4" s="3251"/>
      <c r="F4" s="3251"/>
      <c r="G4" s="3251"/>
      <c r="H4" s="3251"/>
      <c r="I4" s="3251"/>
      <c r="J4" s="3252"/>
      <c r="K4" s="1373"/>
      <c r="L4" s="2732"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2816</v>
      </c>
      <c r="C5" s="917" t="e">
        <f>ROUND(IF(E2="商业",IF(F16="增加",C6*C7+C16,C6*C7-C16),IF(E2="住宅",IF(F16="增加",C6*C12+C16,C6*C12-C16),IF(F16="增加",C6+C16,C6-C16))),0)</f>
        <v>#DIV/0!</v>
      </c>
      <c r="D5" s="1790" t="e">
        <f>ROUND(IF(F16="增加",C6+C16,C6-C16),0)</f>
        <v>#DIV/0!</v>
      </c>
      <c r="E5" s="1790"/>
      <c r="F5" s="2737"/>
      <c r="G5" s="2738"/>
      <c r="H5" s="2738"/>
      <c r="I5" s="2738"/>
      <c r="J5" s="2739"/>
      <c r="K5" s="2740"/>
      <c r="L5" s="2732"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2818</v>
      </c>
      <c r="B6" s="2746" t="s">
        <v>2819</v>
      </c>
      <c r="C6" s="918">
        <f>SUMIF(L1:L12,G2,M1:M12)</f>
        <v>0</v>
      </c>
      <c r="D6" s="2747" t="s">
        <v>2820</v>
      </c>
      <c r="E6" s="2748"/>
      <c r="F6" s="2748"/>
      <c r="G6" s="2749"/>
      <c r="H6" s="2749"/>
      <c r="I6" s="2749"/>
      <c r="J6" s="2750"/>
      <c r="K6" s="1845"/>
      <c r="L6" s="2732"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53" t="str">
        <f>IF(E2="商业",IF(C8="不临58条商业街","",2),"")</f>
        <v/>
      </c>
      <c r="B7" s="2751" t="s">
        <v>2822</v>
      </c>
      <c r="C7" s="919" t="e">
        <f>IF(C8="不临58条商业街",1,ROUND(1+(1.6*E8+1.2*E9+0.8*E10+0.4*E11)*C9,4))</f>
        <v>#DIV/0!</v>
      </c>
      <c r="D7" s="2752" t="s">
        <v>2823</v>
      </c>
      <c r="E7" s="948"/>
      <c r="F7" s="2753"/>
      <c r="G7" s="2754"/>
      <c r="H7" s="2754"/>
      <c r="I7" s="2754"/>
      <c r="J7" s="2755"/>
      <c r="K7" s="1845"/>
      <c r="L7" s="2732"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4.34</v>
      </c>
      <c r="AA7" s="1609"/>
      <c r="AB7" s="1609"/>
      <c r="AC7" s="1610"/>
      <c r="AD7" s="1611"/>
      <c r="AE7" s="1611"/>
      <c r="AF7" s="1611"/>
      <c r="AG7" s="1611"/>
      <c r="AH7" s="1611"/>
      <c r="AI7" s="1611"/>
      <c r="AJ7" s="1612"/>
    </row>
    <row r="8" spans="1:36" ht="15">
      <c r="A8" s="3254"/>
      <c r="B8" s="198" t="s">
        <v>2827</v>
      </c>
      <c r="C8" s="2756"/>
      <c r="D8" s="920" t="s">
        <v>139</v>
      </c>
      <c r="E8" s="921" t="e">
        <f>ROUND(C11/E7,4)</f>
        <v>#DIV/0!</v>
      </c>
      <c r="F8" s="2757" t="s">
        <v>2828</v>
      </c>
      <c r="G8" s="2758"/>
      <c r="H8" s="2758"/>
      <c r="I8" s="2758"/>
      <c r="J8" s="2759"/>
      <c r="K8" s="1373"/>
      <c r="L8" s="2732"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6" t="s">
        <v>2830</v>
      </c>
      <c r="X8" s="3247"/>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254"/>
      <c r="B9" s="198" t="s">
        <v>2843</v>
      </c>
      <c r="C9" s="922">
        <f>SUMIF(修正!C59:C119,C8,修正!E59:E119)</f>
        <v>0</v>
      </c>
      <c r="D9" s="200" t="s">
        <v>140</v>
      </c>
      <c r="E9" s="200" t="e">
        <f>ROUND(C11/E7,4)</f>
        <v>#DIV/0!</v>
      </c>
      <c r="F9" s="2757" t="s">
        <v>2844</v>
      </c>
      <c r="G9" s="2758"/>
      <c r="H9" s="2758"/>
      <c r="I9" s="2758"/>
      <c r="J9" s="2759"/>
      <c r="K9" s="1373"/>
      <c r="L9" s="2732"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8"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4"/>
      <c r="B10" s="198" t="s">
        <v>2848</v>
      </c>
      <c r="C10" s="200">
        <f>SUMIF(修正!C59:C119,C8,修正!F59:F119)</f>
        <v>0</v>
      </c>
      <c r="D10" s="200" t="s">
        <v>141</v>
      </c>
      <c r="E10" s="200" t="e">
        <f>ROUND(C11/E7,4)</f>
        <v>#DIV/0!</v>
      </c>
      <c r="F10" s="2757" t="s">
        <v>2849</v>
      </c>
      <c r="G10" s="2758"/>
      <c r="H10" s="2758"/>
      <c r="I10" s="2758"/>
      <c r="J10" s="2759"/>
      <c r="K10" s="1373"/>
      <c r="L10" s="2732"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4"/>
      <c r="B11" s="2760" t="s">
        <v>2851</v>
      </c>
      <c r="C11" s="923">
        <f>C10/4</f>
        <v>0</v>
      </c>
      <c r="D11" s="923" t="s">
        <v>142</v>
      </c>
      <c r="E11" s="923" t="e">
        <f>ROUND(C11/E7,4)</f>
        <v>#DIV/0!</v>
      </c>
      <c r="F11" s="2761" t="s">
        <v>2852</v>
      </c>
      <c r="G11" s="2762"/>
      <c r="H11" s="2762"/>
      <c r="I11" s="2762"/>
      <c r="J11" s="2763"/>
      <c r="K11" s="1373"/>
      <c r="L11" s="2732"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8" t="s">
        <v>2854</v>
      </c>
      <c r="X11" s="1617" t="s">
        <v>2855</v>
      </c>
      <c r="Y11" s="1618">
        <f>$G$3</f>
        <v>4.34</v>
      </c>
      <c r="Z11" s="1618">
        <f t="shared" ref="Z11:AJ11" si="3">$G$3</f>
        <v>4.34</v>
      </c>
      <c r="AA11" s="1618">
        <f t="shared" si="3"/>
        <v>4.34</v>
      </c>
      <c r="AB11" s="1618">
        <f t="shared" si="3"/>
        <v>4.34</v>
      </c>
      <c r="AC11" s="1618">
        <f t="shared" si="3"/>
        <v>4.34</v>
      </c>
      <c r="AD11" s="1618">
        <f t="shared" si="3"/>
        <v>4.34</v>
      </c>
      <c r="AE11" s="1618">
        <f t="shared" si="3"/>
        <v>4.34</v>
      </c>
      <c r="AF11" s="1618">
        <f t="shared" si="3"/>
        <v>4.34</v>
      </c>
      <c r="AG11" s="1618">
        <f t="shared" si="3"/>
        <v>4.34</v>
      </c>
      <c r="AH11" s="1618">
        <f t="shared" si="3"/>
        <v>4.34</v>
      </c>
      <c r="AI11" s="1618">
        <f t="shared" si="3"/>
        <v>4.34</v>
      </c>
      <c r="AJ11" s="1618">
        <f t="shared" si="3"/>
        <v>4.34</v>
      </c>
    </row>
    <row r="12" spans="1:36" ht="25.5" thickBot="1">
      <c r="A12" s="3253" t="s">
        <v>2856</v>
      </c>
      <c r="B12" s="2764" t="s">
        <v>2857</v>
      </c>
      <c r="C12" s="919">
        <f>ROUND(C15*D15*E15*F15*G15*H15*I15*J15,4)</f>
        <v>1</v>
      </c>
      <c r="D12" s="2765" t="s">
        <v>2858</v>
      </c>
      <c r="E12" s="2766"/>
      <c r="F12" s="2766"/>
      <c r="G12" s="2767"/>
      <c r="H12" s="2767"/>
      <c r="I12" s="2767"/>
      <c r="J12" s="2768"/>
      <c r="K12" s="1373"/>
      <c r="L12" s="2769"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8"/>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5"/>
      <c r="B13" s="2770" t="s">
        <v>2861</v>
      </c>
      <c r="C13" s="2771" t="s">
        <v>2862</v>
      </c>
      <c r="D13" s="1811" t="s">
        <v>2863</v>
      </c>
      <c r="E13" s="1811" t="s">
        <v>2864</v>
      </c>
      <c r="F13" s="30" t="s">
        <v>2865</v>
      </c>
      <c r="G13" s="2772" t="s">
        <v>2866</v>
      </c>
      <c r="H13" s="2772" t="s">
        <v>2866</v>
      </c>
      <c r="I13" s="2772" t="s">
        <v>2866</v>
      </c>
      <c r="J13" s="2773" t="s">
        <v>2866</v>
      </c>
      <c r="K13" s="1373"/>
      <c r="L13" s="1373"/>
      <c r="M13" s="1373"/>
      <c r="N13" s="1373"/>
      <c r="O13" s="1373"/>
      <c r="P13" s="1373"/>
      <c r="Q13" s="1373"/>
      <c r="R13" s="1605">
        <v>12</v>
      </c>
      <c r="S13" s="1606"/>
      <c r="T13" s="1605" t="e">
        <f t="shared" si="0"/>
        <v>#DIV/0!</v>
      </c>
      <c r="U13" s="1606"/>
      <c r="V13" s="1605" t="e">
        <f t="shared" si="1"/>
        <v>#DIV/0!</v>
      </c>
      <c r="W13" s="3248"/>
      <c r="X13" s="1619"/>
      <c r="Y13" s="1616">
        <f>(-0.163*(Y12^2)-0.59*Y12+7617)*(10^(-4))/Y11</f>
        <v>0.17550691244239633</v>
      </c>
      <c r="Z13" s="1616">
        <f t="shared" ref="Z13:AJ13" si="5">(-0.163*(Z12^2)-0.59*Z12+7617)*(10^(-4))/Z11</f>
        <v>0.17550691244239633</v>
      </c>
      <c r="AA13" s="1616">
        <f t="shared" si="5"/>
        <v>0.17550691244239633</v>
      </c>
      <c r="AB13" s="1616">
        <f t="shared" si="5"/>
        <v>0.17550691244239633</v>
      </c>
      <c r="AC13" s="1616">
        <f t="shared" si="5"/>
        <v>0.17550691244239633</v>
      </c>
      <c r="AD13" s="1616">
        <f t="shared" si="5"/>
        <v>0.17550691244239633</v>
      </c>
      <c r="AE13" s="1616">
        <f t="shared" si="5"/>
        <v>0.17550691244239633</v>
      </c>
      <c r="AF13" s="1616">
        <f t="shared" si="5"/>
        <v>0.17550691244239633</v>
      </c>
      <c r="AG13" s="1616">
        <f t="shared" si="5"/>
        <v>0.17550691244239633</v>
      </c>
      <c r="AH13" s="1616">
        <f t="shared" si="5"/>
        <v>0.17550691244239633</v>
      </c>
      <c r="AI13" s="1616">
        <f t="shared" si="5"/>
        <v>0.17550691244239633</v>
      </c>
      <c r="AJ13" s="1616">
        <f t="shared" si="5"/>
        <v>0.17550691244239633</v>
      </c>
    </row>
    <row r="14" spans="1:36" ht="15">
      <c r="A14" s="3255"/>
      <c r="B14" s="2774"/>
      <c r="C14" s="2775"/>
      <c r="D14" s="2776"/>
      <c r="E14" s="2776"/>
      <c r="F14" s="2777"/>
      <c r="G14" s="2778" t="s">
        <v>2867</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6"/>
      <c r="B15" s="2782" t="s">
        <v>2868</v>
      </c>
      <c r="C15" s="229">
        <f>IF(C14="有",1.1,1)</f>
        <v>1</v>
      </c>
      <c r="D15" s="229">
        <f>IF(D14="有",1.1,1)</f>
        <v>1</v>
      </c>
      <c r="E15" s="229">
        <f>IF(E14="有",1.1,1)</f>
        <v>1</v>
      </c>
      <c r="F15" s="229">
        <f>IF(F14="500米范围内",1.2,IF(F14="500-1000米",1.1,1))</f>
        <v>1</v>
      </c>
      <c r="G15" s="949">
        <v>1</v>
      </c>
      <c r="H15" s="949">
        <v>1</v>
      </c>
      <c r="I15" s="949">
        <v>1</v>
      </c>
      <c r="J15" s="950">
        <v>1</v>
      </c>
      <c r="K15" s="1373"/>
      <c r="L15" s="2783" t="s">
        <v>2804</v>
      </c>
      <c r="M15" s="920" t="s">
        <v>2869</v>
      </c>
      <c r="N15" s="920" t="s">
        <v>2870</v>
      </c>
      <c r="O15" s="920" t="s">
        <v>2871</v>
      </c>
      <c r="P15" s="2784"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3" t="s">
        <v>2873</v>
      </c>
      <c r="B16" s="2751" t="s">
        <v>2874</v>
      </c>
      <c r="C16" s="1804" t="e">
        <f>ROUND(SUM(G17:J17)/C17,0)</f>
        <v>#DIV/0!</v>
      </c>
      <c r="D16" s="2785" t="s">
        <v>2875</v>
      </c>
      <c r="E16" s="2786"/>
      <c r="F16" s="2787"/>
      <c r="G16" s="2788"/>
      <c r="H16" s="2788"/>
      <c r="I16" s="2788"/>
      <c r="J16" s="2789"/>
      <c r="K16" s="1373"/>
      <c r="L16" s="2790"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4"/>
      <c r="B17" s="2791" t="s">
        <v>2877</v>
      </c>
      <c r="C17" s="924">
        <f>SUMPRODUCT((修正!A2:A5=E2)*(修正!B1:M1=G2)*(修正!B2:M5))</f>
        <v>0</v>
      </c>
      <c r="D17" s="2792"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2881</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2882</v>
      </c>
      <c r="C19" s="927" t="e">
        <f>ROUND(IF(H19="按公示增长率计算",SUMPRODUCT((地价!A3:A25=YEAR(G19)&amp;"-"&amp;ROUNDUP(MONTH(G19)/3,0))*(地价!X2:AB2=E2)*(地价!X3:AB25)),IF(H19="地价指数",M20/M19,(1+I19)^O19)),4)</f>
        <v>#DIV/0!</v>
      </c>
      <c r="D19" s="2803" t="s">
        <v>2883</v>
      </c>
      <c r="E19" s="928">
        <v>41640</v>
      </c>
      <c r="F19" s="2803" t="s">
        <v>2884</v>
      </c>
      <c r="G19" s="929">
        <f>'数据-取费表'!B2</f>
        <v>43557</v>
      </c>
      <c r="H19" s="2804" t="s">
        <v>2885</v>
      </c>
      <c r="I19" s="930" t="str">
        <f>IF(H19="季度增幅（自定义）",SUMIF(N21:N24,E2,O21:O24),"")</f>
        <v/>
      </c>
      <c r="J19" s="2801"/>
      <c r="K19" s="1380"/>
      <c r="L19" s="2805" t="s">
        <v>2886</v>
      </c>
      <c r="M19" s="1737">
        <f>ROUND(SUMIF(地价!B2:F2,E2,地价!B25:F25),0)</f>
        <v>0</v>
      </c>
      <c r="N19" s="2806" t="s">
        <v>2887</v>
      </c>
      <c r="O19" s="931">
        <f>ROUNDDOWN(DATEDIF(E19,G19,"M")/3,0)</f>
        <v>21</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2888</v>
      </c>
      <c r="C20" s="932" t="e">
        <f>ROUND(POWER(1+G20,J20-I20)*(POWER(1+G20,I20)-1)/(POWER(1+G20,J20)-1),4)</f>
        <v>#DIV/0!</v>
      </c>
      <c r="D20" s="2812" t="s">
        <v>2889</v>
      </c>
      <c r="E20" s="1771">
        <f ca="1">存贷款利率!D4/100</f>
        <v>4.3499999999999997E-2</v>
      </c>
      <c r="F20" s="2812" t="s">
        <v>2880</v>
      </c>
      <c r="G20" s="937">
        <f>SUMIF(M15:P15,E2,M17:P17)</f>
        <v>0</v>
      </c>
      <c r="H20" s="2812" t="s">
        <v>2890</v>
      </c>
      <c r="I20" s="938" t="e">
        <f>SUMIF('数据-取费表'!C6:C15,E2,'数据-取费表'!F6:F15)/COUNTIF('数据-取费表'!C6:C15,E2)</f>
        <v>#DIV/0!</v>
      </c>
      <c r="J20" s="939">
        <f>IF(E2="住宅",70,IF(E2="商业",40,50))</f>
        <v>50</v>
      </c>
      <c r="K20" s="1380"/>
      <c r="L20" s="2813" t="s">
        <v>2891</v>
      </c>
      <c r="M20" s="1738">
        <f>ROUND(SUMPRODUCT((地价!A4:A25=YEAR(G19)&amp;"-"&amp;ROUNDUP(MONTH(G19)/3,0))*(地价!B2:F2=E2)*(地价!B4:F25)),0)</f>
        <v>0</v>
      </c>
      <c r="N20" s="2814" t="s">
        <v>2892</v>
      </c>
      <c r="O20" s="2815" t="s">
        <v>2893</v>
      </c>
      <c r="P20" s="2816" t="s">
        <v>2894</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2895</v>
      </c>
      <c r="C21" s="940">
        <f>IF(B21="容积率修正",IF(G3&lt;=10,D22,J22),C23)</f>
        <v>0</v>
      </c>
      <c r="D21" s="2819"/>
      <c r="E21" s="2819"/>
      <c r="F21" s="2819"/>
      <c r="G21" s="2819"/>
      <c r="H21" s="2819"/>
      <c r="I21" s="2819"/>
      <c r="J21" s="2820"/>
      <c r="K21" s="1380"/>
      <c r="N21" s="2821" t="s">
        <v>2896</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4" customFormat="1" ht="14.25">
      <c r="A22" s="2670" t="s">
        <v>2897</v>
      </c>
      <c r="B22" s="2822" t="s">
        <v>2898</v>
      </c>
      <c r="C22" s="1813" t="s">
        <v>2899</v>
      </c>
      <c r="D22" s="1813">
        <f>IF(E22=G22,F22,IF(G3&lt;=10,ROUND(F22+(H22-F22)*(G3-E22)/(G22-E22),4),"——"))</f>
        <v>0</v>
      </c>
      <c r="E22" s="916">
        <f>ROUNDDOWN(G3,1)</f>
        <v>4.3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4.3999999999999995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2900</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0" t="s">
        <v>2901</v>
      </c>
      <c r="B23" s="2823" t="s">
        <v>2902</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2903</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2904</v>
      </c>
      <c r="C24" s="927">
        <f>SUMIF(A45:A88,E2,B45:B88)</f>
        <v>0</v>
      </c>
      <c r="D24" s="2799"/>
      <c r="E24" s="2829"/>
      <c r="F24" s="2829"/>
      <c r="G24" s="2829"/>
      <c r="H24" s="2829"/>
      <c r="I24" s="2829"/>
      <c r="J24" s="2830"/>
      <c r="K24" s="1380"/>
      <c r="N24" s="2831" t="s">
        <v>2905</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2906</v>
      </c>
      <c r="C25" s="933"/>
      <c r="D25" s="2754"/>
      <c r="E25" s="2754"/>
      <c r="F25" s="2833"/>
      <c r="G25" s="2754"/>
      <c r="H25" s="2754"/>
      <c r="I25" s="2754"/>
      <c r="J25" s="2755"/>
      <c r="K25" s="1373"/>
      <c r="N25" s="2834" t="s">
        <v>2907</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5"/>
      <c r="B26" s="2822" t="s">
        <v>2908</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2909</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2910</v>
      </c>
      <c r="C28" s="2846" t="s">
        <v>2911</v>
      </c>
      <c r="D28" s="2846" t="s">
        <v>2912</v>
      </c>
      <c r="E28" s="2847" t="s">
        <v>2913</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2914</v>
      </c>
      <c r="C29" s="206" t="e">
        <f>ROUND(C5*C18*C19*C20*C21*C24,0)</f>
        <v>#DIV/0!</v>
      </c>
      <c r="D29" s="2851"/>
      <c r="E29" s="945" t="e">
        <f>ROUND(C29*D29/10000,0)</f>
        <v>#DIV/0!</v>
      </c>
      <c r="F29" s="2852" t="s">
        <v>2915</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2916</v>
      </c>
      <c r="C30" s="229" t="e">
        <f>ROUND(IF(E2="工业",C29*M39,C29*M38),0)</f>
        <v>#DIV/0!</v>
      </c>
      <c r="D30" s="2857"/>
      <c r="E30" s="945" t="e">
        <f>ROUND(C30*D30/10000,0)</f>
        <v>#DIV/0!</v>
      </c>
      <c r="F30" s="2858" t="s">
        <v>2917</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2918</v>
      </c>
      <c r="C31" s="2863" t="s">
        <v>2919</v>
      </c>
      <c r="D31" s="2767"/>
      <c r="E31" s="2863"/>
      <c r="F31" s="2863"/>
      <c r="G31" s="2765" t="s">
        <v>2920</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2911</v>
      </c>
      <c r="D32" s="498" t="s">
        <v>2912</v>
      </c>
      <c r="E32" s="498" t="s">
        <v>2913</v>
      </c>
      <c r="F32" s="388" t="s">
        <v>2921</v>
      </c>
      <c r="G32" s="2866" t="s">
        <v>2911</v>
      </c>
      <c r="H32" s="2866" t="s">
        <v>2912</v>
      </c>
      <c r="I32" s="2866"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3" t="s">
        <v>2922</v>
      </c>
      <c r="B33" s="2867" t="s">
        <v>2923</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4"/>
      <c r="B34" s="2771" t="s">
        <v>2924</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4"/>
      <c r="B35" s="2771" t="s">
        <v>2925</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5"/>
      <c r="B36" s="2771" t="s">
        <v>2926</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2927</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2928</v>
      </c>
      <c r="M37" s="2871"/>
      <c r="N37" s="1373"/>
      <c r="O37" s="1373"/>
      <c r="P37" s="1373"/>
      <c r="Q37" s="1373"/>
      <c r="R37" s="1373"/>
      <c r="S37" s="1373"/>
      <c r="T37" s="1373"/>
      <c r="U37" s="1373"/>
      <c r="V37" s="1373"/>
      <c r="W37" s="1373"/>
      <c r="X37" s="1373"/>
      <c r="Y37" s="1373"/>
      <c r="Z37" s="1374"/>
    </row>
    <row r="38" spans="1:37">
      <c r="A38" s="2869"/>
      <c r="B38" s="2771" t="s">
        <v>2929</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2930</v>
      </c>
      <c r="M38" s="2872">
        <v>0.25</v>
      </c>
      <c r="N38" s="1373"/>
      <c r="O38" s="1373"/>
      <c r="P38" s="1373"/>
      <c r="Q38" s="1373"/>
      <c r="R38" s="1373"/>
      <c r="S38" s="1373"/>
      <c r="T38" s="1373"/>
      <c r="U38" s="1373"/>
      <c r="V38" s="1373"/>
      <c r="W38" s="1373"/>
      <c r="X38" s="1373"/>
      <c r="Y38" s="1373"/>
      <c r="Z38" s="1374"/>
    </row>
    <row r="39" spans="1:37" ht="13.5" thickBot="1">
      <c r="A39" s="2855"/>
      <c r="B39" s="2873" t="s">
        <v>2931</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2872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3042</v>
      </c>
      <c r="C41" s="388" t="e">
        <f>ROUND(POWER(1+E41,H41-G41)*(POWER(1+E41,G41)-1)/(POWER(1+E41,H41)-1),4)</f>
        <v>#DIV/0!</v>
      </c>
      <c r="D41" s="200" t="s">
        <v>2880</v>
      </c>
      <c r="E41" s="2943">
        <f>G20</f>
        <v>0</v>
      </c>
      <c r="F41" s="200" t="s">
        <v>2890</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2932</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2933</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2934</v>
      </c>
      <c r="B47" s="1812" t="s">
        <v>2935</v>
      </c>
      <c r="C47" s="1812" t="s">
        <v>2936</v>
      </c>
      <c r="D47" s="1812" t="s">
        <v>2937</v>
      </c>
      <c r="E47" s="819" t="s">
        <v>2938</v>
      </c>
      <c r="F47" s="2885" t="s">
        <v>2939</v>
      </c>
      <c r="G47" s="1812" t="s">
        <v>754</v>
      </c>
      <c r="H47" s="2886"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4.75">
      <c r="A48" s="2884" t="s">
        <v>2942</v>
      </c>
      <c r="B48" s="2887" t="str">
        <f>估价对象房地状况!C4</f>
        <v>较好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4" t="s">
        <v>2943</v>
      </c>
      <c r="B49" s="2888" t="str">
        <f>估价对象房地状况!C18</f>
        <v>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2944</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2945</v>
      </c>
      <c r="B51" s="2889" t="s">
        <v>2946</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2947</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2948</v>
      </c>
      <c r="B53" s="2890" t="s">
        <v>2949</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91" t="s">
        <v>2950</v>
      </c>
      <c r="B54" s="1728" t="str">
        <f>估价对象房地状况!C21</f>
        <v>较好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1" t="s">
        <v>2951</v>
      </c>
      <c r="B55" s="2888" t="str">
        <f>估价对象房地状况!C22</f>
        <v>六通</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2" t="s">
        <v>2952</v>
      </c>
      <c r="B56" s="2893" t="str">
        <f>估价对象房地状况!C20</f>
        <v>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2953</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2934</v>
      </c>
      <c r="B58" s="1812"/>
      <c r="C58" s="1812" t="s">
        <v>2936</v>
      </c>
      <c r="D58" s="1812" t="s">
        <v>2937</v>
      </c>
      <c r="E58" s="819" t="s">
        <v>2938</v>
      </c>
      <c r="F58" s="2885" t="s">
        <v>2954</v>
      </c>
      <c r="G58" s="1812" t="s">
        <v>754</v>
      </c>
      <c r="H58" s="2886"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4">
      <c r="A59" s="2884" t="s">
        <v>2955</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4" t="s">
        <v>2943</v>
      </c>
      <c r="B60" s="2888" t="str">
        <f>估价对象房地状况!C18</f>
        <v>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2944</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2945</v>
      </c>
      <c r="B62" s="2889" t="s">
        <v>2946</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2947</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2948</v>
      </c>
      <c r="B64" s="2890" t="s">
        <v>2949</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4" t="s">
        <v>2950</v>
      </c>
      <c r="B65" s="1728" t="str">
        <f>估价对象房地状况!C21</f>
        <v>较好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4" t="s">
        <v>2951</v>
      </c>
      <c r="B66" s="1728" t="str">
        <f>估价对象房地状况!C22</f>
        <v>六通</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2" t="s">
        <v>2952</v>
      </c>
      <c r="B67" s="2894" t="str">
        <f>估价对象房地状况!C20</f>
        <v>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2956</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2934</v>
      </c>
      <c r="B69" s="1812"/>
      <c r="C69" s="1812" t="s">
        <v>2936</v>
      </c>
      <c r="D69" s="1812" t="s">
        <v>2937</v>
      </c>
      <c r="E69" s="819" t="s">
        <v>2938</v>
      </c>
      <c r="F69" s="2885" t="s">
        <v>2954</v>
      </c>
      <c r="G69" s="1812" t="s">
        <v>754</v>
      </c>
      <c r="H69" s="2886"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c r="A70" s="2884" t="s">
        <v>2957</v>
      </c>
      <c r="B70" s="2887" t="str">
        <f>估价对象房地状况!C15</f>
        <v>较好</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4" t="s">
        <v>2943</v>
      </c>
      <c r="B71" s="2888" t="str">
        <f>估价对象房地状况!C18</f>
        <v>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2944</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2958</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4" t="s">
        <v>2950</v>
      </c>
      <c r="B74" s="1728" t="str">
        <f>估价对象房地状况!C21</f>
        <v>较好</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4" t="s">
        <v>2951</v>
      </c>
      <c r="B75" s="1728" t="str">
        <f>估价对象房地状况!C22</f>
        <v>六通</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2948</v>
      </c>
      <c r="B76" s="2890" t="s">
        <v>2949</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24">
      <c r="A77" s="2884" t="s">
        <v>2952</v>
      </c>
      <c r="B77" s="2887" t="str">
        <f>估价对象房地状况!C20</f>
        <v>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2959</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2960</v>
      </c>
      <c r="B79" s="2881">
        <f>1+E81</f>
        <v>1</v>
      </c>
      <c r="C79" s="814"/>
      <c r="D79" s="814"/>
      <c r="E79" s="815"/>
      <c r="F79" s="2883"/>
      <c r="G79" s="6"/>
      <c r="H79" s="6"/>
      <c r="I79" s="6"/>
      <c r="J79" s="7"/>
      <c r="K79" s="7"/>
      <c r="L79" s="7"/>
      <c r="M79" s="7"/>
      <c r="N79" s="7"/>
      <c r="Z79" s="2726"/>
      <c r="AA79" s="2802"/>
      <c r="AG79" s="1375"/>
      <c r="AK79" s="2802"/>
    </row>
    <row r="80" spans="1:37" ht="24.75">
      <c r="A80" s="2884" t="s">
        <v>2934</v>
      </c>
      <c r="B80" s="1812"/>
      <c r="C80" s="1812" t="s">
        <v>2936</v>
      </c>
      <c r="D80" s="1812" t="s">
        <v>2937</v>
      </c>
      <c r="E80" s="819" t="s">
        <v>2938</v>
      </c>
      <c r="F80" s="2885" t="s">
        <v>2954</v>
      </c>
      <c r="G80" s="1812" t="s">
        <v>754</v>
      </c>
      <c r="H80" s="2886" t="s">
        <v>2940</v>
      </c>
      <c r="I80" s="1812" t="s">
        <v>2941</v>
      </c>
      <c r="J80" s="603" t="s">
        <v>2587</v>
      </c>
      <c r="K80" s="603" t="s">
        <v>2588</v>
      </c>
      <c r="L80" s="603" t="s">
        <v>2589</v>
      </c>
      <c r="M80" s="603" t="s">
        <v>2590</v>
      </c>
      <c r="N80" s="603" t="s">
        <v>2591</v>
      </c>
      <c r="Z80" s="2726"/>
      <c r="AA80" s="2802"/>
      <c r="AG80" s="1375"/>
      <c r="AK80" s="2802"/>
    </row>
    <row r="81" spans="1:37" ht="38.25">
      <c r="A81" s="2884" t="s">
        <v>2961</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2943</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2944</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2958</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2950</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2951</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2948</v>
      </c>
      <c r="B87" s="2890" t="s">
        <v>2962</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2963</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7" t="s">
        <v>2964</v>
      </c>
      <c r="B90" s="3257"/>
      <c r="C90" s="3257"/>
      <c r="D90" s="3257"/>
      <c r="E90" s="3257"/>
      <c r="F90" s="3257"/>
      <c r="G90" s="3257"/>
      <c r="H90" s="3257"/>
      <c r="I90" s="3257"/>
      <c r="J90" s="3257"/>
      <c r="K90" s="2898"/>
      <c r="L90" s="2898"/>
      <c r="M90" s="2898"/>
      <c r="N90" s="2898"/>
    </row>
    <row r="91" spans="1:37">
      <c r="A91" s="3259" t="s">
        <v>2965</v>
      </c>
      <c r="B91" s="3259" t="s">
        <v>2966</v>
      </c>
      <c r="C91" s="2852" t="s">
        <v>2967</v>
      </c>
      <c r="D91" s="2853"/>
      <c r="E91" s="2853"/>
      <c r="F91" s="2853"/>
      <c r="G91" s="2853"/>
      <c r="H91" s="2853"/>
      <c r="I91" s="2853"/>
      <c r="J91" s="2899"/>
      <c r="K91" s="2900"/>
      <c r="L91" s="2900"/>
      <c r="M91" s="2900"/>
      <c r="N91" s="2900"/>
    </row>
    <row r="92" spans="1:37">
      <c r="A92" s="3259"/>
      <c r="B92" s="3259"/>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60" t="s">
        <v>2968</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1"/>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1"/>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1"/>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1"/>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1"/>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1"/>
      <c r="B99" s="2901" t="s">
        <v>2847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2"/>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0" t="s">
        <v>2969</v>
      </c>
      <c r="B101" s="2905" t="s">
        <v>2970</v>
      </c>
      <c r="C101" s="2906">
        <f>$G$3</f>
        <v>4.34</v>
      </c>
      <c r="D101" s="2906">
        <f t="shared" ref="D101:N101" si="31">$G$3</f>
        <v>4.34</v>
      </c>
      <c r="E101" s="2906">
        <f t="shared" si="31"/>
        <v>4.34</v>
      </c>
      <c r="F101" s="2906">
        <f t="shared" si="31"/>
        <v>4.34</v>
      </c>
      <c r="G101" s="2906">
        <f t="shared" si="31"/>
        <v>4.34</v>
      </c>
      <c r="H101" s="2906">
        <f t="shared" si="31"/>
        <v>4.34</v>
      </c>
      <c r="I101" s="2906">
        <f t="shared" si="31"/>
        <v>4.34</v>
      </c>
      <c r="J101" s="2906">
        <f t="shared" si="31"/>
        <v>4.34</v>
      </c>
      <c r="K101" s="2906">
        <f t="shared" si="31"/>
        <v>4.34</v>
      </c>
      <c r="L101" s="2906">
        <f t="shared" si="31"/>
        <v>4.34</v>
      </c>
      <c r="M101" s="2906">
        <f t="shared" si="31"/>
        <v>4.34</v>
      </c>
      <c r="N101" s="2906">
        <f t="shared" si="31"/>
        <v>4.34</v>
      </c>
    </row>
    <row r="102" spans="1:14">
      <c r="A102" s="3261"/>
      <c r="B102" s="2901">
        <v>1</v>
      </c>
      <c r="C102" s="2902">
        <f>1.9362/C101</f>
        <v>0.4461290322580645</v>
      </c>
      <c r="D102" s="2902">
        <f>1.9362/D101</f>
        <v>0.4461290322580645</v>
      </c>
      <c r="E102" s="2902">
        <f>1.8629/E101</f>
        <v>0.42923963133640552</v>
      </c>
      <c r="F102" s="2902">
        <f>1.8629/F101</f>
        <v>0.42923963133640552</v>
      </c>
      <c r="G102" s="2902">
        <f>1.8629/G101</f>
        <v>0.42923963133640552</v>
      </c>
      <c r="H102" s="2902">
        <f>1.8629/H101</f>
        <v>0.42923963133640552</v>
      </c>
      <c r="I102" s="2902">
        <f>1.8629/I101</f>
        <v>0.42923963133640552</v>
      </c>
      <c r="J102" s="2902">
        <f>1.942/J101</f>
        <v>0.44746543778801845</v>
      </c>
      <c r="K102" s="2902">
        <f>1.942/K101</f>
        <v>0.44746543778801845</v>
      </c>
      <c r="L102" s="2902">
        <f>1.942/L101</f>
        <v>0.44746543778801845</v>
      </c>
      <c r="M102" s="2902">
        <f>1.942/M101</f>
        <v>0.44746543778801845</v>
      </c>
      <c r="N102" s="2902">
        <f>1.942/N101</f>
        <v>0.44746543778801845</v>
      </c>
    </row>
    <row r="103" spans="1:14">
      <c r="A103" s="3261"/>
      <c r="B103" s="2901">
        <v>2</v>
      </c>
      <c r="C103" s="2902">
        <f>1.4198/C101</f>
        <v>0.32714285714285712</v>
      </c>
      <c r="D103" s="2902">
        <f>1.4198/D101</f>
        <v>0.32714285714285712</v>
      </c>
      <c r="E103" s="2902">
        <f>1.3372/E101</f>
        <v>0.30811059907834099</v>
      </c>
      <c r="F103" s="2902">
        <f>1.3372/F101</f>
        <v>0.30811059907834099</v>
      </c>
      <c r="G103" s="2902">
        <f>1.3372/G101</f>
        <v>0.30811059907834099</v>
      </c>
      <c r="H103" s="2902">
        <f>1.3372/H101</f>
        <v>0.30811059907834099</v>
      </c>
      <c r="I103" s="2902">
        <f>1.3372/I101</f>
        <v>0.30811059907834099</v>
      </c>
      <c r="J103" s="2902">
        <f>1.2799/J101</f>
        <v>0.29490783410138249</v>
      </c>
      <c r="K103" s="2902">
        <f>1.2799/K101</f>
        <v>0.29490783410138249</v>
      </c>
      <c r="L103" s="2902">
        <f>1.2799/L101</f>
        <v>0.29490783410138249</v>
      </c>
      <c r="M103" s="2902">
        <f>1.2799/M101</f>
        <v>0.29490783410138249</v>
      </c>
      <c r="N103" s="2902">
        <f>1.2799/N101</f>
        <v>0.29490783410138249</v>
      </c>
    </row>
    <row r="104" spans="1:14">
      <c r="A104" s="3261"/>
      <c r="B104" s="2901">
        <v>3</v>
      </c>
      <c r="C104" s="2902">
        <f>1.1594/C101</f>
        <v>0.26714285714285713</v>
      </c>
      <c r="D104" s="2902">
        <f>1.1594/D101</f>
        <v>0.26714285714285713</v>
      </c>
      <c r="E104" s="2902">
        <f>1.0788/E101</f>
        <v>0.24857142857142858</v>
      </c>
      <c r="F104" s="2902">
        <f>1.0788/F101</f>
        <v>0.24857142857142858</v>
      </c>
      <c r="G104" s="2902">
        <f>1.0788/G101</f>
        <v>0.24857142857142858</v>
      </c>
      <c r="H104" s="2902">
        <f>1.0788/H101</f>
        <v>0.24857142857142858</v>
      </c>
      <c r="I104" s="2902">
        <f>1.0788/I101</f>
        <v>0.24857142857142858</v>
      </c>
      <c r="J104" s="2902">
        <f>1.0072/J101</f>
        <v>0.23207373271889403</v>
      </c>
      <c r="K104" s="2902">
        <f>1.0072/K101</f>
        <v>0.23207373271889403</v>
      </c>
      <c r="L104" s="2902">
        <f>1.0072/L101</f>
        <v>0.23207373271889403</v>
      </c>
      <c r="M104" s="2902">
        <f>1.0072/M101</f>
        <v>0.23207373271889403</v>
      </c>
      <c r="N104" s="2902">
        <f>1.0072/N101</f>
        <v>0.23207373271889403</v>
      </c>
    </row>
    <row r="105" spans="1:14">
      <c r="A105" s="3261"/>
      <c r="B105" s="2901">
        <v>4</v>
      </c>
      <c r="C105" s="2902">
        <f>0.9622/C101</f>
        <v>0.22170506912442398</v>
      </c>
      <c r="D105" s="2902">
        <f>0.9622/D101</f>
        <v>0.22170506912442398</v>
      </c>
      <c r="E105" s="2902">
        <f>0.8656/E101</f>
        <v>0.19944700460829495</v>
      </c>
      <c r="F105" s="2902">
        <f>0.8656/F101</f>
        <v>0.19944700460829495</v>
      </c>
      <c r="G105" s="2902">
        <f>0.8656/G101</f>
        <v>0.19944700460829495</v>
      </c>
      <c r="H105" s="2902">
        <f>0.8656/H101</f>
        <v>0.19944700460829495</v>
      </c>
      <c r="I105" s="2902">
        <f>0.8656/I101</f>
        <v>0.19944700460829495</v>
      </c>
      <c r="J105" s="2902">
        <f>0.7525/J101</f>
        <v>0.17338709677419353</v>
      </c>
      <c r="K105" s="2902">
        <f>0.7525/K101</f>
        <v>0.17338709677419353</v>
      </c>
      <c r="L105" s="2902">
        <f>0.7525/L101</f>
        <v>0.17338709677419353</v>
      </c>
      <c r="M105" s="2902">
        <f>0.7525/M101</f>
        <v>0.17338709677419353</v>
      </c>
      <c r="N105" s="2902">
        <f>0.7525/N101</f>
        <v>0.17338709677419353</v>
      </c>
    </row>
    <row r="106" spans="1:14">
      <c r="A106" s="3261"/>
      <c r="B106" s="2901">
        <v>5</v>
      </c>
      <c r="C106" s="2902">
        <f>0.8417/C101</f>
        <v>0.19394009216589864</v>
      </c>
      <c r="D106" s="2902">
        <f>0.8417/D101</f>
        <v>0.19394009216589864</v>
      </c>
      <c r="E106" s="2902">
        <f>0.7371/E101</f>
        <v>0.16983870967741935</v>
      </c>
      <c r="F106" s="2902">
        <f>0.7371/F101</f>
        <v>0.16983870967741935</v>
      </c>
      <c r="G106" s="2902">
        <f>0.7371/G101</f>
        <v>0.16983870967741935</v>
      </c>
      <c r="H106" s="2902">
        <f>0.7371/H101</f>
        <v>0.16983870967741935</v>
      </c>
      <c r="I106" s="2902">
        <f>0.7371/I101</f>
        <v>0.16983870967741935</v>
      </c>
      <c r="J106" s="2902">
        <f>0.5659/J101</f>
        <v>0.13039170506912443</v>
      </c>
      <c r="K106" s="2902">
        <f>0.5659/K101</f>
        <v>0.13039170506912443</v>
      </c>
      <c r="L106" s="2902">
        <f>0.5659/L101</f>
        <v>0.13039170506912443</v>
      </c>
      <c r="M106" s="2902">
        <f>0.5659/M101</f>
        <v>0.13039170506912443</v>
      </c>
      <c r="N106" s="2902">
        <f>0.5659/N101</f>
        <v>0.13039170506912443</v>
      </c>
    </row>
    <row r="107" spans="1:14">
      <c r="A107" s="3261"/>
      <c r="B107" s="2901">
        <v>6</v>
      </c>
      <c r="C107" s="2902">
        <f>0.7608/C101</f>
        <v>0.17529953917050692</v>
      </c>
      <c r="D107" s="2902">
        <f>0.7608/D101</f>
        <v>0.17529953917050692</v>
      </c>
      <c r="E107" s="2902">
        <f>0.6482/E101</f>
        <v>0.14935483870967742</v>
      </c>
      <c r="F107" s="2902">
        <f>0.6482/F101</f>
        <v>0.14935483870967742</v>
      </c>
      <c r="G107" s="2902">
        <f>0.6482/G101</f>
        <v>0.14935483870967742</v>
      </c>
      <c r="H107" s="2902">
        <f>0.6482/H101</f>
        <v>0.14935483870967742</v>
      </c>
      <c r="I107" s="2902">
        <f>0.6482/I101</f>
        <v>0.14935483870967742</v>
      </c>
      <c r="J107" s="2902">
        <f>0.4525/J101</f>
        <v>0.10426267281105991</v>
      </c>
      <c r="K107" s="2902">
        <f>0.4525/K101</f>
        <v>0.10426267281105991</v>
      </c>
      <c r="L107" s="2902">
        <f>0.4525/L101</f>
        <v>0.10426267281105991</v>
      </c>
      <c r="M107" s="2902">
        <f>0.4525/M101</f>
        <v>0.10426267281105991</v>
      </c>
      <c r="N107" s="2902">
        <f>0.4525/N101</f>
        <v>0.10426267281105991</v>
      </c>
    </row>
    <row r="108" spans="1:14">
      <c r="A108" s="3261"/>
      <c r="B108" s="3119" t="s">
        <v>2971</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2"/>
      <c r="B109" s="3120"/>
      <c r="C109" s="2904">
        <f>(-0.163*(C108^2)-0.59*C108+7617)*(10^(-4))/C101</f>
        <v>0.17550691244239633</v>
      </c>
      <c r="D109" s="2904">
        <f>(-0.163*(D108^2)-0.59*D108+7617)*(10^(-4))/D101</f>
        <v>0.17550691244239633</v>
      </c>
      <c r="E109" s="2904">
        <f>(-0.161*(E108^2)-7.509*E108+6533)*(10^(-4))/E101</f>
        <v>0.15052995391705071</v>
      </c>
      <c r="F109" s="2904">
        <f>(-0.161*(F108^2)-7.509*F108+6533)*(10^(-4))/F101</f>
        <v>0.15052995391705071</v>
      </c>
      <c r="G109" s="2904">
        <f>(-0.161*(G108^2)-7.509*G108+6533)*(10^(-4))/G101</f>
        <v>0.15052995391705071</v>
      </c>
      <c r="H109" s="2904">
        <f>(-0.161*(H108^2)-7.509*H108+6533)*(10^(-4))/H101</f>
        <v>0.15052995391705071</v>
      </c>
      <c r="I109" s="2904">
        <f>(-0.161*(I108^2)-7.509*I108+6533)*(10^(-4))/I101</f>
        <v>0.15052995391705071</v>
      </c>
      <c r="J109" s="2904">
        <f>(-0.214*(J108^2)-21.991*J108+4665)*(10^(-4))/J101</f>
        <v>0.10748847926267283</v>
      </c>
      <c r="K109" s="2904">
        <f>(-0.214*(K108^2)-21.991*K108+4665)*(10^(-4))/K101</f>
        <v>0.10748847926267283</v>
      </c>
      <c r="L109" s="2904">
        <f>(-0.214*(L108^2)-21.991*L108+4665)*(10^(-4))/L101</f>
        <v>0.10748847926267283</v>
      </c>
      <c r="M109" s="2904">
        <f>(-0.214*(M108^2)-21.991*M108+4665)*(10^(-4))/M101</f>
        <v>0.10748847926267283</v>
      </c>
      <c r="N109" s="2904">
        <f>(-0.214*(N108^2)-21.991*N108+4665)*(10^(-4))/N101</f>
        <v>0.10748847926267283</v>
      </c>
    </row>
    <row r="110" spans="1:14">
      <c r="A110" s="3258" t="s">
        <v>2972</v>
      </c>
      <c r="B110" s="3258"/>
      <c r="C110" s="3258"/>
      <c r="D110" s="3258"/>
      <c r="E110" s="3258"/>
      <c r="F110" s="3258"/>
      <c r="G110" s="3258"/>
      <c r="H110" s="3258"/>
      <c r="I110" s="3258"/>
      <c r="J110" s="3258"/>
      <c r="K110" s="2907"/>
      <c r="L110" s="2907"/>
      <c r="M110" s="2907"/>
      <c r="N110" s="2907"/>
    </row>
    <row r="112" spans="1:14" ht="13.5" thickBot="1"/>
    <row r="113" spans="1:13" ht="25.5" thickBot="1">
      <c r="A113" s="903" t="s">
        <v>2973</v>
      </c>
      <c r="B113" s="1290">
        <f>G3</f>
        <v>4.34</v>
      </c>
      <c r="C113" s="904" t="s">
        <v>2974</v>
      </c>
      <c r="D113" s="905">
        <f>SUMPRODUCT((A115:A118=F113)*(B114:M114=H113)*B115:M118)</f>
        <v>0</v>
      </c>
      <c r="E113" s="2730" t="s">
        <v>2804</v>
      </c>
      <c r="F113" s="2909">
        <f>E2</f>
        <v>0</v>
      </c>
      <c r="G113" s="2730" t="s">
        <v>2805</v>
      </c>
      <c r="H113" s="2909">
        <f>G2</f>
        <v>0</v>
      </c>
      <c r="I113" s="2730"/>
      <c r="J113" s="2910"/>
      <c r="K113" s="2910"/>
      <c r="L113" s="2910"/>
      <c r="M113" s="2910"/>
    </row>
    <row r="114" spans="1:13">
      <c r="A114" s="908"/>
      <c r="B114" s="2911" t="s">
        <v>2975</v>
      </c>
      <c r="C114" s="2911" t="s">
        <v>2976</v>
      </c>
      <c r="D114" s="2911" t="s">
        <v>2977</v>
      </c>
      <c r="E114" s="2912" t="s">
        <v>2978</v>
      </c>
      <c r="F114" s="2912" t="s">
        <v>2979</v>
      </c>
      <c r="G114" s="2912" t="s">
        <v>2980</v>
      </c>
      <c r="H114" s="2913" t="s">
        <v>2981</v>
      </c>
      <c r="I114" s="2913" t="s">
        <v>2982</v>
      </c>
      <c r="J114" s="2914" t="s">
        <v>2983</v>
      </c>
      <c r="K114" s="2914" t="s">
        <v>2984</v>
      </c>
      <c r="L114" s="2914" t="s">
        <v>2985</v>
      </c>
      <c r="M114" s="2915" t="s">
        <v>2986</v>
      </c>
    </row>
    <row r="115" spans="1:13">
      <c r="A115" s="909" t="s">
        <v>2869</v>
      </c>
      <c r="B115" s="910">
        <f>ROUND(0.9335-0.0094*B113,4)</f>
        <v>0.89270000000000005</v>
      </c>
      <c r="C115" s="910">
        <f>B115</f>
        <v>0.89270000000000005</v>
      </c>
      <c r="D115" s="910">
        <f>ROUND(0.8331-0.0109*B113,4)</f>
        <v>0.78580000000000005</v>
      </c>
      <c r="E115" s="910">
        <f>D115</f>
        <v>0.78580000000000005</v>
      </c>
      <c r="F115" s="910">
        <f>E115</f>
        <v>0.78580000000000005</v>
      </c>
      <c r="G115" s="910">
        <f>F115</f>
        <v>0.78580000000000005</v>
      </c>
      <c r="H115" s="910">
        <f>G115</f>
        <v>0.78580000000000005</v>
      </c>
      <c r="I115" s="910">
        <f>ROUND(0.689-0.0155*B113,4)</f>
        <v>0.62170000000000003</v>
      </c>
      <c r="J115" s="910">
        <f t="shared" ref="J115:M118" si="33">I115</f>
        <v>0.62170000000000003</v>
      </c>
      <c r="K115" s="910">
        <f t="shared" si="33"/>
        <v>0.62170000000000003</v>
      </c>
      <c r="L115" s="910">
        <f t="shared" si="33"/>
        <v>0.62170000000000003</v>
      </c>
      <c r="M115" s="911">
        <f t="shared" si="33"/>
        <v>0.62170000000000003</v>
      </c>
    </row>
    <row r="116" spans="1:13">
      <c r="A116" s="909" t="s">
        <v>2870</v>
      </c>
      <c r="B116" s="910">
        <f>ROUND(0.949-0.012*B113,4)</f>
        <v>0.89690000000000003</v>
      </c>
      <c r="C116" s="910">
        <f>B116</f>
        <v>0.89690000000000003</v>
      </c>
      <c r="D116" s="910">
        <f>ROUND(0.8567-0.013*B113,4)</f>
        <v>0.80030000000000001</v>
      </c>
      <c r="E116" s="910">
        <f t="shared" ref="E116:H117" si="34">D116</f>
        <v>0.80030000000000001</v>
      </c>
      <c r="F116" s="910">
        <f t="shared" si="34"/>
        <v>0.80030000000000001</v>
      </c>
      <c r="G116" s="910">
        <f t="shared" si="34"/>
        <v>0.80030000000000001</v>
      </c>
      <c r="H116" s="910">
        <f t="shared" si="34"/>
        <v>0.80030000000000001</v>
      </c>
      <c r="I116" s="910">
        <f>ROUND(0.7694-0.014*B113,4)</f>
        <v>0.70860000000000001</v>
      </c>
      <c r="J116" s="910">
        <f t="shared" si="33"/>
        <v>0.70860000000000001</v>
      </c>
      <c r="K116" s="910">
        <f t="shared" si="33"/>
        <v>0.70860000000000001</v>
      </c>
      <c r="L116" s="910">
        <f t="shared" si="33"/>
        <v>0.70860000000000001</v>
      </c>
      <c r="M116" s="911">
        <f t="shared" si="33"/>
        <v>0.70860000000000001</v>
      </c>
    </row>
    <row r="117" spans="1:13">
      <c r="A117" s="909" t="s">
        <v>2871</v>
      </c>
      <c r="B117" s="910">
        <f>ROUND(0.8808-0.006*B113,4)</f>
        <v>0.8548</v>
      </c>
      <c r="C117" s="910">
        <f>B117</f>
        <v>0.8548</v>
      </c>
      <c r="D117" s="910">
        <f>ROUND(0.8748-0.008*B113,4)</f>
        <v>0.84009999999999996</v>
      </c>
      <c r="E117" s="910">
        <f t="shared" si="34"/>
        <v>0.84009999999999996</v>
      </c>
      <c r="F117" s="910">
        <f t="shared" si="34"/>
        <v>0.84009999999999996</v>
      </c>
      <c r="G117" s="910">
        <f t="shared" si="34"/>
        <v>0.84009999999999996</v>
      </c>
      <c r="H117" s="910">
        <f t="shared" si="34"/>
        <v>0.84009999999999996</v>
      </c>
      <c r="I117" s="910">
        <f>ROUND(0.7412-0.0095*B113,4)</f>
        <v>0.7</v>
      </c>
      <c r="J117" s="910">
        <f t="shared" si="33"/>
        <v>0.7</v>
      </c>
      <c r="K117" s="910">
        <f t="shared" si="33"/>
        <v>0.7</v>
      </c>
      <c r="L117" s="910">
        <f t="shared" si="33"/>
        <v>0.7</v>
      </c>
      <c r="M117" s="911">
        <f t="shared" si="33"/>
        <v>0.7</v>
      </c>
    </row>
    <row r="118" spans="1:13" ht="13.5" thickBot="1">
      <c r="A118" s="714" t="s">
        <v>2872</v>
      </c>
      <c r="B118" s="912">
        <f>ROUND(0.7275-0.01*B113,4)</f>
        <v>0.68410000000000004</v>
      </c>
      <c r="C118" s="912">
        <f>B118</f>
        <v>0.68410000000000004</v>
      </c>
      <c r="D118" s="912">
        <f>ROUND(0.7043-0.012*B113,4)</f>
        <v>0.6522</v>
      </c>
      <c r="E118" s="912">
        <f>D118</f>
        <v>0.6522</v>
      </c>
      <c r="F118" s="912">
        <f>E118</f>
        <v>0.6522</v>
      </c>
      <c r="G118" s="912">
        <f>ROUND(0.6299-0.0122*B113,4)</f>
        <v>0.57699999999999996</v>
      </c>
      <c r="H118" s="912">
        <f>G118</f>
        <v>0.57699999999999996</v>
      </c>
      <c r="I118" s="912">
        <f>ROUND(0.5667-0.0136*B113,4)</f>
        <v>0.50770000000000004</v>
      </c>
      <c r="J118" s="912">
        <f t="shared" si="33"/>
        <v>0.50770000000000004</v>
      </c>
      <c r="K118" s="912">
        <f t="shared" si="33"/>
        <v>0.50770000000000004</v>
      </c>
      <c r="L118" s="912">
        <f t="shared" si="33"/>
        <v>0.50770000000000004</v>
      </c>
      <c r="M118" s="913">
        <f t="shared" si="33"/>
        <v>0.50770000000000004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2995</v>
      </c>
    </row>
    <row r="2" spans="1:5" ht="15.75">
      <c r="A2" s="2916" t="s">
        <v>2987</v>
      </c>
      <c r="B2" s="2917" t="e">
        <f ca="1">SUMIF(B6:B13,"&lt;&gt;#ref!",B6:B13)</f>
        <v>#DIV/0!</v>
      </c>
      <c r="C2" s="2916" t="s">
        <v>2988</v>
      </c>
      <c r="D2" s="2916" t="s">
        <v>2989</v>
      </c>
      <c r="E2" s="2917">
        <f ca="1">SUMIF(E6:E13,"&lt;&gt;#ref!",E6:E13)</f>
        <v>0</v>
      </c>
    </row>
    <row r="3" spans="1:5" ht="15.75">
      <c r="A3" s="2916" t="s">
        <v>2990</v>
      </c>
      <c r="B3" s="2917" t="e">
        <f ca="1">ROUND(B2*10000/E2,0)</f>
        <v>#DIV/0!</v>
      </c>
      <c r="C3" s="2916" t="s">
        <v>2996</v>
      </c>
      <c r="D3" s="2918"/>
      <c r="E3" s="2918"/>
    </row>
    <row r="4" spans="1:5" ht="15.75">
      <c r="A4" s="2919"/>
      <c r="B4" s="2918"/>
      <c r="C4" s="2918"/>
      <c r="D4" s="2918"/>
      <c r="E4" s="2918"/>
    </row>
    <row r="5" spans="1:5" ht="28.5">
      <c r="A5" s="2920" t="s">
        <v>2991</v>
      </c>
      <c r="B5" s="2916" t="s">
        <v>2992</v>
      </c>
      <c r="C5" s="2917"/>
      <c r="D5" s="2918"/>
      <c r="E5" s="2916" t="s">
        <v>2993</v>
      </c>
    </row>
    <row r="6" spans="1:5" ht="15.75">
      <c r="A6" s="2921" t="s">
        <v>2994</v>
      </c>
      <c r="B6" s="2917" t="e">
        <f ca="1">SUMIF(INDIRECT("'"&amp;A6&amp;"'"&amp;"!A:A"),"总价",INDIRECT("'"&amp;A6&amp;"'"&amp;"!B:B"))</f>
        <v>#DIV/0!</v>
      </c>
      <c r="C6" s="2916" t="s">
        <v>2988</v>
      </c>
      <c r="D6" s="2918"/>
      <c r="E6" s="2581">
        <f ca="1">SUMIF(INDIRECT("'"&amp;A6&amp;"'"&amp;"!C:C"),"建筑面积",INDIRECT("'"&amp;A6&amp;"'"&amp;"!D:D"))</f>
        <v>0</v>
      </c>
    </row>
    <row r="7" spans="1:5" ht="15.75">
      <c r="A7" s="2921"/>
      <c r="B7" s="2917" t="e">
        <f ca="1">SUMIF(INDIRECT("'"&amp;A7&amp;"'"&amp;"!A:A"),"总价",INDIRECT("'"&amp;A7&amp;"'"&amp;"!B:B"))</f>
        <v>#REF!</v>
      </c>
      <c r="C7" s="2916" t="s">
        <v>2988</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2988</v>
      </c>
      <c r="D8" s="2918"/>
      <c r="E8" s="2581" t="e">
        <f t="shared" ca="1" si="0"/>
        <v>#REF!</v>
      </c>
    </row>
    <row r="9" spans="1:5" ht="15.75">
      <c r="A9" s="2921"/>
      <c r="B9" s="2917" t="e">
        <f t="shared" ca="1" si="1"/>
        <v>#REF!</v>
      </c>
      <c r="C9" s="2916" t="s">
        <v>2988</v>
      </c>
      <c r="D9" s="2918"/>
      <c r="E9" s="2581" t="e">
        <f t="shared" ca="1" si="0"/>
        <v>#REF!</v>
      </c>
    </row>
    <row r="10" spans="1:5" ht="15.75">
      <c r="A10" s="2921"/>
      <c r="B10" s="2917" t="e">
        <f t="shared" ca="1" si="1"/>
        <v>#REF!</v>
      </c>
      <c r="C10" s="2916" t="s">
        <v>2988</v>
      </c>
      <c r="D10" s="2918"/>
      <c r="E10" s="2581" t="e">
        <f t="shared" ca="1" si="0"/>
        <v>#REF!</v>
      </c>
    </row>
    <row r="11" spans="1:5" ht="15.75">
      <c r="A11" s="2921"/>
      <c r="B11" s="2917" t="e">
        <f t="shared" ca="1" si="1"/>
        <v>#REF!</v>
      </c>
      <c r="C11" s="2916" t="s">
        <v>2988</v>
      </c>
      <c r="D11" s="2918"/>
      <c r="E11" s="2581" t="e">
        <f t="shared" ca="1" si="0"/>
        <v>#REF!</v>
      </c>
    </row>
    <row r="12" spans="1:5" ht="15.75">
      <c r="A12" s="2921"/>
      <c r="B12" s="2917" t="e">
        <f t="shared" ca="1" si="1"/>
        <v>#REF!</v>
      </c>
      <c r="C12" s="2916" t="s">
        <v>2988</v>
      </c>
      <c r="D12" s="2918"/>
      <c r="E12" s="2581" t="e">
        <f t="shared" ca="1" si="0"/>
        <v>#REF!</v>
      </c>
    </row>
    <row r="13" spans="1:5" ht="15.75">
      <c r="A13" s="2921"/>
      <c r="B13" s="2917" t="e">
        <f t="shared" ca="1" si="1"/>
        <v>#REF!</v>
      </c>
      <c r="C13" s="2916" t="s">
        <v>2988</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1146</v>
      </c>
      <c r="C1" s="3272"/>
      <c r="D1" s="3272"/>
      <c r="E1" s="3272"/>
      <c r="F1" s="3272"/>
      <c r="G1" s="3271" t="s">
        <v>1147</v>
      </c>
      <c r="H1" s="3271"/>
      <c r="I1" s="3271"/>
      <c r="J1" s="3271"/>
      <c r="K1" s="3271"/>
      <c r="L1" s="3271"/>
      <c r="N1" s="3271" t="s">
        <v>1148</v>
      </c>
      <c r="O1" s="3271"/>
      <c r="P1" s="3271"/>
      <c r="Q1" s="3271"/>
      <c r="R1" s="1449"/>
      <c r="S1" s="3271" t="s">
        <v>1149</v>
      </c>
      <c r="T1" s="3271"/>
      <c r="U1" s="3271"/>
      <c r="V1" s="3271"/>
      <c r="X1" s="3270" t="s">
        <v>1150</v>
      </c>
      <c r="Y1" s="3271"/>
      <c r="Z1" s="3271"/>
      <c r="AA1" s="3271"/>
      <c r="AB1" s="3271"/>
      <c r="AD1" s="3270" t="s">
        <v>1151</v>
      </c>
      <c r="AE1" s="3271"/>
      <c r="AF1" s="3271"/>
      <c r="AG1" s="3271"/>
      <c r="AH1" s="327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3030</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3043</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3031</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3044</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8">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3037</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3036</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3029</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77"/>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3026</v>
      </c>
      <c r="B10" s="1472">
        <v>439</v>
      </c>
      <c r="C10" s="1472">
        <v>327</v>
      </c>
      <c r="D10" s="1472">
        <f>C10</f>
        <v>327</v>
      </c>
      <c r="E10" s="1472">
        <v>627</v>
      </c>
      <c r="F10" s="1473">
        <v>283</v>
      </c>
      <c r="G10" s="3273">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3027</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77"/>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3">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4">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5"/>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5"/>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76"/>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7">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8">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8">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9">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7">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8">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8">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9" t="s">
        <v>2998</v>
      </c>
      <c r="D1" s="3280"/>
      <c r="E1" s="3280"/>
      <c r="F1" s="3280"/>
      <c r="G1" s="3280"/>
      <c r="H1" s="3280"/>
      <c r="I1" s="3280"/>
      <c r="J1" s="3280"/>
      <c r="K1" s="3280"/>
      <c r="L1" s="3280"/>
      <c r="M1" s="3280"/>
      <c r="N1" s="3280"/>
      <c r="O1" s="3280"/>
      <c r="P1" s="3280"/>
      <c r="Q1" s="3280"/>
      <c r="R1" s="3280"/>
      <c r="S1" s="3281"/>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3007</v>
      </c>
      <c r="B17" s="2923"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5" t="s">
        <v>3011</v>
      </c>
      <c r="E20" s="1796"/>
      <c r="F20" s="1207" t="e">
        <f ca="1">SUMIF(INDIRECT("'"&amp;H20&amp;"'"&amp;"!A:A"),"承租人权益价值",INDIRECT("'"&amp;H20&amp;"'"&amp;"!c:c"))</f>
        <v>#REF!</v>
      </c>
      <c r="G20" s="1207" t="s">
        <v>3012</v>
      </c>
      <c r="H20" s="2926"/>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41" t="s">
        <v>33</v>
      </c>
      <c r="D22" s="3142"/>
      <c r="E22" s="3142"/>
      <c r="F22" s="3142"/>
      <c r="G22" s="3142"/>
      <c r="H22" s="3142"/>
      <c r="I22" s="3142"/>
      <c r="J22" s="3142"/>
      <c r="K22" s="3142"/>
      <c r="L22" s="3142"/>
      <c r="M22" s="3142"/>
      <c r="N22" s="3142"/>
      <c r="O22" s="3142"/>
      <c r="P22" s="3142"/>
      <c r="Q22" s="3278"/>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1626</v>
      </c>
      <c r="C4" s="2964"/>
      <c r="D4" s="2964"/>
      <c r="E4" s="1964"/>
    </row>
    <row r="5" spans="1:5" ht="16.5" thickTop="1">
      <c r="A5" s="1962"/>
      <c r="B5" s="2962" t="s">
        <v>1618</v>
      </c>
      <c r="C5" s="1965" t="s">
        <v>1619</v>
      </c>
      <c r="D5" s="1043">
        <f ca="1">结果表!H101</f>
        <v>232686</v>
      </c>
      <c r="E5" s="1962"/>
    </row>
    <row r="6" spans="1:5" ht="15.75">
      <c r="A6" s="1962"/>
      <c r="B6" s="2962"/>
      <c r="C6" s="1965" t="s">
        <v>1620</v>
      </c>
      <c r="D6" s="1043" t="str">
        <f ca="1">NUMBERSTRING(INT(D5*10000),2)&amp;"元整"</f>
        <v>贰拾叁亿贰仟陆佰捌拾陆万元整</v>
      </c>
      <c r="E6" s="1962"/>
    </row>
    <row r="7" spans="1:5" ht="15.75">
      <c r="A7" s="1962"/>
      <c r="B7" s="2967"/>
      <c r="C7" s="1966" t="s">
        <v>1621</v>
      </c>
      <c r="D7" s="1044">
        <f ca="1">结果表!H102</f>
        <v>16174</v>
      </c>
      <c r="E7" s="1962"/>
    </row>
    <row r="8" spans="1:5" ht="15.75">
      <c r="A8" s="1962"/>
      <c r="B8" s="2968" t="str">
        <f>结果表!E103</f>
        <v>2.估价师知悉的法定优先受偿款</v>
      </c>
      <c r="C8" s="1967" t="s">
        <v>1622</v>
      </c>
      <c r="D8" s="1044">
        <f>结果表!H103</f>
        <v>0</v>
      </c>
      <c r="E8" s="1962"/>
    </row>
    <row r="9" spans="1:5" ht="15.75">
      <c r="A9" s="1962"/>
      <c r="B9" s="2970"/>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1" t="str">
        <f>结果表!E107</f>
        <v>3.房地产抵押价值</v>
      </c>
      <c r="C13" s="1970" t="s">
        <v>1619</v>
      </c>
      <c r="D13" s="1046">
        <f ca="1">结果表!H107</f>
        <v>232686</v>
      </c>
      <c r="E13" s="1962"/>
    </row>
    <row r="14" spans="1:5" ht="15.75">
      <c r="A14" s="1962"/>
      <c r="B14" s="2962"/>
      <c r="C14" s="1965" t="s">
        <v>1620</v>
      </c>
      <c r="D14" s="1043" t="str">
        <f ca="1">NUMBERSTRING(INT(D13*10000),2)&amp;"元整"</f>
        <v>贰拾叁亿贰仟陆佰捌拾陆万元整</v>
      </c>
      <c r="E14" s="1962"/>
    </row>
    <row r="15" spans="1:5" ht="15">
      <c r="A15" s="1962"/>
      <c r="B15" s="2967"/>
      <c r="C15" s="1966" t="s">
        <v>1630</v>
      </c>
      <c r="D15" s="1055">
        <f ca="1">结果表!H108</f>
        <v>16174</v>
      </c>
      <c r="E15" s="1962"/>
    </row>
    <row r="16" spans="1:5" ht="15">
      <c r="A16" s="1962"/>
      <c r="B16" s="2968" t="str">
        <f>结果表!E109</f>
        <v>——</v>
      </c>
      <c r="C16" s="1970" t="s">
        <v>1631</v>
      </c>
      <c r="D16" s="1971" t="str">
        <f>结果表!H109</f>
        <v>——</v>
      </c>
      <c r="E16" s="1962"/>
    </row>
    <row r="17" spans="1:5" ht="15.75">
      <c r="A17" s="1962"/>
      <c r="B17" s="2969"/>
      <c r="C17" s="1965" t="s">
        <v>1632</v>
      </c>
      <c r="D17" s="1043" t="e">
        <f>NUMBERSTRING(INT(D16*10000),2)&amp;"元整"</f>
        <v>#VALUE!</v>
      </c>
      <c r="E17" s="1962"/>
    </row>
    <row r="18" spans="1:5" ht="15">
      <c r="A18" s="1962"/>
      <c r="B18" s="2970"/>
      <c r="C18" s="1966" t="s">
        <v>1621</v>
      </c>
      <c r="D18" s="1055" t="str">
        <f>结果表!H110</f>
        <v>——</v>
      </c>
      <c r="E18" s="1962"/>
    </row>
    <row r="19" spans="1:5" ht="15.75">
      <c r="A19" s="1962"/>
      <c r="B19" s="2961" t="str">
        <f>结果表!E111</f>
        <v>——</v>
      </c>
      <c r="C19" s="1970" t="s">
        <v>1619</v>
      </c>
      <c r="D19" s="1044" t="str">
        <f>结果表!H111</f>
        <v>——</v>
      </c>
      <c r="E19" s="1962"/>
    </row>
    <row r="20" spans="1:5" ht="15.75">
      <c r="A20" s="1962"/>
      <c r="B20" s="2962"/>
      <c r="C20" s="1965" t="s">
        <v>1632</v>
      </c>
      <c r="D20" s="1043" t="e">
        <f>NUMBERSTRING(INT(D19*10000),2)&amp;"元整"</f>
        <v>#VALUE!</v>
      </c>
      <c r="E20" s="1962"/>
    </row>
    <row r="21" spans="1:5" ht="15.75" thickBot="1">
      <c r="A21" s="1962"/>
      <c r="B21" s="2963"/>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57142</v>
      </c>
      <c r="C2" s="2" t="s">
        <v>133</v>
      </c>
      <c r="D2" s="243"/>
      <c r="E2" s="243"/>
      <c r="F2" s="243"/>
      <c r="G2" s="243"/>
    </row>
    <row r="3" spans="1:7" s="244" customFormat="1" ht="18" customHeight="1" thickBot="1">
      <c r="A3" s="247" t="s">
        <v>85</v>
      </c>
      <c r="B3" s="248">
        <f ca="1">ROUND(B2*10000/'数据-汇总表'!E3,0)</f>
        <v>3972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653</v>
      </c>
      <c r="D9" s="1035">
        <f>'数据-汇总表'!E5</f>
        <v>118740.57</v>
      </c>
      <c r="E9" s="269">
        <f>'数据-取费表'!B27</f>
        <v>55</v>
      </c>
      <c r="F9" s="265"/>
      <c r="G9" s="270"/>
    </row>
    <row r="10" spans="1:7" s="258" customFormat="1" ht="13.5" customHeight="1">
      <c r="A10" s="953" t="s">
        <v>801</v>
      </c>
      <c r="B10" s="268" t="s">
        <v>94</v>
      </c>
      <c r="C10" s="269">
        <f>ROUND(D10*E10/10000,0)</f>
        <v>138</v>
      </c>
      <c r="D10" s="1035">
        <f>'数据-汇总表'!E6</f>
        <v>25120.160000000003</v>
      </c>
      <c r="E10" s="269">
        <f>'数据-取费表'!B28</f>
        <v>55</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1151</v>
      </c>
      <c r="D19" s="1039">
        <f>'数据-汇总表'!E3</f>
        <v>143860.73000000001</v>
      </c>
      <c r="E19" s="255">
        <f>'数据-取费表'!B31</f>
        <v>80</v>
      </c>
      <c r="F19" s="275"/>
      <c r="G19" s="1" t="s">
        <v>1071</v>
      </c>
    </row>
    <row r="20" spans="1:7" s="258" customFormat="1" ht="13.5" customHeight="1">
      <c r="A20" s="951" t="s">
        <v>1054</v>
      </c>
      <c r="B20" s="254" t="s">
        <v>104</v>
      </c>
      <c r="C20" s="276">
        <f>ROUND((C5+C19)*F20,0)</f>
        <v>435</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1584</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83</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1776</v>
      </c>
      <c r="D27" s="279">
        <f>C29</f>
        <v>1.6000000000000001E-3</v>
      </c>
      <c r="E27" s="280" t="s">
        <v>126</v>
      </c>
      <c r="F27" s="290">
        <f>'数据-取费表'!Q16</f>
        <v>0.16</v>
      </c>
      <c r="G27" s="291" t="s">
        <v>1066</v>
      </c>
    </row>
    <row r="28" spans="1:7" s="258" customFormat="1" ht="13.5" customHeight="1">
      <c r="A28" s="954" t="s">
        <v>794</v>
      </c>
      <c r="B28" s="292" t="s">
        <v>1059</v>
      </c>
      <c r="C28" s="293">
        <f>ROUND((C5+C19+C20)*F27*'数据-取费表'!B21/'数据-取费表'!B20,0)</f>
        <v>1776</v>
      </c>
      <c r="D28" s="279"/>
      <c r="E28" s="280"/>
      <c r="F28" s="290"/>
      <c r="G28" s="291"/>
    </row>
    <row r="29" spans="1:7" s="258" customFormat="1" ht="13.5" customHeight="1">
      <c r="A29" s="954" t="s">
        <v>792</v>
      </c>
      <c r="B29" s="292" t="s">
        <v>1060</v>
      </c>
      <c r="C29" s="282">
        <f>ROUND(C21*F27*'数据-取费表'!B21/'数据-取费表'!B20,4)</f>
        <v>1.6000000000000001E-3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27647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22321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19702</v>
      </c>
      <c r="D34" s="261"/>
      <c r="E34" s="264"/>
      <c r="F34" s="301">
        <f>IF('数据-取费表'!B24=0,1,'数据-取费表'!N16)</f>
        <v>0.47899999999999998</v>
      </c>
      <c r="G34" s="263" t="s">
        <v>116</v>
      </c>
    </row>
    <row r="35" spans="1:7" ht="13.5" customHeight="1">
      <c r="A35" s="954" t="s">
        <v>796</v>
      </c>
      <c r="B35" s="259" t="s">
        <v>60</v>
      </c>
      <c r="C35" s="264">
        <f>ROUND(C34*F35,0)</f>
        <v>591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492</v>
      </c>
      <c r="D36" s="264"/>
      <c r="E36" s="264"/>
      <c r="F36" s="303">
        <f>'数据-取费表'!B34</f>
        <v>0.03</v>
      </c>
      <c r="G36" s="304" t="s">
        <v>62</v>
      </c>
    </row>
    <row r="37" spans="1:7" s="302" customFormat="1" ht="13.5" customHeight="1">
      <c r="A37" s="954" t="s">
        <v>798</v>
      </c>
      <c r="B37" s="259" t="s">
        <v>118</v>
      </c>
      <c r="C37" s="293">
        <f>ROUND(E37*D37*F34/10000,0)</f>
        <v>1240</v>
      </c>
      <c r="D37" s="261">
        <f>'数据-汇总表'!E3</f>
        <v>143860.73000000001</v>
      </c>
      <c r="E37" s="293">
        <f>'数据-取费表'!B35</f>
        <v>180</v>
      </c>
      <c r="F37" s="303"/>
      <c r="G37" s="305" t="s">
        <v>119</v>
      </c>
    </row>
    <row r="38" spans="1:7" ht="13.5" customHeight="1">
      <c r="A38" s="954" t="s">
        <v>799</v>
      </c>
      <c r="B38" s="259" t="s">
        <v>63</v>
      </c>
      <c r="C38" s="264">
        <f>ROUND(C34*F38,0)</f>
        <v>296</v>
      </c>
      <c r="D38" s="264"/>
      <c r="E38" s="264"/>
      <c r="F38" s="303">
        <f>'数据-取费表'!B36</f>
        <v>1.4999999999999999E-2</v>
      </c>
      <c r="G38" s="263" t="s">
        <v>117</v>
      </c>
    </row>
    <row r="39" spans="1:7" s="258" customFormat="1" ht="13.5" customHeight="1">
      <c r="A39" s="951" t="s">
        <v>783</v>
      </c>
      <c r="B39" s="254" t="s">
        <v>104</v>
      </c>
      <c r="C39" s="276">
        <f>ROUND(C33*F20,0)</f>
        <v>446</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807</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791</v>
      </c>
      <c r="D42" s="282"/>
      <c r="E42" s="282"/>
      <c r="F42" s="283"/>
      <c r="G42" s="3189" t="s">
        <v>121</v>
      </c>
    </row>
    <row r="43" spans="1:7" ht="13.5" customHeight="1">
      <c r="A43" s="954" t="s">
        <v>792</v>
      </c>
      <c r="B43" s="259" t="s">
        <v>1061</v>
      </c>
      <c r="C43" s="282">
        <f ca="1">ROUND(IF('数据-取费表'!B22&lt;=1,C39*F22*'数据-取费表'!B21/2,C39*(POWER((1+F22),'数据-取费表'!B21/2)-1)),0)</f>
        <v>16</v>
      </c>
      <c r="D43" s="282"/>
      <c r="E43" s="282"/>
      <c r="F43" s="283"/>
      <c r="G43" s="3190"/>
    </row>
    <row r="44" spans="1:7" ht="13.5" customHeight="1">
      <c r="A44" s="954" t="s">
        <v>793</v>
      </c>
      <c r="B44" s="259" t="s">
        <v>1063</v>
      </c>
      <c r="C44" s="282">
        <f ca="1">ROUND(IF('数据-取费表'!B22&lt;=1,C40*F22*'数据-取费表'!B21/2,C40*(POWER((1+F22),'数据-取费表'!B21/2)-1)),4)</f>
        <v>6.9999999999999999E-4</v>
      </c>
      <c r="D44" s="282"/>
      <c r="E44" s="282"/>
      <c r="F44" s="283"/>
      <c r="G44" s="3191"/>
    </row>
    <row r="45" spans="1:7" s="258" customFormat="1" ht="13.5" customHeight="1">
      <c r="A45" s="951" t="s">
        <v>786</v>
      </c>
      <c r="B45" s="288" t="s">
        <v>112</v>
      </c>
      <c r="C45" s="289">
        <f>C46</f>
        <v>3643</v>
      </c>
      <c r="D45" s="279">
        <f>C47</f>
        <v>3.2000000000000002E-3</v>
      </c>
      <c r="E45" s="280" t="s">
        <v>129</v>
      </c>
      <c r="F45" s="290"/>
      <c r="G45" s="291" t="s">
        <v>1069</v>
      </c>
    </row>
    <row r="46" spans="1:7" s="258" customFormat="1" ht="13.5" customHeight="1">
      <c r="A46" s="954" t="s">
        <v>794</v>
      </c>
      <c r="B46" s="292" t="s">
        <v>1062</v>
      </c>
      <c r="C46" s="293">
        <f>ROUND((C33+C39)*F27,0)</f>
        <v>3643</v>
      </c>
      <c r="D46" s="307"/>
      <c r="E46" s="280"/>
      <c r="F46" s="290"/>
      <c r="G46" s="291"/>
    </row>
    <row r="47" spans="1:7" s="258" customFormat="1" ht="13.5" customHeight="1">
      <c r="A47" s="954" t="s">
        <v>792</v>
      </c>
      <c r="B47" s="292" t="s">
        <v>1064</v>
      </c>
      <c r="C47" s="282">
        <f>ROUND(C40*F27,4)</f>
        <v>3.2000000000000002E-3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29495</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29495</v>
      </c>
      <c r="D51" s="276"/>
      <c r="E51" s="276"/>
      <c r="F51" s="308"/>
      <c r="G51" s="278" t="s">
        <v>64</v>
      </c>
    </row>
    <row r="52" spans="1:7" s="252" customFormat="1" ht="16.5" thickBot="1">
      <c r="A52" s="309" t="s">
        <v>65</v>
      </c>
      <c r="B52" s="310"/>
      <c r="C52" s="311">
        <f ca="1">C31+C51</f>
        <v>57142</v>
      </c>
      <c r="D52" s="310"/>
      <c r="E52" s="310"/>
      <c r="F52" s="310"/>
      <c r="G52" s="312"/>
    </row>
    <row r="55" spans="1:7" ht="15">
      <c r="B55" s="314" t="s">
        <v>66</v>
      </c>
      <c r="C55" s="315"/>
    </row>
    <row r="56" spans="1:7">
      <c r="B56" s="317" t="s">
        <v>67</v>
      </c>
      <c r="C56" s="318">
        <f ca="1">ROUND(C51/C52,3)</f>
        <v>0.51600000000000001</v>
      </c>
    </row>
    <row r="57" spans="1:7">
      <c r="B57" s="317" t="s">
        <v>68</v>
      </c>
      <c r="C57" s="319">
        <f ca="1">1-C56</f>
        <v>0.48399999999999999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868</v>
      </c>
      <c r="B1" s="328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43557</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8"/>
  <sheetViews>
    <sheetView topLeftCell="A4" workbookViewId="0">
      <selection activeCell="I4" sqref="I4:I15"/>
    </sheetView>
  </sheetViews>
  <sheetFormatPr defaultRowHeight="13.5"/>
  <cols>
    <col min="3" max="3" width="12" customWidth="1"/>
  </cols>
  <sheetData>
    <row r="3" spans="2:11">
      <c r="B3" t="s">
        <v>3063</v>
      </c>
    </row>
    <row r="4" spans="2:11">
      <c r="B4" t="s">
        <v>3064</v>
      </c>
      <c r="C4" t="s">
        <v>3065</v>
      </c>
      <c r="D4" t="s">
        <v>3066</v>
      </c>
      <c r="E4" t="s">
        <v>3067</v>
      </c>
      <c r="F4" t="s">
        <v>3068</v>
      </c>
      <c r="G4" t="s">
        <v>3069</v>
      </c>
      <c r="I4" s="2950">
        <v>0.5</v>
      </c>
      <c r="J4" s="2949" t="s">
        <v>3088</v>
      </c>
    </row>
    <row r="5" spans="2:11" ht="27" customHeight="1">
      <c r="B5" t="s">
        <v>3070</v>
      </c>
      <c r="C5" s="3" t="s">
        <v>3071</v>
      </c>
      <c r="D5">
        <v>32</v>
      </c>
      <c r="E5">
        <v>45121.7</v>
      </c>
      <c r="F5">
        <v>13644.27</v>
      </c>
      <c r="G5" t="s">
        <v>3072</v>
      </c>
      <c r="H5">
        <v>30</v>
      </c>
      <c r="I5">
        <f>H5/D5</f>
        <v>0.9375</v>
      </c>
      <c r="J5" s="2950">
        <f>I5*$I$4</f>
        <v>0.46875</v>
      </c>
      <c r="K5">
        <f>ROUND(E5/$E$18*J5,2)</f>
        <v>0.09</v>
      </c>
    </row>
    <row r="6" spans="2:11" ht="27" customHeight="1">
      <c r="C6" s="3" t="s">
        <v>3073</v>
      </c>
      <c r="D6">
        <v>32</v>
      </c>
      <c r="G6" t="s">
        <v>3072</v>
      </c>
      <c r="H6">
        <v>29</v>
      </c>
      <c r="I6">
        <f t="shared" ref="I6:I15" si="0">H6/D6</f>
        <v>0.90625</v>
      </c>
      <c r="J6" s="2950">
        <f t="shared" ref="J6:J15" si="1">I6*$I$4</f>
        <v>0.453125</v>
      </c>
      <c r="K6" s="2949" t="s">
        <v>3089</v>
      </c>
    </row>
    <row r="7" spans="2:11" ht="27" customHeight="1">
      <c r="C7" s="3" t="s">
        <v>3074</v>
      </c>
      <c r="D7">
        <v>32</v>
      </c>
      <c r="E7">
        <v>40104.61</v>
      </c>
      <c r="F7">
        <v>9943.91</v>
      </c>
      <c r="G7" t="s">
        <v>3072</v>
      </c>
      <c r="H7">
        <v>26</v>
      </c>
      <c r="I7">
        <f t="shared" si="0"/>
        <v>0.8125</v>
      </c>
      <c r="J7" s="2950">
        <f t="shared" si="1"/>
        <v>0.40625</v>
      </c>
      <c r="K7">
        <f>ROUND(E7/$E$18*J7,2)</f>
        <v>7.0000000000000007E-2</v>
      </c>
    </row>
    <row r="8" spans="2:11" ht="27" customHeight="1">
      <c r="C8" s="3" t="s">
        <v>3075</v>
      </c>
      <c r="D8">
        <v>32</v>
      </c>
      <c r="G8" t="s">
        <v>3072</v>
      </c>
      <c r="H8">
        <v>25</v>
      </c>
      <c r="I8">
        <f t="shared" si="0"/>
        <v>0.78125</v>
      </c>
      <c r="J8" s="2950">
        <f t="shared" si="1"/>
        <v>0.390625</v>
      </c>
      <c r="K8" s="2949" t="s">
        <v>3090</v>
      </c>
    </row>
    <row r="9" spans="2:11" ht="27" customHeight="1">
      <c r="C9" s="3" t="s">
        <v>3076</v>
      </c>
      <c r="D9">
        <v>32</v>
      </c>
      <c r="E9">
        <v>35266.76</v>
      </c>
      <c r="F9">
        <v>7010.96</v>
      </c>
      <c r="G9" t="s">
        <v>3072</v>
      </c>
      <c r="H9">
        <v>31</v>
      </c>
      <c r="I9">
        <f t="shared" si="0"/>
        <v>0.96875</v>
      </c>
      <c r="J9" s="2950">
        <f t="shared" si="1"/>
        <v>0.484375</v>
      </c>
      <c r="K9">
        <f>ROUND(E9/$E$18*J9,2)</f>
        <v>0.08</v>
      </c>
    </row>
    <row r="10" spans="2:11" ht="27" customHeight="1">
      <c r="C10" s="3" t="s">
        <v>3077</v>
      </c>
      <c r="D10">
        <v>32</v>
      </c>
      <c r="G10" t="s">
        <v>3072</v>
      </c>
      <c r="H10">
        <v>31</v>
      </c>
      <c r="I10">
        <f t="shared" si="0"/>
        <v>0.96875</v>
      </c>
      <c r="J10" s="2950">
        <f t="shared" si="1"/>
        <v>0.484375</v>
      </c>
      <c r="K10" s="2949" t="s">
        <v>3090</v>
      </c>
    </row>
    <row r="11" spans="2:11" ht="27" customHeight="1">
      <c r="C11" s="3" t="s">
        <v>3078</v>
      </c>
      <c r="D11">
        <v>32</v>
      </c>
      <c r="E11">
        <v>34639.75</v>
      </c>
      <c r="F11">
        <v>6672.31</v>
      </c>
      <c r="G11" t="s">
        <v>3072</v>
      </c>
      <c r="H11">
        <v>28</v>
      </c>
      <c r="I11">
        <f t="shared" si="0"/>
        <v>0.875</v>
      </c>
      <c r="J11" s="2950">
        <f t="shared" si="1"/>
        <v>0.4375</v>
      </c>
      <c r="K11">
        <f>ROUND(E11/$E$18*J11,2)</f>
        <v>7.0000000000000007E-2</v>
      </c>
    </row>
    <row r="12" spans="2:11" ht="27" customHeight="1">
      <c r="C12" s="3" t="s">
        <v>3079</v>
      </c>
      <c r="D12">
        <v>32</v>
      </c>
      <c r="G12" t="s">
        <v>3072</v>
      </c>
      <c r="H12">
        <v>28</v>
      </c>
      <c r="I12">
        <f t="shared" si="0"/>
        <v>0.875</v>
      </c>
      <c r="J12" s="2950">
        <f t="shared" si="1"/>
        <v>0.4375</v>
      </c>
      <c r="K12" s="2949" t="s">
        <v>3091</v>
      </c>
    </row>
    <row r="13" spans="2:11" ht="27" customHeight="1">
      <c r="C13" s="3" t="s">
        <v>3080</v>
      </c>
      <c r="D13">
        <v>32</v>
      </c>
      <c r="E13">
        <v>25067.45</v>
      </c>
      <c r="F13">
        <v>8226.6200000000008</v>
      </c>
      <c r="G13" t="s">
        <v>3072</v>
      </c>
      <c r="H13">
        <v>0</v>
      </c>
      <c r="I13">
        <f t="shared" si="0"/>
        <v>0</v>
      </c>
      <c r="J13" s="2950">
        <f t="shared" si="1"/>
        <v>0</v>
      </c>
      <c r="K13">
        <f>ROUND(E13/$E$18*J13,2)</f>
        <v>0</v>
      </c>
    </row>
    <row r="14" spans="2:11" ht="27" customHeight="1">
      <c r="C14" s="3" t="s">
        <v>3081</v>
      </c>
      <c r="D14">
        <v>32</v>
      </c>
      <c r="E14">
        <v>23648.720000000001</v>
      </c>
      <c r="F14">
        <v>6749.21</v>
      </c>
      <c r="G14" t="s">
        <v>3072</v>
      </c>
      <c r="H14">
        <v>3</v>
      </c>
      <c r="I14">
        <f t="shared" si="0"/>
        <v>9.375E-2</v>
      </c>
      <c r="J14" s="2950">
        <f t="shared" si="1"/>
        <v>4.6875E-2</v>
      </c>
      <c r="K14">
        <f>ROUND(E14/$E$18*J14,2)</f>
        <v>0</v>
      </c>
    </row>
    <row r="15" spans="2:11" ht="27" customHeight="1">
      <c r="C15" s="3" t="s">
        <v>3082</v>
      </c>
      <c r="D15">
        <v>4</v>
      </c>
      <c r="E15">
        <v>20850.46</v>
      </c>
      <c r="F15">
        <v>12197.59</v>
      </c>
      <c r="G15" t="s">
        <v>1373</v>
      </c>
      <c r="H15">
        <v>4</v>
      </c>
      <c r="I15">
        <f t="shared" si="0"/>
        <v>1</v>
      </c>
      <c r="J15" s="2950">
        <f t="shared" si="1"/>
        <v>0.5</v>
      </c>
      <c r="K15">
        <f>ROUND(E15/$E$18*J15,2)</f>
        <v>0.05</v>
      </c>
    </row>
    <row r="16" spans="2:11">
      <c r="C16" t="s">
        <v>37</v>
      </c>
      <c r="E16">
        <f>SUM(E5:E15)-F16</f>
        <v>160254.58000000002</v>
      </c>
      <c r="F16">
        <f>SUM(F5:F15)</f>
        <v>64444.869999999995</v>
      </c>
      <c r="K16">
        <f>SUM(K5:K14)</f>
        <v>0.31</v>
      </c>
    </row>
    <row r="17" spans="4:6">
      <c r="D17" s="2949" t="s">
        <v>3098</v>
      </c>
      <c r="E17">
        <f>SUM(E5:E14)-F17</f>
        <v>151601.71000000002</v>
      </c>
      <c r="F17">
        <f>SUM(F5:F14)</f>
        <v>52247.28</v>
      </c>
    </row>
    <row r="18" spans="4:6">
      <c r="E18">
        <f>E16+F16</f>
        <v>224699.45</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K1" sqref="K1"/>
    </sheetView>
  </sheetViews>
  <sheetFormatPr defaultRowHeight="13.5"/>
  <cols>
    <col min="11" max="12" width="9" style="2955"/>
  </cols>
  <sheetData>
    <row r="1" spans="1:12">
      <c r="A1" s="2949" t="s">
        <v>3099</v>
      </c>
      <c r="B1" s="2949" t="s">
        <v>3098</v>
      </c>
      <c r="C1" s="2949" t="s">
        <v>3100</v>
      </c>
      <c r="D1" s="2949" t="s">
        <v>3101</v>
      </c>
      <c r="K1" s="2956">
        <v>0.5</v>
      </c>
    </row>
    <row r="2" spans="1:12">
      <c r="A2">
        <v>20</v>
      </c>
      <c r="B2">
        <v>12315.9</v>
      </c>
      <c r="C2">
        <v>3415.77</v>
      </c>
      <c r="D2">
        <f>128.49+16.56</f>
        <v>145.05000000000001</v>
      </c>
      <c r="E2">
        <f>SUM(B2:D2)</f>
        <v>15876.72</v>
      </c>
      <c r="I2">
        <v>32</v>
      </c>
      <c r="J2">
        <v>30</v>
      </c>
      <c r="K2" s="2955">
        <f>ROUND(J2/I2*$K$1,2)</f>
        <v>0.47</v>
      </c>
      <c r="L2" s="2955">
        <f>ROUND(K2*E2/$E$13,2)</f>
        <v>0.05</v>
      </c>
    </row>
    <row r="3" spans="1:12">
      <c r="A3">
        <v>21</v>
      </c>
      <c r="B3">
        <v>13812.6</v>
      </c>
      <c r="C3">
        <v>1333.91</v>
      </c>
      <c r="D3">
        <v>209.61</v>
      </c>
      <c r="E3">
        <f t="shared" ref="E3:E8" si="0">SUM(B3:D3)</f>
        <v>15356.12</v>
      </c>
      <c r="I3">
        <v>32</v>
      </c>
      <c r="J3">
        <v>29</v>
      </c>
      <c r="K3" s="2955">
        <f t="shared" ref="K3:K12" si="1">ROUND(J3/I3*$K$1,2)</f>
        <v>0.45</v>
      </c>
      <c r="L3" s="2955">
        <f t="shared" ref="L3:L12" si="2">ROUND(K3*E3/$E$13,2)</f>
        <v>0.05</v>
      </c>
    </row>
    <row r="4" spans="1:12">
      <c r="A4">
        <v>22</v>
      </c>
      <c r="B4">
        <v>13786.5</v>
      </c>
      <c r="C4">
        <f>606.21+701.71</f>
        <v>1307.92</v>
      </c>
      <c r="D4">
        <f>162.57+106.22</f>
        <v>268.78999999999996</v>
      </c>
      <c r="E4">
        <f t="shared" si="0"/>
        <v>15363.21</v>
      </c>
      <c r="I4">
        <v>32</v>
      </c>
      <c r="J4">
        <v>26</v>
      </c>
      <c r="K4" s="2955">
        <f t="shared" si="1"/>
        <v>0.41</v>
      </c>
      <c r="L4" s="2955">
        <f t="shared" si="2"/>
        <v>0.04</v>
      </c>
    </row>
    <row r="5" spans="1:12">
      <c r="A5">
        <v>23</v>
      </c>
      <c r="B5">
        <v>12357.9</v>
      </c>
      <c r="C5">
        <v>2538.75</v>
      </c>
      <c r="D5">
        <v>131.54</v>
      </c>
      <c r="E5">
        <f t="shared" si="0"/>
        <v>15028.19</v>
      </c>
      <c r="I5">
        <v>32</v>
      </c>
      <c r="J5">
        <v>25</v>
      </c>
      <c r="K5" s="2955">
        <f t="shared" si="1"/>
        <v>0.39</v>
      </c>
      <c r="L5" s="2955">
        <f t="shared" si="2"/>
        <v>0.04</v>
      </c>
    </row>
    <row r="6" spans="1:12">
      <c r="A6">
        <v>24</v>
      </c>
      <c r="B6">
        <v>12321.9</v>
      </c>
      <c r="C6">
        <f>573.32+384.3</f>
        <v>957.62000000000012</v>
      </c>
      <c r="D6">
        <v>87.76</v>
      </c>
      <c r="E6">
        <f t="shared" si="0"/>
        <v>13367.28</v>
      </c>
      <c r="I6">
        <v>32</v>
      </c>
      <c r="J6">
        <v>31</v>
      </c>
      <c r="K6" s="2955">
        <f t="shared" si="1"/>
        <v>0.48</v>
      </c>
      <c r="L6" s="2955">
        <f t="shared" si="2"/>
        <v>0.04</v>
      </c>
    </row>
    <row r="7" spans="1:12">
      <c r="A7">
        <v>25</v>
      </c>
      <c r="B7">
        <v>13809.3</v>
      </c>
      <c r="C7">
        <v>980.26</v>
      </c>
      <c r="D7">
        <v>238.14</v>
      </c>
      <c r="E7">
        <f t="shared" si="0"/>
        <v>15027.699999999999</v>
      </c>
      <c r="I7">
        <v>32</v>
      </c>
      <c r="J7">
        <v>31</v>
      </c>
      <c r="K7" s="2955">
        <f t="shared" si="1"/>
        <v>0.48</v>
      </c>
      <c r="L7" s="2955">
        <f t="shared" si="2"/>
        <v>0.05</v>
      </c>
    </row>
    <row r="8" spans="1:12">
      <c r="A8">
        <v>26</v>
      </c>
      <c r="B8">
        <v>14255.97</v>
      </c>
      <c r="D8">
        <v>325.02</v>
      </c>
      <c r="E8">
        <f t="shared" si="0"/>
        <v>14580.99</v>
      </c>
      <c r="I8">
        <v>32</v>
      </c>
      <c r="J8">
        <v>28</v>
      </c>
      <c r="K8" s="2955">
        <f t="shared" si="1"/>
        <v>0.44</v>
      </c>
      <c r="L8" s="2955">
        <f t="shared" si="2"/>
        <v>0.04</v>
      </c>
    </row>
    <row r="9" spans="1:12">
      <c r="A9">
        <v>27</v>
      </c>
      <c r="B9">
        <v>12293.1</v>
      </c>
      <c r="C9">
        <v>1127.56</v>
      </c>
      <c r="D9">
        <f>42.62+117.52</f>
        <v>160.13999999999999</v>
      </c>
      <c r="E9">
        <f>SUM(B9:D9)</f>
        <v>13580.8</v>
      </c>
      <c r="I9">
        <v>32</v>
      </c>
      <c r="J9">
        <v>28</v>
      </c>
      <c r="K9" s="2955">
        <f t="shared" si="1"/>
        <v>0.44</v>
      </c>
      <c r="L9" s="2955">
        <f t="shared" si="2"/>
        <v>0.04</v>
      </c>
    </row>
    <row r="10" spans="1:12">
      <c r="A10">
        <v>28</v>
      </c>
      <c r="B10">
        <v>0</v>
      </c>
      <c r="C10">
        <v>0</v>
      </c>
      <c r="D10">
        <v>0</v>
      </c>
      <c r="E10">
        <f t="shared" ref="E10:E12" si="3">SUM(B10:D10)</f>
        <v>0</v>
      </c>
      <c r="I10">
        <v>32</v>
      </c>
      <c r="J10">
        <v>0</v>
      </c>
      <c r="K10" s="2955">
        <f t="shared" si="1"/>
        <v>0</v>
      </c>
      <c r="L10" s="2955">
        <f t="shared" si="2"/>
        <v>0</v>
      </c>
    </row>
    <row r="11" spans="1:12">
      <c r="A11">
        <v>29</v>
      </c>
      <c r="B11">
        <v>13787.4</v>
      </c>
      <c r="C11">
        <v>2989.31</v>
      </c>
      <c r="D11">
        <v>132.66</v>
      </c>
      <c r="E11">
        <f t="shared" si="3"/>
        <v>16909.37</v>
      </c>
      <c r="G11">
        <f>C12</f>
        <v>8626.5400000000009</v>
      </c>
      <c r="H11">
        <v>0.7</v>
      </c>
      <c r="I11">
        <v>32</v>
      </c>
      <c r="J11">
        <v>3</v>
      </c>
      <c r="K11" s="2955">
        <f t="shared" si="1"/>
        <v>0.05</v>
      </c>
      <c r="L11" s="2955">
        <f t="shared" si="2"/>
        <v>0.01</v>
      </c>
    </row>
    <row r="12" spans="1:12">
      <c r="A12">
        <v>30</v>
      </c>
      <c r="C12">
        <v>8626.5400000000009</v>
      </c>
      <c r="D12">
        <v>143.81</v>
      </c>
      <c r="E12">
        <f t="shared" si="3"/>
        <v>8770.35</v>
      </c>
      <c r="G12">
        <f>G13-G11</f>
        <v>14651.099999999999</v>
      </c>
      <c r="H12">
        <v>0.85</v>
      </c>
      <c r="I12">
        <v>4</v>
      </c>
      <c r="J12">
        <v>4</v>
      </c>
      <c r="K12" s="2955">
        <f t="shared" si="1"/>
        <v>0.5</v>
      </c>
      <c r="L12" s="2955">
        <f t="shared" si="2"/>
        <v>0.03</v>
      </c>
    </row>
    <row r="13" spans="1:12">
      <c r="B13">
        <f>SUM(B2:B12)</f>
        <v>118740.57</v>
      </c>
      <c r="C13">
        <f>SUM(C2:C12)</f>
        <v>23277.64</v>
      </c>
      <c r="D13">
        <f>SUM(D2:D12)</f>
        <v>1842.5199999999998</v>
      </c>
      <c r="E13">
        <f>SUM(E2:E12)</f>
        <v>143860.73000000001</v>
      </c>
      <c r="G13">
        <f>C13</f>
        <v>23277.64</v>
      </c>
      <c r="H13" s="2954">
        <f>ROUND(G11/G13*H11+G12/G13*H12,2)</f>
        <v>0.79</v>
      </c>
      <c r="L13" s="2955">
        <f>SUM(L2:L12)-L12</f>
        <v>0.36</v>
      </c>
    </row>
    <row r="14" spans="1:12">
      <c r="E14">
        <f>E13-D13</f>
        <v>142018.21000000002</v>
      </c>
    </row>
    <row r="16" spans="1:12">
      <c r="J16">
        <v>30</v>
      </c>
      <c r="K16" s="2955">
        <v>0.24</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2" sqref="P12"/>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1637</v>
      </c>
      <c r="B2" s="2981" t="s">
        <v>1638</v>
      </c>
      <c r="C2" s="2981" t="s">
        <v>1639</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7" t="s">
        <v>1634</v>
      </c>
      <c r="E3" s="1047" t="s">
        <v>1640</v>
      </c>
      <c r="F3" s="1047" t="s">
        <v>1634</v>
      </c>
      <c r="G3" s="1047" t="s">
        <v>1635</v>
      </c>
      <c r="H3" s="1047" t="s">
        <v>1634</v>
      </c>
      <c r="I3" s="1047" t="s">
        <v>1635</v>
      </c>
    </row>
    <row r="4" spans="1:9" ht="30">
      <c r="A4" s="1976" t="str">
        <f>项目基本情况!S2</f>
        <v>出让国有建设用地使用权及在建建筑物房地产</v>
      </c>
      <c r="B4" s="1047">
        <f>项目基本情况!C17</f>
        <v>143860.73000000001</v>
      </c>
      <c r="C4" s="1047">
        <f>项目基本情况!C18</f>
        <v>33165.410000000003</v>
      </c>
      <c r="D4" s="1047">
        <f ca="1">结果表!D118</f>
        <v>203600</v>
      </c>
      <c r="E4" s="1047">
        <f ca="1">结果表!E118</f>
        <v>14152</v>
      </c>
      <c r="F4" s="1047">
        <f ca="1">结果表!F118</f>
        <v>29086</v>
      </c>
      <c r="G4" s="1047">
        <f ca="1">结果表!G118</f>
        <v>2022</v>
      </c>
      <c r="H4" s="1047">
        <f ca="1">结果表!H118</f>
        <v>232686</v>
      </c>
      <c r="I4" s="1047">
        <f ca="1">结果表!I118</f>
        <v>16174</v>
      </c>
    </row>
    <row r="5" spans="1:9" ht="30" customHeight="1">
      <c r="A5" s="2975" t="s">
        <v>1636</v>
      </c>
      <c r="B5" s="2975"/>
      <c r="C5" s="2975"/>
      <c r="D5" s="2976" t="str">
        <f ca="1">结果表!D119</f>
        <v>贰拾亿叁仟陆佰万元整</v>
      </c>
      <c r="E5" s="2976"/>
      <c r="F5" s="2976" t="str">
        <f ca="1">结果表!F119</f>
        <v>贰亿玖仟零捌拾陆万元整</v>
      </c>
      <c r="G5" s="2976"/>
      <c r="H5" s="2976" t="str">
        <f ca="1">结果表!H119</f>
        <v>贰拾叁亿贰仟陆佰捌拾陆万元整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1636</v>
      </c>
      <c r="B7" s="2975"/>
      <c r="C7" s="2975"/>
      <c r="D7" s="2977" t="str">
        <f>结果表!D121</f>
        <v>零元整</v>
      </c>
      <c r="E7" s="2978"/>
      <c r="F7" s="2978"/>
      <c r="G7" s="2978"/>
      <c r="H7" s="2978"/>
      <c r="I7" s="2979"/>
    </row>
    <row r="8" spans="1:9" ht="15.75">
      <c r="A8" s="2974" t="str">
        <f>结果表!A122</f>
        <v>房地产抵押价值</v>
      </c>
      <c r="B8" s="2974"/>
      <c r="C8" s="2974"/>
      <c r="D8" s="2974">
        <f ca="1">结果表!D122</f>
        <v>232686</v>
      </c>
      <c r="E8" s="2974"/>
      <c r="F8" s="2974"/>
      <c r="G8" s="2974"/>
      <c r="H8" s="2974"/>
      <c r="I8" s="2974"/>
    </row>
    <row r="9" spans="1:9" ht="15">
      <c r="A9" s="2975" t="s">
        <v>1636</v>
      </c>
      <c r="B9" s="2975"/>
      <c r="C9" s="2975"/>
      <c r="D9" s="2976" t="str">
        <f ca="1">结果表!D123</f>
        <v>贰拾叁亿贰仟陆佰捌拾陆万元整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1636</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1636</v>
      </c>
      <c r="B13" s="2971"/>
      <c r="C13" s="2971"/>
      <c r="D13" s="2972" t="e">
        <f>结果表!D127</f>
        <v>#VALUE!</v>
      </c>
      <c r="E13" s="2972"/>
      <c r="F13" s="2972"/>
      <c r="G13" s="2972"/>
      <c r="H13" s="2972"/>
      <c r="I13" s="2972"/>
    </row>
    <row r="14" spans="1:9" ht="15" thickTop="1">
      <c r="A14" s="2973" t="s">
        <v>1641</v>
      </c>
      <c r="B14" s="2973"/>
      <c r="C14" s="2973"/>
      <c r="D14" s="2973"/>
      <c r="E14" s="2973"/>
      <c r="F14" s="2973"/>
      <c r="G14" s="2973"/>
      <c r="H14" s="2973"/>
      <c r="I14" s="297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8" t="s">
        <v>1658</v>
      </c>
      <c r="B1" s="2988"/>
      <c r="C1" s="2988"/>
      <c r="D1" s="2988"/>
    </row>
    <row r="2" spans="1:4" ht="18">
      <c r="A2" s="2989" t="s">
        <v>1642</v>
      </c>
      <c r="B2" s="2989"/>
      <c r="C2" s="2989"/>
      <c r="D2" s="2989"/>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崔锴</v>
      </c>
      <c r="B5" s="1982">
        <f ca="1">项目基本情况!E4</f>
        <v>1120100036</v>
      </c>
      <c r="C5" s="1985"/>
      <c r="D5" s="1984" t="s">
        <v>1647</v>
      </c>
    </row>
    <row r="6" spans="1:4" ht="18">
      <c r="A6" s="2989" t="s">
        <v>1648</v>
      </c>
      <c r="B6" s="2989"/>
      <c r="C6" s="2989"/>
      <c r="D6" s="298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0" t="s">
        <v>1651</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（1）根据估价对象、《国有土地使用权》复印件，截至价值时点，估价对象抵押权未见登记。</v>
      </c>
      <c r="B15" s="2982"/>
      <c r="C15" s="2982"/>
      <c r="D15" s="2982"/>
    </row>
    <row r="16" spans="1:4" ht="30" customHeight="1">
      <c r="A16" s="2984" t="s">
        <v>1652</v>
      </c>
      <c r="B16" s="2984"/>
      <c r="C16" s="2984"/>
      <c r="D16" s="2984"/>
    </row>
    <row r="17" spans="1:4" ht="144" customHeight="1">
      <c r="A17" s="2984" t="s">
        <v>1653</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1654</v>
      </c>
      <c r="B22" s="2986"/>
      <c r="C22" s="2986"/>
      <c r="D22" s="298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6" t="s">
        <v>1665</v>
      </c>
      <c r="B15" s="2991" t="s">
        <v>136</v>
      </c>
      <c r="C15" s="2992"/>
    </row>
    <row r="16" spans="1:7" ht="13.5">
      <c r="A16" s="2997"/>
      <c r="B16" s="2991" t="s">
        <v>69</v>
      </c>
      <c r="C16" s="2992"/>
    </row>
    <row r="17" spans="1:3" ht="13.5">
      <c r="A17" s="2997"/>
      <c r="B17" s="2994" t="s">
        <v>1666</v>
      </c>
      <c r="C17" s="2003" t="s">
        <v>1665</v>
      </c>
    </row>
    <row r="18" spans="1:3" ht="13.5">
      <c r="A18" s="2997"/>
      <c r="B18" s="2994"/>
      <c r="C18" s="2003" t="s">
        <v>1667</v>
      </c>
    </row>
    <row r="19" spans="1:3" ht="13.5">
      <c r="A19" s="2997"/>
      <c r="B19" s="2994"/>
      <c r="C19" s="2003" t="s">
        <v>1668</v>
      </c>
    </row>
    <row r="20" spans="1:3" ht="13.5">
      <c r="A20" s="2998"/>
      <c r="B20" s="2993" t="s">
        <v>1669</v>
      </c>
      <c r="C20" s="2992"/>
    </row>
    <row r="21" spans="1:3" ht="13.5">
      <c r="A21" s="2004" t="s">
        <v>1670</v>
      </c>
      <c r="B21" s="2005"/>
      <c r="C21" s="2006"/>
    </row>
    <row r="22" spans="1:3" ht="13.5">
      <c r="A22" s="2995" t="s">
        <v>1671</v>
      </c>
      <c r="B22" s="2993" t="s">
        <v>1672</v>
      </c>
      <c r="C22" s="2992"/>
    </row>
    <row r="23" spans="1:3" ht="13.5">
      <c r="A23" s="2995"/>
      <c r="B23" s="2993" t="s">
        <v>1673</v>
      </c>
      <c r="C23" s="2992"/>
    </row>
    <row r="24" spans="1:3" ht="13.5">
      <c r="A24" s="2995"/>
      <c r="B24" s="2993" t="s">
        <v>1674</v>
      </c>
      <c r="C24" s="2992"/>
    </row>
    <row r="25" spans="1:3" ht="13.5">
      <c r="A25" s="2995"/>
      <c r="B25" s="2994" t="s">
        <v>1675</v>
      </c>
      <c r="C25" s="2003" t="s">
        <v>1676</v>
      </c>
    </row>
    <row r="26" spans="1:3" ht="13.5">
      <c r="A26" s="2995"/>
      <c r="B26" s="2994"/>
      <c r="C26" s="2003" t="s">
        <v>1677</v>
      </c>
    </row>
    <row r="27" spans="1:3" ht="13.5">
      <c r="A27" s="2995"/>
      <c r="B27" s="2994"/>
      <c r="C27" s="2003" t="s">
        <v>1678</v>
      </c>
    </row>
    <row r="28" spans="1:3" ht="13.5">
      <c r="A28" s="2995"/>
      <c r="B28" s="2994"/>
      <c r="C28" s="2003" t="s">
        <v>1679</v>
      </c>
    </row>
    <row r="29" spans="1:3" ht="13.5">
      <c r="A29" s="2995"/>
      <c r="B29" s="2994"/>
      <c r="C29" s="2003" t="s">
        <v>1680</v>
      </c>
    </row>
    <row r="30" spans="1:3" ht="13.5">
      <c r="A30" s="2995"/>
      <c r="B30" s="2994"/>
      <c r="C30" s="2003" t="s">
        <v>1681</v>
      </c>
    </row>
    <row r="31" spans="1:3" ht="13.5">
      <c r="A31" s="2995"/>
      <c r="B31" s="2994"/>
      <c r="C31" s="2003" t="s">
        <v>1682</v>
      </c>
    </row>
    <row r="32" spans="1:3" ht="13.5">
      <c r="A32" s="2995"/>
      <c r="B32" s="2994"/>
      <c r="C32" s="2003" t="s">
        <v>1683</v>
      </c>
    </row>
    <row r="33" spans="1:3" ht="13.5">
      <c r="A33" s="2995"/>
      <c r="B33" s="2994"/>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43559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3038</v>
      </c>
      <c r="B14" s="1025">
        <f ca="1">IF(C14&lt;B2,"已过期",1120040230)</f>
        <v>1120040230</v>
      </c>
      <c r="C14" s="2352">
        <v>43835</v>
      </c>
      <c r="D14" s="2355" t="s">
        <v>3038</v>
      </c>
      <c r="E14" s="1025">
        <f ca="1">IF(F14&lt;B2,"已过期",98030020)</f>
        <v>98030020</v>
      </c>
      <c r="F14" s="1033">
        <v>47118</v>
      </c>
    </row>
    <row r="15" spans="1:6" ht="24" customHeight="1">
      <c r="A15" s="1706" t="s">
        <v>3039</v>
      </c>
      <c r="B15" s="1025">
        <f ca="1">IF(C15&lt;B2,"已过期",1120070085)</f>
        <v>1120070085</v>
      </c>
      <c r="C15" s="2352">
        <v>43814</v>
      </c>
      <c r="D15" s="2356" t="s">
        <v>3039</v>
      </c>
      <c r="E15" s="1025">
        <f ca="1">IF(F15&lt;B2,"已过期",2004110128)</f>
        <v>2004110128</v>
      </c>
      <c r="F15" s="1026">
        <v>47118</v>
      </c>
    </row>
    <row r="16" spans="1:6" ht="24" customHeight="1">
      <c r="A16" s="1705" t="s">
        <v>3040</v>
      </c>
      <c r="B16" s="1025">
        <f ca="1">IF(C16&lt;B2,"已过期",1120140022)</f>
        <v>1120140022</v>
      </c>
      <c r="C16" s="2942">
        <v>44029</v>
      </c>
      <c r="D16" s="2355" t="s">
        <v>3040</v>
      </c>
      <c r="E16" s="1025">
        <f ca="1">IF(F16&lt;B2,"已过期",2008110059)</f>
        <v>2008110059</v>
      </c>
      <c r="F16" s="1033">
        <v>47177</v>
      </c>
    </row>
    <row r="17" spans="1:7" ht="24" customHeight="1">
      <c r="A17" s="1705"/>
      <c r="B17" s="1025"/>
      <c r="C17" s="2352"/>
      <c r="D17" s="2355" t="s">
        <v>3041</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2">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9" t="s">
        <v>843</v>
      </c>
      <c r="B25" s="2999"/>
      <c r="C25" s="2999"/>
      <c r="D25" s="2999"/>
      <c r="E25" s="2999"/>
      <c r="F25" s="2999"/>
      <c r="G25" s="2999"/>
    </row>
    <row r="26" spans="1:7" s="1028" customFormat="1" ht="24" customHeight="1">
      <c r="A26" s="3000" t="s">
        <v>844</v>
      </c>
      <c r="B26" s="3000"/>
      <c r="C26" s="3001"/>
      <c r="D26" s="3002" t="s">
        <v>845</v>
      </c>
      <c r="E26" s="3000"/>
      <c r="F26" s="3000"/>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测绘面积</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2019-04-04T02:43:57Z</dcterms:modified>
</cp:coreProperties>
</file>