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高层住宅" sheetId="21" r:id="rId30"/>
    <sheet name="不动产比较法-合院" sheetId="71" r:id="rId31"/>
    <sheet name="不动产收益法-商业" sheetId="15" r:id="rId32"/>
    <sheet name="酒店收入计算" sheetId="57" state="hidden" r:id="rId33"/>
    <sheet name="成本逼近法" sheetId="11" state="hidden" r:id="rId34"/>
    <sheet name="不动产收益法-车库"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state="hidden" r:id="rId43"/>
    <sheet name="土地案例" sheetId="69" r:id="rId44"/>
    <sheet name="别墅案例" sheetId="72" r:id="rId45"/>
    <sheet name="商业" sheetId="73" r:id="rId46"/>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29" hidden="1">'不动产比较法-高层住宅'!$A$1:$L$49</definedName>
    <definedName name="_xlnm._FilterDatabase" localSheetId="37" hidden="1">'不动产比较法-工业'!$A$1:$L$43</definedName>
    <definedName name="_xlnm._FilterDatabase" localSheetId="30" hidden="1">'不动产比较法-合院'!$A$1:$L$49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0">'数据-基础表'!$A$1:$AT$16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'不动产比较法-合院'!$B$88:$M$88</definedName>
    <definedName name="住宅朝向">'不动产比较法-高层住宅'!$B$88:$M$88</definedName>
    <definedName name="住宅房型" localSheetId="30">'不动产比较法-合院'!$B$118:$M$118</definedName>
    <definedName name="住宅房型">'不动产比较法-高层住宅'!$B$118:$M$118</definedName>
    <definedName name="住宅公共部分装修" localSheetId="30">'不动产比较法-合院'!$B$109:$M$109</definedName>
    <definedName name="住宅公共部分装修">'不动产比较法-高层住宅'!$B$109:$M$109</definedName>
    <definedName name="住宅基础设施水平" localSheetId="30">'不动产比较法-合院'!$B$116:$M$116</definedName>
    <definedName name="住宅基础设施水平">'不动产比较法-高层住宅'!$B$116:$M$116</definedName>
    <definedName name="住宅建筑结构" localSheetId="30">'不动产比较法-合院'!$B$105:$M$105</definedName>
    <definedName name="住宅建筑结构">'不动产比较法-高层住宅'!$B$105:$M$105</definedName>
    <definedName name="住宅建筑类型" localSheetId="30">'不动产比较法-合院'!$B$100:$M$100</definedName>
    <definedName name="住宅建筑类型">'不动产比较法-高层住宅'!$B$100:$M$100</definedName>
    <definedName name="住宅建筑品质" localSheetId="30">'不动产比较法-合院'!$B$107:$M$107</definedName>
    <definedName name="住宅建筑品质">'不动产比较法-高层住宅'!$B$107:$M$107</definedName>
    <definedName name="住宅交易情况" localSheetId="30">'不动产比较法-合院'!$A$61:$M$61</definedName>
    <definedName name="住宅交易情况">'不动产比较法-高层住宅'!$A$61:$M$61</definedName>
    <definedName name="住宅楼层" localSheetId="30">'不动产比较法-合院'!$B$86:$M$86</definedName>
    <definedName name="住宅楼层">'不动产比较法-高层住宅'!$B$86:$M$86</definedName>
    <definedName name="住宅内部装修" localSheetId="30">'不动产比较法-合院'!$B$122:$M$122</definedName>
    <definedName name="住宅内部装修">'不动产比较法-高层住宅'!$B$122:$M$122</definedName>
    <definedName name="住宅物业管理" localSheetId="30">'不动产比较法-合院'!$B$114:$M$114</definedName>
    <definedName name="住宅物业管理">'不动产比较法-高层住宅'!$B$114:$M$114</definedName>
    <definedName name="住宅用途" localSheetId="30">'不动产比较法-合院'!$B$63:$M$63</definedName>
    <definedName name="住宅用途">'不动产比较法-高层住宅'!$B$63:$M$63</definedName>
    <definedName name="住宅主力户型面积" localSheetId="30">'不动产比较法-合院'!$B$120:$M$120</definedName>
    <definedName name="住宅主力户型面积">'不动产比较法-高层住宅'!$B$120:$M$120</definedName>
    <definedName name="注册房地产估价师">估价师及机构信息!$A$3:$A$24</definedName>
  </definedNames>
  <calcPr calcId="145621"/>
</workbook>
</file>

<file path=xl/calcChain.xml><?xml version="1.0" encoding="utf-8"?>
<calcChain xmlns="http://schemas.openxmlformats.org/spreadsheetml/2006/main">
  <c r="V24" i="1" l="1"/>
  <c r="V25" i="1" s="1"/>
  <c r="U8" i="1" s="1"/>
  <c r="AH18" i="1" l="1"/>
  <c r="AH19" i="1"/>
  <c r="AH20" i="1"/>
  <c r="AH21" i="1"/>
  <c r="C19" i="6"/>
  <c r="A6" i="1"/>
  <c r="C20" i="6"/>
  <c r="A7" i="1"/>
  <c r="C21" i="6"/>
  <c r="A8" i="1"/>
  <c r="C22" i="6"/>
  <c r="A9" i="1"/>
  <c r="G1" i="70"/>
  <c r="AH9" i="1"/>
  <c r="C1" i="65"/>
  <c r="N1" i="65"/>
  <c r="B43" i="1"/>
  <c r="B41" i="1"/>
  <c r="F32" i="70"/>
  <c r="F33" i="70"/>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O16" i="3"/>
  <c r="BE16" i="3"/>
  <c r="BF16" i="3"/>
  <c r="BG16" i="3"/>
  <c r="BH16" i="3"/>
  <c r="BI16" i="3"/>
  <c r="BJ16" i="3"/>
  <c r="BK16" i="3"/>
  <c r="BA16" i="3"/>
  <c r="AD16" i="3"/>
  <c r="BM16" i="3"/>
  <c r="BN16" i="3"/>
  <c r="BO16" i="3"/>
  <c r="BP16" i="3"/>
  <c r="AL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G22" i="6"/>
  <c r="E22" i="6"/>
  <c r="E3" i="6"/>
  <c r="D22" i="6"/>
  <c r="BQ5" i="3"/>
  <c r="BS5" i="3"/>
  <c r="F28" i="6"/>
  <c r="BR5" i="3"/>
  <c r="BT5" i="3"/>
  <c r="G28" i="6"/>
  <c r="E28" i="6"/>
  <c r="F19" i="6"/>
  <c r="E19" i="6"/>
  <c r="F20" i="6"/>
  <c r="E20" i="6"/>
  <c r="F21" i="6"/>
  <c r="E21" i="6"/>
  <c r="E23" i="6"/>
  <c r="E24" i="6"/>
  <c r="E25" i="6"/>
  <c r="E26" i="6"/>
  <c r="BA5" i="3"/>
  <c r="E27" i="6"/>
  <c r="K22" i="6"/>
  <c r="L22" i="6"/>
  <c r="M22" i="6"/>
  <c r="I22" i="6"/>
  <c r="H22" i="6"/>
  <c r="R22" i="6"/>
  <c r="R9" i="1"/>
  <c r="B52" i="1"/>
  <c r="F34" i="70"/>
  <c r="K9" i="1"/>
  <c r="M9" i="1"/>
  <c r="T4" i="1"/>
  <c r="K14" i="1"/>
  <c r="M14" i="1"/>
  <c r="T9" i="1" s="1"/>
  <c r="T16" i="1" s="1"/>
  <c r="S9" i="1"/>
  <c r="K19" i="6"/>
  <c r="S6" i="1"/>
  <c r="K20" i="6"/>
  <c r="S7" i="1"/>
  <c r="K21" i="6"/>
  <c r="S8" i="1"/>
  <c r="A10" i="1"/>
  <c r="S10" i="1"/>
  <c r="A11" i="1"/>
  <c r="S11" i="1"/>
  <c r="A12" i="1"/>
  <c r="S12" i="1"/>
  <c r="A13" i="1"/>
  <c r="S13" i="1"/>
  <c r="S16" i="1"/>
  <c r="F15" i="70"/>
  <c r="F17" i="70"/>
  <c r="F18" i="70"/>
  <c r="F20" i="70"/>
  <c r="H1" i="65"/>
  <c r="B22" i="1"/>
  <c r="C2" i="65"/>
  <c r="I1" i="65"/>
  <c r="F23" i="70"/>
  <c r="F21" i="70"/>
  <c r="F28" i="70"/>
  <c r="B2" i="1"/>
  <c r="C42" i="1"/>
  <c r="C28" i="70"/>
  <c r="G19" i="4"/>
  <c r="F9" i="1"/>
  <c r="M47" i="70"/>
  <c r="J50" i="70"/>
  <c r="J51" i="70"/>
  <c r="L46" i="70"/>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5" i="46"/>
  <c r="B73" i="39"/>
  <c r="F9" i="39"/>
  <c r="AA9" i="39"/>
  <c r="F10" i="39"/>
  <c r="AA10" i="39"/>
  <c r="F11" i="39"/>
  <c r="AA11" i="39"/>
  <c r="D83" i="39"/>
  <c r="E83" i="39"/>
  <c r="F83" i="39"/>
  <c r="G83" i="39"/>
  <c r="F13" i="39"/>
  <c r="AA13" i="39"/>
  <c r="B84" i="39"/>
  <c r="F14" i="39"/>
  <c r="AA14" i="39"/>
  <c r="B86" i="39"/>
  <c r="F15" i="39"/>
  <c r="AA15" i="39"/>
  <c r="B88" i="39"/>
  <c r="F16" i="39"/>
  <c r="AA16" i="39"/>
  <c r="D91" i="39"/>
  <c r="E91" i="39"/>
  <c r="F17" i="39"/>
  <c r="AA17" i="39"/>
  <c r="D93" i="39"/>
  <c r="E93" i="39"/>
  <c r="F19" i="39"/>
  <c r="AA19" i="39"/>
  <c r="F21" i="39"/>
  <c r="AA21" i="39"/>
  <c r="D97" i="39"/>
  <c r="E97" i="39"/>
  <c r="F23" i="39"/>
  <c r="AA23" i="39"/>
  <c r="D99" i="39"/>
  <c r="F25" i="39"/>
  <c r="AA25" i="39"/>
  <c r="D101" i="39"/>
  <c r="E101" i="39"/>
  <c r="F27" i="39"/>
  <c r="AA27" i="39"/>
  <c r="D103" i="39"/>
  <c r="E103" i="39"/>
  <c r="F29" i="39"/>
  <c r="AA29" i="39"/>
  <c r="F31" i="39"/>
  <c r="AA31" i="39"/>
  <c r="B106" i="39"/>
  <c r="D107" i="39"/>
  <c r="F33" i="39"/>
  <c r="AA33" i="39"/>
  <c r="D109" i="39"/>
  <c r="E109" i="39"/>
  <c r="F109" i="39"/>
  <c r="F34" i="39"/>
  <c r="AA34" i="39"/>
  <c r="F36" i="39"/>
  <c r="AA36" i="39"/>
  <c r="B112" i="39"/>
  <c r="F37" i="39"/>
  <c r="AA37" i="39"/>
  <c r="B114" i="39"/>
  <c r="F38" i="39"/>
  <c r="AA38" i="39"/>
  <c r="B116" i="39"/>
  <c r="F39" i="39"/>
  <c r="AA39" i="39"/>
  <c r="C40" i="39"/>
  <c r="F40" i="39"/>
  <c r="AA40" i="39"/>
  <c r="D122" i="39"/>
  <c r="F41" i="39"/>
  <c r="AA41" i="39"/>
  <c r="D124" i="39"/>
  <c r="F42" i="39"/>
  <c r="AA42" i="39"/>
  <c r="D126" i="39"/>
  <c r="E126" i="39"/>
  <c r="F126" i="39"/>
  <c r="G126" i="39"/>
  <c r="F43" i="39"/>
  <c r="AA43" i="39"/>
  <c r="D128" i="39"/>
  <c r="F44" i="39"/>
  <c r="AA44" i="39"/>
  <c r="B129" i="39"/>
  <c r="F45" i="39"/>
  <c r="AA45" i="39"/>
  <c r="B131" i="39"/>
  <c r="F46" i="39"/>
  <c r="AA46" i="39"/>
  <c r="B133" i="39"/>
  <c r="F47" i="39"/>
  <c r="AA47" i="39"/>
  <c r="G1" i="15"/>
  <c r="K8" i="1"/>
  <c r="F32" i="15"/>
  <c r="F33" i="15"/>
  <c r="D21" i="6"/>
  <c r="L21" i="6"/>
  <c r="M21" i="6"/>
  <c r="I21" i="6"/>
  <c r="H21" i="6"/>
  <c r="R21" i="6"/>
  <c r="R8" i="1"/>
  <c r="F34" i="15"/>
  <c r="M8" i="1"/>
  <c r="T8" i="1"/>
  <c r="F15" i="15"/>
  <c r="F17" i="15"/>
  <c r="F18" i="15"/>
  <c r="F20" i="15"/>
  <c r="F23" i="15"/>
  <c r="F21" i="15"/>
  <c r="F28" i="15"/>
  <c r="C28" i="15"/>
  <c r="E19" i="4"/>
  <c r="F8" i="1"/>
  <c r="M47" i="15"/>
  <c r="J50" i="15"/>
  <c r="J51" i="15"/>
  <c r="L46" i="15"/>
  <c r="D69" i="21"/>
  <c r="E69" i="21"/>
  <c r="F69" i="21"/>
  <c r="G69" i="21"/>
  <c r="C11" i="21"/>
  <c r="F11" i="21"/>
  <c r="AA11" i="21"/>
  <c r="C33" i="21"/>
  <c r="F33" i="21"/>
  <c r="AA33"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11" i="21"/>
  <c r="AB11" i="21"/>
  <c r="H33" i="21"/>
  <c r="AB33"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H69" i="21"/>
  <c r="J11" i="21"/>
  <c r="AC11" i="21"/>
  <c r="J33" i="21"/>
  <c r="AC33"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D69" i="71"/>
  <c r="E69" i="71"/>
  <c r="F69" i="71"/>
  <c r="G69" i="71"/>
  <c r="C11" i="71"/>
  <c r="F11" i="71"/>
  <c r="AA11" i="71"/>
  <c r="C33" i="71"/>
  <c r="F33" i="71"/>
  <c r="AA33" i="71"/>
  <c r="R47" i="71"/>
  <c r="C7" i="71"/>
  <c r="C58" i="71"/>
  <c r="D58" i="71"/>
  <c r="E58" i="71"/>
  <c r="F58" i="71"/>
  <c r="G58" i="71"/>
  <c r="H58" i="71"/>
  <c r="I58" i="71"/>
  <c r="J58" i="71"/>
  <c r="K58" i="71"/>
  <c r="L58" i="71"/>
  <c r="M58" i="71"/>
  <c r="N58" i="71"/>
  <c r="O58" i="71"/>
  <c r="F7" i="71"/>
  <c r="AA7" i="71"/>
  <c r="F8" i="71"/>
  <c r="AA8" i="71"/>
  <c r="C63" i="71"/>
  <c r="F9" i="71"/>
  <c r="AA9" i="71"/>
  <c r="F10" i="71"/>
  <c r="AA10" i="71"/>
  <c r="B70" i="71"/>
  <c r="F12" i="71"/>
  <c r="AA12" i="71"/>
  <c r="B72" i="71"/>
  <c r="F13" i="71"/>
  <c r="AA13" i="71"/>
  <c r="B74" i="71"/>
  <c r="F14" i="71"/>
  <c r="AA14" i="71"/>
  <c r="D77" i="71"/>
  <c r="E77" i="71"/>
  <c r="F15" i="71"/>
  <c r="AA15" i="71"/>
  <c r="D79" i="71"/>
  <c r="E79" i="71"/>
  <c r="F17" i="71"/>
  <c r="AA17" i="71"/>
  <c r="D81" i="71"/>
  <c r="E81" i="71"/>
  <c r="F19" i="71"/>
  <c r="AA19" i="71"/>
  <c r="F21" i="71"/>
  <c r="AA21" i="71"/>
  <c r="D85" i="71"/>
  <c r="E85" i="71"/>
  <c r="F23" i="71"/>
  <c r="AA23" i="71"/>
  <c r="F25" i="71"/>
  <c r="AA25" i="71"/>
  <c r="F26" i="71"/>
  <c r="AA26" i="71"/>
  <c r="B90" i="71"/>
  <c r="F27" i="71"/>
  <c r="AA27" i="71"/>
  <c r="B92" i="71"/>
  <c r="F28" i="71"/>
  <c r="AA28" i="71"/>
  <c r="B94" i="71"/>
  <c r="F29" i="71"/>
  <c r="AA29" i="71"/>
  <c r="B96" i="71"/>
  <c r="F30" i="71"/>
  <c r="AA30" i="71"/>
  <c r="B98" i="71"/>
  <c r="F31" i="71"/>
  <c r="AA31" i="71"/>
  <c r="F32" i="71"/>
  <c r="AA32" i="71"/>
  <c r="F34" i="71"/>
  <c r="AA34" i="71"/>
  <c r="F35" i="71"/>
  <c r="AA35" i="71"/>
  <c r="F36" i="71"/>
  <c r="AA36" i="71"/>
  <c r="E37" i="71"/>
  <c r="D113" i="71"/>
  <c r="E113" i="71"/>
  <c r="F113" i="71"/>
  <c r="G113" i="71"/>
  <c r="F37" i="71"/>
  <c r="AA37" i="71"/>
  <c r="F38" i="71"/>
  <c r="AA38" i="71"/>
  <c r="F39" i="71"/>
  <c r="AA39" i="71"/>
  <c r="F40" i="71"/>
  <c r="AA40" i="71"/>
  <c r="F41" i="71"/>
  <c r="AA41" i="71"/>
  <c r="D123" i="71"/>
  <c r="E123" i="71"/>
  <c r="F123" i="71"/>
  <c r="F42" i="71"/>
  <c r="AA42" i="71"/>
  <c r="F43" i="71"/>
  <c r="AA43" i="71"/>
  <c r="B126" i="71"/>
  <c r="F44" i="71"/>
  <c r="AA44" i="71"/>
  <c r="B128" i="71"/>
  <c r="F45" i="71"/>
  <c r="AA45" i="71"/>
  <c r="B130" i="71"/>
  <c r="F46" i="71"/>
  <c r="AA46" i="71"/>
  <c r="R48" i="71"/>
  <c r="H11" i="71"/>
  <c r="AB11" i="71"/>
  <c r="H33" i="71"/>
  <c r="AB33" i="71"/>
  <c r="T47" i="71"/>
  <c r="H7" i="71"/>
  <c r="AB7" i="71"/>
  <c r="H8" i="71"/>
  <c r="AB8" i="71"/>
  <c r="H9" i="71"/>
  <c r="AB9" i="71"/>
  <c r="H10" i="71"/>
  <c r="AB10"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2" i="71"/>
  <c r="AB32" i="71"/>
  <c r="H34" i="71"/>
  <c r="AB34" i="71"/>
  <c r="H35" i="71"/>
  <c r="AB35" i="71"/>
  <c r="H36" i="71"/>
  <c r="AB36" i="71"/>
  <c r="G37" i="71"/>
  <c r="H37" i="71"/>
  <c r="AB37" i="71"/>
  <c r="H38" i="71"/>
  <c r="AB38" i="71"/>
  <c r="H39" i="71"/>
  <c r="AB39" i="71"/>
  <c r="H40" i="71"/>
  <c r="AB40" i="71"/>
  <c r="H41" i="71"/>
  <c r="AB41" i="71"/>
  <c r="H42" i="71"/>
  <c r="AB42" i="71"/>
  <c r="H43" i="71"/>
  <c r="AB43" i="71"/>
  <c r="H44" i="71"/>
  <c r="AB44" i="71"/>
  <c r="H45" i="71"/>
  <c r="AB45" i="71"/>
  <c r="H46" i="71"/>
  <c r="AB46" i="71"/>
  <c r="T48" i="71"/>
  <c r="J11" i="71"/>
  <c r="AC11" i="71"/>
  <c r="J33" i="71"/>
  <c r="AC33" i="71"/>
  <c r="V47" i="71"/>
  <c r="J7" i="71"/>
  <c r="AC7" i="71"/>
  <c r="J8" i="71"/>
  <c r="AC8" i="71"/>
  <c r="J9" i="71"/>
  <c r="AC9" i="71"/>
  <c r="J10" i="71"/>
  <c r="AC10"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2" i="71"/>
  <c r="AC32" i="71"/>
  <c r="J34" i="71"/>
  <c r="AC34" i="71"/>
  <c r="J35" i="71"/>
  <c r="AC35" i="71"/>
  <c r="J36" i="71"/>
  <c r="AC36" i="71"/>
  <c r="I37" i="71"/>
  <c r="J37" i="71"/>
  <c r="AC37" i="71"/>
  <c r="J38" i="71"/>
  <c r="AC38" i="71"/>
  <c r="J39" i="71"/>
  <c r="AC39" i="71"/>
  <c r="J40" i="71"/>
  <c r="AC40" i="71"/>
  <c r="J41" i="71"/>
  <c r="AC41" i="71"/>
  <c r="J42" i="71"/>
  <c r="AC42" i="71"/>
  <c r="J43" i="71"/>
  <c r="AC43" i="71"/>
  <c r="J44" i="71"/>
  <c r="AC44" i="71"/>
  <c r="J45" i="71"/>
  <c r="AC45" i="71"/>
  <c r="J46" i="71"/>
  <c r="AC46" i="71"/>
  <c r="V48" i="71"/>
  <c r="R49" i="71"/>
  <c r="C49" i="71"/>
  <c r="B3" i="71"/>
  <c r="D3" i="71"/>
  <c r="B2" i="71"/>
  <c r="D10" i="12"/>
  <c r="K6" i="1"/>
  <c r="M6" i="1"/>
  <c r="O6" i="1"/>
  <c r="P6" i="1"/>
  <c r="K7" i="1"/>
  <c r="M7" i="1"/>
  <c r="O7" i="1" s="1"/>
  <c r="O8" i="1"/>
  <c r="P8" i="1"/>
  <c r="O9" i="1"/>
  <c r="P9" i="1"/>
  <c r="K10" i="1"/>
  <c r="M10" i="1"/>
  <c r="O10" i="1"/>
  <c r="P10" i="1"/>
  <c r="K11" i="1"/>
  <c r="M11" i="1"/>
  <c r="O11" i="1"/>
  <c r="P11" i="1"/>
  <c r="K12" i="1"/>
  <c r="M12" i="1"/>
  <c r="O12" i="1"/>
  <c r="P12" i="1"/>
  <c r="K13" i="1"/>
  <c r="M13" i="1"/>
  <c r="O13" i="1"/>
  <c r="P13" i="1"/>
  <c r="O14" i="1"/>
  <c r="P14" i="1" s="1"/>
  <c r="F14" i="12"/>
  <c r="F15" i="12"/>
  <c r="D16" i="12"/>
  <c r="C16" i="12" s="1"/>
  <c r="E16" i="12"/>
  <c r="F17" i="12"/>
  <c r="E19" i="12"/>
  <c r="BB11" i="3"/>
  <c r="BB5" i="3"/>
  <c r="BC11" i="3"/>
  <c r="BC5"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D5" i="3"/>
  <c r="BE5" i="3"/>
  <c r="BF5" i="3"/>
  <c r="BG5" i="3"/>
  <c r="BH5" i="3"/>
  <c r="BI5" i="3"/>
  <c r="BJ5" i="3"/>
  <c r="BK5" i="3"/>
  <c r="BL5" i="3"/>
  <c r="BM5" i="3"/>
  <c r="BN5" i="3"/>
  <c r="BO5" i="3"/>
  <c r="BP5" i="3"/>
  <c r="E5" i="6"/>
  <c r="D21" i="12"/>
  <c r="E21" i="12"/>
  <c r="C21" i="12"/>
  <c r="E6" i="6"/>
  <c r="D22" i="12"/>
  <c r="C22" i="12" s="1"/>
  <c r="E22" i="12"/>
  <c r="F23" i="12"/>
  <c r="F24" i="12"/>
  <c r="B24" i="1"/>
  <c r="F29" i="12"/>
  <c r="Q16" i="1"/>
  <c r="F33" i="12"/>
  <c r="C34" i="12" s="1"/>
  <c r="D33" i="12" s="1"/>
  <c r="F25" i="12"/>
  <c r="C25" i="12"/>
  <c r="D8" i="12"/>
  <c r="C8" i="12"/>
  <c r="D9" i="12"/>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F85" i="71"/>
  <c r="G85" i="71"/>
  <c r="D83" i="71"/>
  <c r="E83" i="71"/>
  <c r="F83" i="71"/>
  <c r="G83" i="71"/>
  <c r="F81" i="71"/>
  <c r="G81" i="71"/>
  <c r="F79" i="71"/>
  <c r="G79" i="71"/>
  <c r="F77" i="71"/>
  <c r="G77"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AE10" i="1"/>
  <c r="D9" i="1"/>
  <c r="K59" i="70"/>
  <c r="P75" i="70"/>
  <c r="Q73" i="70"/>
  <c r="F59" i="70"/>
  <c r="D60" i="70"/>
  <c r="F60" i="70"/>
  <c r="F61" i="70"/>
  <c r="P62" i="70"/>
  <c r="Q60" i="70"/>
  <c r="Q59" i="70"/>
  <c r="F58" i="70"/>
  <c r="Q52" i="70"/>
  <c r="F31" i="70"/>
  <c r="AG9" i="1"/>
  <c r="M18" i="70"/>
  <c r="M20" i="70"/>
  <c r="D24" i="70"/>
  <c r="D23" i="70"/>
  <c r="D22" i="70"/>
  <c r="M19" i="70"/>
  <c r="M17" i="70"/>
  <c r="C7" i="39"/>
  <c r="C10" i="46"/>
  <c r="C11" i="46"/>
  <c r="E8" i="46"/>
  <c r="E9" i="46"/>
  <c r="E10" i="46"/>
  <c r="E11" i="46"/>
  <c r="E15" i="46"/>
  <c r="G2" i="46"/>
  <c r="E17" i="46"/>
  <c r="I4" i="6"/>
  <c r="G3" i="46"/>
  <c r="E22" i="46"/>
  <c r="C6" i="46"/>
  <c r="G17" i="46"/>
  <c r="H17" i="46"/>
  <c r="I17" i="46"/>
  <c r="J17" i="46"/>
  <c r="C17" i="46"/>
  <c r="C16" i="46"/>
  <c r="C5" i="46"/>
  <c r="C18"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K38" i="9"/>
  <c r="C14" i="66"/>
  <c r="L38" i="9"/>
  <c r="B14" i="66"/>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C57" i="10"/>
  <c r="A28" i="51"/>
  <c r="A27" i="51"/>
  <c r="AB6" i="59"/>
  <c r="Y6" i="59"/>
  <c r="Z6" i="59"/>
  <c r="X6" i="59"/>
  <c r="AA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T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19" i="4"/>
  <c r="F7" i="1"/>
  <c r="B2" i="52"/>
  <c r="E22" i="52" s="1"/>
  <c r="I2" i="46"/>
  <c r="N12" i="46"/>
  <c r="A7" i="46"/>
  <c r="F41" i="4"/>
  <c r="J52" i="40"/>
  <c r="H61" i="49"/>
  <c r="H39" i="46"/>
  <c r="H38" i="46"/>
  <c r="H37" i="46"/>
  <c r="H36" i="46"/>
  <c r="H35" i="46"/>
  <c r="H34"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G109" i="39"/>
  <c r="H109" i="39"/>
  <c r="I109" i="39"/>
  <c r="J109" i="39"/>
  <c r="K109" i="39"/>
  <c r="L109" i="39"/>
  <c r="M109"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E124" i="39"/>
  <c r="F124" i="39"/>
  <c r="G124" i="39"/>
  <c r="H124" i="39"/>
  <c r="I124" i="39"/>
  <c r="J124" i="39"/>
  <c r="K124" i="39"/>
  <c r="L124" i="39"/>
  <c r="M124" i="39"/>
  <c r="E99" i="39"/>
  <c r="F99" i="39"/>
  <c r="G99" i="39"/>
  <c r="D95" i="39"/>
  <c r="E95" i="39"/>
  <c r="F95" i="39"/>
  <c r="G95" i="39"/>
  <c r="F93"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E413" i="3"/>
  <c r="E8" i="6"/>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E7" i="52"/>
  <c r="C4" i="4" s="1"/>
  <c r="B20" i="55" s="1"/>
  <c r="B70" i="63" s="1"/>
  <c r="E6" i="52"/>
  <c r="B14" i="52"/>
  <c r="E21" i="52"/>
  <c r="B22" i="52"/>
  <c r="B13" i="52"/>
  <c r="B5" i="52"/>
  <c r="E8" i="52"/>
  <c r="B11" i="52"/>
  <c r="E16" i="52"/>
  <c r="E4" i="52"/>
  <c r="D24" i="15"/>
  <c r="AG6" i="1"/>
  <c r="G6" i="1"/>
  <c r="E86" i="3"/>
  <c r="AE11" i="46"/>
  <c r="AE13" i="46"/>
  <c r="F29" i="6"/>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G39" i="46"/>
  <c r="I39" i="46"/>
  <c r="G37" i="46"/>
  <c r="I37" i="46"/>
  <c r="F18" i="11"/>
  <c r="C18" i="11"/>
  <c r="AP16" i="1"/>
  <c r="F22" i="11"/>
  <c r="E4" i="4"/>
  <c r="G66" i="36"/>
  <c r="J18" i="36"/>
  <c r="AE7" i="1"/>
  <c r="AE6" i="1"/>
  <c r="F33" i="44"/>
  <c r="F31" i="15"/>
  <c r="F58" i="15"/>
  <c r="M17" i="15"/>
  <c r="M19" i="44"/>
  <c r="K102" i="46"/>
  <c r="K103" i="46"/>
  <c r="K106" i="46"/>
  <c r="J102" i="46"/>
  <c r="J106" i="46"/>
  <c r="H7" i="37"/>
  <c r="J7" i="37"/>
  <c r="F7" i="37"/>
  <c r="AA7" i="37"/>
  <c r="R42" i="37"/>
  <c r="E42" i="37"/>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E48" i="33"/>
  <c r="E52" i="33"/>
  <c r="F52" i="33"/>
  <c r="F31" i="6"/>
  <c r="AC6" i="3"/>
  <c r="D12" i="11"/>
  <c r="C12" i="11"/>
  <c r="E59" i="40"/>
  <c r="E29" i="6"/>
  <c r="L20" i="6"/>
  <c r="E58" i="40"/>
  <c r="E63" i="39"/>
  <c r="E16" i="6"/>
  <c r="F24" i="43"/>
  <c r="C26" i="43" s="1"/>
  <c r="D24" i="43" s="1"/>
  <c r="E60" i="40"/>
  <c r="E65" i="39"/>
  <c r="K26" i="6"/>
  <c r="M26" i="6"/>
  <c r="I26" i="6"/>
  <c r="S26" i="6"/>
  <c r="K24" i="6"/>
  <c r="M24" i="6"/>
  <c r="I24" i="6"/>
  <c r="S24" i="6"/>
  <c r="K23" i="6"/>
  <c r="M23" i="6"/>
  <c r="I23" i="6"/>
  <c r="S23" i="6"/>
  <c r="K25" i="6"/>
  <c r="M25" i="6"/>
  <c r="I25" i="6"/>
  <c r="S25" i="6"/>
  <c r="E30" i="6"/>
  <c r="E31" i="6"/>
  <c r="L19" i="6"/>
  <c r="K15" i="1"/>
  <c r="E62" i="40"/>
  <c r="E67" i="39"/>
  <c r="E66" i="39"/>
  <c r="E61" i="40"/>
  <c r="G35" i="46"/>
  <c r="I35" i="46"/>
  <c r="G36" i="46"/>
  <c r="I36" i="46"/>
  <c r="G34" i="46"/>
  <c r="I34" i="46"/>
  <c r="B21" i="55"/>
  <c r="B72"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E46" i="37"/>
  <c r="F46" i="37"/>
  <c r="C48" i="33"/>
  <c r="C49" i="33"/>
  <c r="B3" i="33"/>
  <c r="B2" i="33"/>
  <c r="U7" i="37"/>
  <c r="AB7" i="37"/>
  <c r="T42" i="37"/>
  <c r="G42" i="37"/>
  <c r="E6" i="3"/>
  <c r="J22" i="46"/>
  <c r="E41" i="36"/>
  <c r="F41" i="36"/>
  <c r="I47" i="37"/>
  <c r="J47" i="37"/>
  <c r="G47" i="37"/>
  <c r="H47" i="37"/>
  <c r="E53" i="33"/>
  <c r="F53" i="33"/>
  <c r="I53" i="33"/>
  <c r="J53" i="33"/>
  <c r="L27" i="6"/>
  <c r="E38" i="35"/>
  <c r="I43" i="35"/>
  <c r="J43" i="35"/>
  <c r="I41" i="36"/>
  <c r="J41" i="36"/>
  <c r="R37" i="36"/>
  <c r="K16" i="1"/>
  <c r="M20" i="6"/>
  <c r="I20" i="6"/>
  <c r="S20" i="6"/>
  <c r="K27" i="6"/>
  <c r="M19" i="6"/>
  <c r="S21" i="6"/>
  <c r="S22" i="6"/>
  <c r="B1" i="66"/>
  <c r="R43" i="37"/>
  <c r="R50" i="34"/>
  <c r="C50" i="34"/>
  <c r="B3" i="34"/>
  <c r="B2" i="34"/>
  <c r="E49" i="34"/>
  <c r="C39" i="35"/>
  <c r="B3" i="35"/>
  <c r="B2" i="35"/>
  <c r="I48" i="21"/>
  <c r="W7" i="21"/>
  <c r="U7" i="21"/>
  <c r="G48" i="21"/>
  <c r="S7" i="21"/>
  <c r="F67" i="40"/>
  <c r="G65" i="40"/>
  <c r="G46" i="37"/>
  <c r="H46" i="37"/>
  <c r="E47" i="37"/>
  <c r="F47" i="37"/>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c r="B45" i="63"/>
  <c r="D10" i="11"/>
  <c r="M16" i="1"/>
  <c r="T7"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6" i="1"/>
  <c r="T11" i="1"/>
  <c r="T12" i="1"/>
  <c r="C13" i="43"/>
  <c r="C17" i="43" s="1"/>
  <c r="L16" i="1"/>
  <c r="N16" i="1"/>
  <c r="C29" i="43" s="1"/>
  <c r="D13" i="11"/>
  <c r="C13" i="11"/>
  <c r="I27" i="6"/>
  <c r="S19" i="6"/>
  <c r="S27" i="6"/>
  <c r="H19" i="6"/>
  <c r="C22" i="4"/>
  <c r="D19" i="6"/>
  <c r="D24" i="6"/>
  <c r="D26" i="6"/>
  <c r="D25" i="6"/>
  <c r="D10" i="6"/>
  <c r="D11" i="6"/>
  <c r="D13" i="6"/>
  <c r="D12" i="6"/>
  <c r="H20" i="6"/>
  <c r="H24" i="6"/>
  <c r="H25" i="6"/>
  <c r="D6" i="6"/>
  <c r="D9" i="6"/>
  <c r="D23" i="6"/>
  <c r="D5" i="6"/>
  <c r="D14" i="6"/>
  <c r="D29" i="6"/>
  <c r="D28" i="6"/>
  <c r="D20" i="6"/>
  <c r="D15" i="6"/>
  <c r="D8" i="6"/>
  <c r="H26" i="6"/>
  <c r="H23" i="6"/>
  <c r="E53" i="21"/>
  <c r="F53" i="21"/>
  <c r="E52" i="21"/>
  <c r="F52" i="21"/>
  <c r="C48" i="21"/>
  <c r="I53" i="21"/>
  <c r="J53" i="21"/>
  <c r="I65" i="40"/>
  <c r="H67" i="40"/>
  <c r="H27" i="6"/>
  <c r="R20" i="6"/>
  <c r="R7" i="1"/>
  <c r="R24" i="6"/>
  <c r="D16" i="6"/>
  <c r="D30" i="6"/>
  <c r="R23" i="6"/>
  <c r="R25" i="6"/>
  <c r="R19" i="6"/>
  <c r="R6" i="1"/>
  <c r="D27" i="6"/>
  <c r="A6" i="51"/>
  <c r="B7" i="63"/>
  <c r="A20" i="64"/>
  <c r="A6" i="64"/>
  <c r="A20" i="51"/>
  <c r="B15" i="63"/>
  <c r="N5" i="54"/>
  <c r="B43" i="63"/>
  <c r="R26" i="6"/>
  <c r="J65" i="40"/>
  <c r="I67" i="40"/>
  <c r="R16" i="1"/>
  <c r="D31" i="6"/>
  <c r="I6" i="6"/>
  <c r="R27" i="6"/>
  <c r="K65" i="40"/>
  <c r="J67" i="40"/>
  <c r="I5" i="6"/>
  <c r="K67" i="40"/>
  <c r="L65" i="40"/>
  <c r="M65" i="40"/>
  <c r="L67" i="40"/>
  <c r="N65" i="40"/>
  <c r="N67" i="40"/>
  <c r="M67" i="40"/>
  <c r="J9" i="40"/>
  <c r="F9" i="40"/>
  <c r="H9" i="40"/>
  <c r="J9" i="39"/>
  <c r="H9" i="39"/>
  <c r="S9" i="39"/>
  <c r="W9" i="39"/>
  <c r="AC9" i="39"/>
  <c r="AA9" i="40"/>
  <c r="R44" i="40"/>
  <c r="S9" i="40"/>
  <c r="U9" i="39"/>
  <c r="AB9" i="39"/>
  <c r="AB9" i="40"/>
  <c r="T44" i="40"/>
  <c r="G44" i="40"/>
  <c r="U9" i="40"/>
  <c r="AC9" i="40"/>
  <c r="V44" i="40"/>
  <c r="I44" i="40"/>
  <c r="W9" i="40"/>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B3" i="39"/>
  <c r="B5" i="3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F6" i="15"/>
  <c r="F36" i="70"/>
  <c r="M26" i="70"/>
  <c r="E13" i="67"/>
  <c r="L48" i="44"/>
  <c r="L49" i="44"/>
  <c r="I4" i="65"/>
  <c r="B7" i="67"/>
  <c r="M10" i="44"/>
  <c r="F46" i="44"/>
  <c r="C20" i="9"/>
  <c r="F9" i="15"/>
  <c r="F6" i="70"/>
  <c r="F13" i="70"/>
  <c r="F7" i="15"/>
  <c r="E7" i="67"/>
  <c r="J7" i="65"/>
  <c r="M24" i="15"/>
  <c r="F40" i="44"/>
  <c r="M28" i="70"/>
  <c r="F9" i="67"/>
  <c r="I3" i="65"/>
  <c r="J17" i="44"/>
  <c r="F8" i="44"/>
  <c r="M21" i="15"/>
  <c r="F7" i="70"/>
  <c r="F40" i="70"/>
  <c r="F35" i="15"/>
  <c r="F13" i="15"/>
  <c r="L48" i="15"/>
  <c r="F9" i="70"/>
  <c r="F43" i="70"/>
  <c r="F37" i="70"/>
  <c r="M8" i="70"/>
  <c r="F16" i="15"/>
  <c r="L47" i="70"/>
  <c r="F10" i="67"/>
  <c r="E9" i="67"/>
  <c r="B13" i="67"/>
  <c r="N5" i="65"/>
  <c r="F11" i="44"/>
  <c r="M25" i="44"/>
  <c r="M8" i="44"/>
  <c r="L47" i="15"/>
  <c r="F43" i="44"/>
  <c r="M27" i="70"/>
  <c r="M23" i="70"/>
  <c r="F11" i="67"/>
  <c r="E12" i="67"/>
  <c r="B8" i="67"/>
  <c r="I7" i="65"/>
  <c r="I6" i="65"/>
  <c r="F39" i="44"/>
  <c r="F10" i="44"/>
  <c r="M23" i="15"/>
  <c r="M24" i="44"/>
  <c r="M23" i="44"/>
  <c r="F37" i="44"/>
  <c r="C19" i="9"/>
  <c r="C14" i="70"/>
  <c r="M6" i="70"/>
  <c r="C14" i="15"/>
  <c r="F37" i="15"/>
  <c r="M8" i="15"/>
  <c r="N4" i="65"/>
  <c r="F26" i="70"/>
  <c r="F38" i="70"/>
  <c r="M9" i="70"/>
  <c r="F43" i="15"/>
  <c r="M29" i="70"/>
  <c r="F12" i="67"/>
  <c r="E11" i="67"/>
  <c r="B11" i="67"/>
  <c r="N3" i="65"/>
  <c r="M27" i="15"/>
  <c r="F15" i="44"/>
  <c r="M26" i="44"/>
  <c r="M31" i="44"/>
  <c r="F38" i="44"/>
  <c r="M21" i="70"/>
  <c r="M24" i="70"/>
  <c r="F13" i="67"/>
  <c r="E14" i="67"/>
  <c r="B12" i="67"/>
  <c r="J6" i="65"/>
  <c r="M11" i="44"/>
  <c r="M26" i="15"/>
  <c r="F28" i="44"/>
  <c r="F9" i="44"/>
  <c r="J15" i="15"/>
  <c r="C21" i="9"/>
  <c r="I5" i="65"/>
  <c r="F26" i="15"/>
  <c r="F38" i="15"/>
  <c r="M9" i="15"/>
  <c r="F35" i="70"/>
  <c r="F42" i="70"/>
  <c r="F8" i="15"/>
  <c r="F40" i="15"/>
  <c r="F14" i="67"/>
  <c r="N7" i="65"/>
  <c r="N6" i="65"/>
  <c r="F18" i="44"/>
  <c r="M28" i="44"/>
  <c r="J36" i="70"/>
  <c r="M22" i="70"/>
  <c r="E8" i="67"/>
  <c r="B10" i="67"/>
  <c r="J5" i="65"/>
  <c r="M28" i="15"/>
  <c r="M22" i="15"/>
  <c r="F45" i="44"/>
  <c r="C19" i="44"/>
  <c r="F8" i="70"/>
  <c r="E2" i="65"/>
  <c r="F36" i="15"/>
  <c r="F42" i="15"/>
  <c r="F16" i="70"/>
  <c r="L48" i="70"/>
  <c r="M6" i="15"/>
  <c r="F8" i="67"/>
  <c r="B9" i="67"/>
  <c r="J3" i="65"/>
  <c r="J36" i="15"/>
  <c r="M30" i="44"/>
  <c r="J15" i="70"/>
  <c r="E10" i="67"/>
  <c r="B14" i="67"/>
  <c r="J4" i="65"/>
  <c r="M29" i="44"/>
  <c r="M29" i="15"/>
  <c r="C16" i="44"/>
  <c r="D19" i="12" l="1"/>
  <c r="C19" i="12" s="1"/>
  <c r="E5" i="52"/>
  <c r="B6" i="52"/>
  <c r="B16" i="52"/>
  <c r="B23" i="52"/>
  <c r="E10" i="52"/>
  <c r="E9" i="52"/>
  <c r="B8" i="52"/>
  <c r="B4" i="52"/>
  <c r="B9" i="52"/>
  <c r="B10" i="52"/>
  <c r="B7" i="52"/>
  <c r="E11" i="52"/>
  <c r="C20" i="12"/>
  <c r="C14" i="43"/>
  <c r="C18" i="43" s="1"/>
  <c r="P7" i="1"/>
  <c r="O16" i="1"/>
  <c r="L43" i="9"/>
  <c r="C36" i="44"/>
  <c r="C20" i="44"/>
  <c r="C17" i="44"/>
  <c r="J22" i="44"/>
  <c r="J20" i="15"/>
  <c r="M9" i="44"/>
  <c r="J8" i="44" s="1"/>
  <c r="C8" i="44"/>
  <c r="C29" i="44"/>
  <c r="B2" i="67"/>
  <c r="E20" i="46"/>
  <c r="J20" i="70"/>
  <c r="Q72" i="70"/>
  <c r="Q73" i="44"/>
  <c r="I55" i="44"/>
  <c r="J60" i="44"/>
  <c r="J61" i="44"/>
  <c r="Q50" i="44" s="1"/>
  <c r="J54" i="44"/>
  <c r="J58" i="44"/>
  <c r="J56" i="44" s="1"/>
  <c r="J59" i="44" s="1"/>
  <c r="Q52" i="44" s="1"/>
  <c r="L57" i="44"/>
  <c r="L47" i="44"/>
  <c r="L58" i="15"/>
  <c r="L59" i="15"/>
  <c r="Q72" i="15"/>
  <c r="L60" i="44"/>
  <c r="L59" i="44"/>
  <c r="J1" i="65"/>
  <c r="E3" i="67"/>
  <c r="L58" i="70"/>
  <c r="L59" i="70"/>
  <c r="F67" i="15"/>
  <c r="F70" i="15"/>
  <c r="M7" i="15"/>
  <c r="J6" i="15" s="1"/>
  <c r="F49" i="15"/>
  <c r="F50" i="15"/>
  <c r="L60" i="70"/>
  <c r="J53" i="70"/>
  <c r="L57" i="70"/>
  <c r="J60" i="70"/>
  <c r="Q49" i="70" s="1"/>
  <c r="J59" i="70"/>
  <c r="J57" i="70"/>
  <c r="J55" i="70" s="1"/>
  <c r="J58" i="70" s="1"/>
  <c r="Q51" i="70" s="1"/>
  <c r="L56" i="70"/>
  <c r="I54" i="70"/>
  <c r="F65" i="70"/>
  <c r="F64" i="70"/>
  <c r="F63" i="70"/>
  <c r="C27" i="70"/>
  <c r="F70" i="70"/>
  <c r="C34" i="70"/>
  <c r="F62" i="70"/>
  <c r="C61" i="70" s="1"/>
  <c r="C4" i="65"/>
  <c r="B39" i="1" s="1"/>
  <c r="C6" i="70"/>
  <c r="J53" i="15"/>
  <c r="J57" i="15"/>
  <c r="J55" i="15" s="1"/>
  <c r="J58" i="15" s="1"/>
  <c r="Q51" i="15" s="1"/>
  <c r="I54" i="15"/>
  <c r="J59" i="15"/>
  <c r="L60" i="15"/>
  <c r="L56" i="15"/>
  <c r="J60" i="15"/>
  <c r="Q49" i="15" s="1"/>
  <c r="L57" i="15"/>
  <c r="F65" i="15"/>
  <c r="F64" i="15"/>
  <c r="F63" i="15"/>
  <c r="C27" i="15"/>
  <c r="C15" i="15"/>
  <c r="C18" i="15"/>
  <c r="C34" i="15"/>
  <c r="F62" i="15"/>
  <c r="C61" i="15" s="1"/>
  <c r="C6" i="15"/>
  <c r="F67" i="70"/>
  <c r="B40" i="1"/>
  <c r="C15" i="70"/>
  <c r="C18" i="70"/>
  <c r="M7" i="70"/>
  <c r="J6" i="70" s="1"/>
  <c r="F49" i="70"/>
  <c r="F50" i="70"/>
  <c r="C18" i="44"/>
  <c r="C16" i="70"/>
  <c r="E3" i="65"/>
  <c r="F7" i="67"/>
  <c r="C17" i="70"/>
  <c r="C16" i="15"/>
  <c r="C17" i="15"/>
  <c r="C19" i="43" l="1"/>
  <c r="C25" i="43" s="1"/>
  <c r="C24" i="43" s="1"/>
  <c r="C48" i="70"/>
  <c r="C15" i="12"/>
  <c r="P16" i="1"/>
  <c r="C13" i="12" s="1"/>
  <c r="C48" i="15"/>
  <c r="F17" i="11"/>
  <c r="C17" i="11" s="1"/>
  <c r="C19" i="11" s="1"/>
  <c r="C19" i="70"/>
  <c r="E4" i="67"/>
  <c r="C19" i="15"/>
  <c r="C21" i="44"/>
  <c r="Q67" i="70"/>
  <c r="Q58" i="70"/>
  <c r="F1" i="15"/>
  <c r="Q53" i="15"/>
  <c r="F11" i="70"/>
  <c r="F11" i="15"/>
  <c r="C52" i="15" s="1"/>
  <c r="M11" i="15"/>
  <c r="J10" i="15" s="1"/>
  <c r="J5" i="15" s="1"/>
  <c r="M11" i="70"/>
  <c r="J10" i="70" s="1"/>
  <c r="J5" i="70" s="1"/>
  <c r="M13" i="44"/>
  <c r="J12" i="44" s="1"/>
  <c r="J7" i="44" s="1"/>
  <c r="F13" i="44"/>
  <c r="C12" i="44" s="1"/>
  <c r="C7" i="44" s="1"/>
  <c r="F1" i="70"/>
  <c r="Q53" i="70"/>
  <c r="Q74" i="70"/>
  <c r="Q61" i="70"/>
  <c r="Q75" i="44"/>
  <c r="Q62" i="44"/>
  <c r="Q75" i="15"/>
  <c r="Q62" i="15"/>
  <c r="F1" i="44"/>
  <c r="Q54" i="44"/>
  <c r="B3" i="67"/>
  <c r="B4" i="67"/>
  <c r="F24" i="70"/>
  <c r="C24" i="70" s="1"/>
  <c r="F26" i="12"/>
  <c r="C27" i="12" s="1"/>
  <c r="D26" i="12" s="1"/>
  <c r="C32" i="12" s="1"/>
  <c r="D30" i="12" s="1"/>
  <c r="F24" i="15"/>
  <c r="C24" i="15" s="1"/>
  <c r="F26" i="44"/>
  <c r="C26" i="44" s="1"/>
  <c r="F21" i="43"/>
  <c r="Q67" i="15"/>
  <c r="Q58" i="15"/>
  <c r="Q62" i="70"/>
  <c r="Q75" i="70"/>
  <c r="Q63" i="44"/>
  <c r="Q76" i="44"/>
  <c r="Q74" i="15"/>
  <c r="Q61" i="15"/>
  <c r="P17" i="46"/>
  <c r="N17" i="46"/>
  <c r="O17" i="46"/>
  <c r="M17" i="46"/>
  <c r="AE8" i="1"/>
  <c r="AE9" i="1"/>
  <c r="C14" i="12" l="1"/>
  <c r="C17" i="12"/>
  <c r="C47" i="15"/>
  <c r="C59" i="15" s="1"/>
  <c r="C40" i="44"/>
  <c r="C34" i="44"/>
  <c r="J26" i="70"/>
  <c r="J18" i="70"/>
  <c r="J24" i="70"/>
  <c r="J26" i="15"/>
  <c r="J18" i="15"/>
  <c r="J24" i="15"/>
  <c r="C23" i="43"/>
  <c r="D21" i="43" s="1"/>
  <c r="C22" i="43"/>
  <c r="C21" i="43" s="1"/>
  <c r="C10" i="15"/>
  <c r="C5" i="15" s="1"/>
  <c r="C22" i="44"/>
  <c r="C28" i="44" s="1"/>
  <c r="C20" i="15"/>
  <c r="C23" i="15" s="1"/>
  <c r="C20" i="11"/>
  <c r="C21" i="11" s="1"/>
  <c r="C22" i="11" s="1"/>
  <c r="C23" i="11" s="1"/>
  <c r="B2" i="11" s="1"/>
  <c r="C10" i="70"/>
  <c r="C5" i="70" s="1"/>
  <c r="C52" i="70"/>
  <c r="C47" i="70" s="1"/>
  <c r="C20" i="70"/>
  <c r="C23" i="70" s="1"/>
  <c r="J20" i="44"/>
  <c r="J26" i="44"/>
  <c r="J28" i="44"/>
  <c r="J31" i="44" s="1"/>
  <c r="L52" i="44"/>
  <c r="F41" i="15"/>
  <c r="F41" i="70"/>
  <c r="C18" i="12" l="1"/>
  <c r="C23" i="12" s="1"/>
  <c r="C26" i="15"/>
  <c r="C25" i="44"/>
  <c r="C31" i="44" s="1"/>
  <c r="F68" i="70"/>
  <c r="F68" i="15"/>
  <c r="C60" i="15"/>
  <c r="C58" i="15" s="1"/>
  <c r="C65" i="15"/>
  <c r="C28" i="43"/>
  <c r="C30" i="43" s="1"/>
  <c r="C32" i="43" s="1"/>
  <c r="B2" i="43" s="1"/>
  <c r="B4" i="43" s="1"/>
  <c r="J29" i="15"/>
  <c r="J29" i="70"/>
  <c r="Q69" i="44"/>
  <c r="L58" i="44"/>
  <c r="L61" i="44" s="1"/>
  <c r="C26" i="70"/>
  <c r="C29" i="70" s="1"/>
  <c r="C32" i="70"/>
  <c r="C33" i="70"/>
  <c r="C38" i="70"/>
  <c r="B3" i="11"/>
  <c r="B4" i="11"/>
  <c r="B5" i="11"/>
  <c r="B3" i="43"/>
  <c r="Q49" i="44"/>
  <c r="Q55" i="44" s="1"/>
  <c r="Q58" i="44"/>
  <c r="Q67" i="44"/>
  <c r="C59" i="70"/>
  <c r="C60" i="70"/>
  <c r="C65" i="70"/>
  <c r="C29" i="15"/>
  <c r="C32" i="15"/>
  <c r="C33" i="15"/>
  <c r="C38" i="15"/>
  <c r="C31" i="70" l="1"/>
  <c r="B5" i="43"/>
  <c r="C35" i="44"/>
  <c r="C33" i="44" s="1"/>
  <c r="J21" i="44"/>
  <c r="J19" i="44" s="1"/>
  <c r="Q51" i="44"/>
  <c r="C38" i="44"/>
  <c r="C15" i="44"/>
  <c r="J16" i="44"/>
  <c r="C36" i="70"/>
  <c r="C13" i="70"/>
  <c r="C56" i="70"/>
  <c r="C63" i="70" s="1"/>
  <c r="J14" i="70"/>
  <c r="Q50" i="70"/>
  <c r="J19" i="70"/>
  <c r="J17" i="70" s="1"/>
  <c r="C31" i="15"/>
  <c r="C36" i="15"/>
  <c r="C13" i="15"/>
  <c r="J19" i="15"/>
  <c r="J17" i="15" s="1"/>
  <c r="J14" i="15"/>
  <c r="C56" i="15"/>
  <c r="C63" i="15" s="1"/>
  <c r="Q50" i="15"/>
  <c r="C58" i="70"/>
  <c r="Q68" i="44"/>
  <c r="Q77" i="44" s="1"/>
  <c r="Q59" i="44"/>
  <c r="Q64" i="44" s="1"/>
  <c r="J22" i="70" l="1"/>
  <c r="J13" i="70"/>
  <c r="J23" i="70" s="1"/>
  <c r="C37" i="70"/>
  <c r="C30" i="70" s="1"/>
  <c r="C39" i="70" s="1"/>
  <c r="C55" i="70"/>
  <c r="C64" i="70" s="1"/>
  <c r="C57" i="70" s="1"/>
  <c r="C66" i="70" s="1"/>
  <c r="C67" i="70" s="1"/>
  <c r="J35" i="70"/>
  <c r="J39" i="70" s="1"/>
  <c r="J40" i="70" s="1"/>
  <c r="Q71" i="70"/>
  <c r="J15" i="44"/>
  <c r="J25" i="44" s="1"/>
  <c r="J24" i="44"/>
  <c r="J22" i="15"/>
  <c r="J13" i="15"/>
  <c r="J23" i="15" s="1"/>
  <c r="C37" i="15"/>
  <c r="C30" i="15" s="1"/>
  <c r="C39" i="15" s="1"/>
  <c r="J35" i="15"/>
  <c r="C55" i="15"/>
  <c r="C64" i="15" s="1"/>
  <c r="C57" i="15" s="1"/>
  <c r="C66" i="15" s="1"/>
  <c r="C67" i="15" s="1"/>
  <c r="Q71" i="15"/>
  <c r="Q72" i="44"/>
  <c r="C43" i="44"/>
  <c r="C39" i="44"/>
  <c r="C32" i="44" s="1"/>
  <c r="C42" i="44" s="1"/>
  <c r="J18" i="44" l="1"/>
  <c r="J27" i="44" s="1"/>
  <c r="J16" i="15"/>
  <c r="J25" i="15" s="1"/>
  <c r="J16" i="70"/>
  <c r="J25" i="70" s="1"/>
  <c r="C70" i="70"/>
  <c r="Q71" i="44"/>
  <c r="Q70" i="44" s="1"/>
  <c r="C44" i="44"/>
  <c r="C45" i="44" s="1"/>
  <c r="B2" i="44" s="1"/>
  <c r="C40" i="15"/>
  <c r="Q70" i="15"/>
  <c r="Q69" i="15" s="1"/>
  <c r="J39" i="15"/>
  <c r="J40" i="15" s="1"/>
  <c r="Q70" i="70"/>
  <c r="Q69" i="70" s="1"/>
  <c r="C40" i="70"/>
  <c r="C70" i="15"/>
  <c r="C46" i="15"/>
  <c r="L51" i="15"/>
  <c r="L51" i="70"/>
  <c r="Q68" i="70" l="1"/>
  <c r="Q68" i="15"/>
  <c r="B2" i="15"/>
  <c r="Q48" i="15"/>
  <c r="Q54" i="15" s="1"/>
  <c r="Q57" i="15"/>
  <c r="Q63" i="15" s="1"/>
  <c r="Q66" i="15"/>
  <c r="Q76" i="15" s="1"/>
  <c r="C43" i="15"/>
  <c r="J42" i="15"/>
  <c r="J43" i="15" s="1"/>
  <c r="Q66" i="70"/>
  <c r="Q76" i="70" s="1"/>
  <c r="B2" i="70"/>
  <c r="Q48" i="70"/>
  <c r="Q54" i="70" s="1"/>
  <c r="Q57" i="70"/>
  <c r="Q63" i="70" s="1"/>
  <c r="C43" i="70"/>
  <c r="J42" i="70"/>
  <c r="J43" i="70" s="1"/>
  <c r="B5" i="44"/>
  <c r="B4" i="44"/>
  <c r="B3" i="44"/>
  <c r="C46" i="70"/>
  <c r="E10" i="12" l="1"/>
  <c r="B3" i="15"/>
  <c r="E8" i="12" s="1"/>
  <c r="B3" i="70"/>
  <c r="F8" i="12" s="1"/>
  <c r="F10" i="12"/>
  <c r="C6" i="12" l="1"/>
  <c r="C24" i="12" s="1"/>
  <c r="C29" i="12" l="1"/>
  <c r="C28" i="12"/>
  <c r="C26" i="12" s="1"/>
  <c r="C35" i="12"/>
  <c r="C33" i="12" s="1"/>
  <c r="C31" i="12" l="1"/>
  <c r="C30" i="12" s="1"/>
  <c r="C36" i="12" s="1"/>
  <c r="B2" i="12" s="1"/>
  <c r="B3" i="12" s="1"/>
  <c r="D20" i="9"/>
  <c r="D19" i="9"/>
  <c r="B5" i="12" l="1"/>
  <c r="L44" i="9"/>
  <c r="G19" i="9"/>
  <c r="D27" i="9" s="1"/>
  <c r="D22" i="9"/>
  <c r="B4" i="12"/>
  <c r="G20" i="9"/>
  <c r="G22" i="9"/>
  <c r="D21" i="9"/>
  <c r="C32" i="9" l="1"/>
  <c r="C42" i="9" s="1"/>
  <c r="N43" i="9"/>
  <c r="G21" i="9"/>
  <c r="O38" i="9" l="1"/>
  <c r="K25" i="9" s="1"/>
  <c r="O43" i="9"/>
  <c r="C34" i="9"/>
  <c r="E42" i="9" s="1"/>
  <c r="P5" i="54" s="1"/>
  <c r="B46" i="63" s="1"/>
  <c r="C35" i="9"/>
  <c r="F42" i="9" s="1"/>
  <c r="C33" i="9"/>
  <c r="D42" i="9" s="1"/>
  <c r="Q5" i="54" s="1"/>
  <c r="B47" i="63" s="1"/>
  <c r="R5" i="54"/>
  <c r="B48" i="63" s="1"/>
  <c r="C44" i="9"/>
  <c r="D63" i="9"/>
  <c r="D14" i="66"/>
  <c r="N68" i="9"/>
  <c r="K26" i="9"/>
  <c r="M38" i="9" l="1"/>
  <c r="K27" i="9" s="1"/>
  <c r="N38" i="9"/>
  <c r="K28" i="9" s="1"/>
  <c r="B5" i="66"/>
  <c r="F14" i="66"/>
  <c r="E14" i="66"/>
  <c r="N69" i="9"/>
  <c r="O39" i="9"/>
  <c r="E44" i="9"/>
  <c r="G14" i="66"/>
  <c r="B6" i="66" s="1"/>
  <c r="F44" i="9"/>
  <c r="D44" i="9"/>
  <c r="D71" i="9"/>
  <c r="D66" i="9" s="1"/>
  <c r="N72" i="9" s="1"/>
  <c r="C111" i="9"/>
  <c r="C104" i="9" s="1"/>
  <c r="D77" i="9"/>
  <c r="N75" i="9" s="1"/>
  <c r="C90" i="9"/>
  <c r="C82" i="9"/>
  <c r="C81" i="9" s="1"/>
  <c r="C85" i="9" s="1"/>
  <c r="C86" i="9" s="1"/>
  <c r="D72" i="9" s="1"/>
  <c r="D70" i="9"/>
  <c r="C103" i="9"/>
  <c r="C96" i="9"/>
  <c r="C91" i="9" s="1"/>
  <c r="C97" i="9" l="1"/>
  <c r="C6" i="66"/>
  <c r="D6" i="66"/>
  <c r="R6" i="54"/>
  <c r="B50" i="63" s="1"/>
  <c r="K29" i="9"/>
  <c r="K30" i="9" s="1"/>
  <c r="C5" i="66"/>
  <c r="D5" i="66"/>
  <c r="C113" i="9"/>
  <c r="M83" i="9"/>
  <c r="N83" i="9" s="1"/>
  <c r="M84" i="9"/>
  <c r="N84" i="9" s="1"/>
  <c r="M85" i="9"/>
  <c r="N85" i="9" s="1"/>
  <c r="M86" i="9"/>
  <c r="N86" i="9" s="1"/>
  <c r="M87" i="9"/>
  <c r="N87" i="9" s="1"/>
  <c r="M88" i="9"/>
  <c r="N88" i="9" s="1"/>
  <c r="N89" i="9" l="1"/>
  <c r="O89" i="9" s="1"/>
  <c r="C114" i="9"/>
  <c r="E114" i="9" s="1"/>
  <c r="E115" i="9" s="1"/>
  <c r="C98" i="9"/>
  <c r="E98" i="9" s="1"/>
  <c r="E99" i="9" s="1"/>
  <c r="C99" i="9" l="1"/>
  <c r="C115" i="9"/>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<sst xmlns="http://schemas.openxmlformats.org/spreadsheetml/2006/main" count="7803" uniqueCount="3111">
  <si>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</si>
  <si>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</si>
  <si>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</si>
  <si>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</si>
  <si>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</si>
  <si>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</si>
  <si>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</si>
  <si>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</si>
  <si>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</si>
  <si>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</si>
  <si>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</si>
  <si>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</si>
  <si>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</si>
  <si>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</si>
  <si>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</si>
  <si>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</si>
  <si>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</si>
  <si>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</si>
  <si>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</si>
  <si>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</si>
  <si>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</si>
  <si>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</si>
  <si>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</si>
  <si>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</si>
  <si>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</si>
  <si>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</si>
  <si>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</si>
  <si>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</si>
  <si>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</si>
  <si>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</si>
  <si>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</si>
  <si>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</si>
  <si>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</si>
  <si>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</si>
  <si>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</si>
  <si>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</si>
  <si>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</si>
  <si>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</si>
  <si>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</si>
  <si>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</si>
  <si>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</si>
  <si>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</si>
  <si>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</si>
  <si>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</si>
  <si>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</si>
  <si>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</si>
  <si>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</si>
  <si>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</si>
  <si>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</si>
  <si>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</si>
  <si>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</si>
  <si>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</si>
  <si>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</si>
  <si>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</si>
  <si>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</si>
  <si>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</si>
  <si>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</si>
  <si>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</si>
  <si>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</si>
  <si>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</si>
  <si>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</si>
  <si>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</si>
  <si>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</si>
  <si>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</si>
  <si>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</si>
  <si>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</si>
  <si>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</si>
  <si>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</si>
  <si>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</si>
  <si>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</si>
  <si>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</si>
  <si>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</si>
  <si>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</si>
  <si>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</si>
  <si>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</si>
  <si>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</si>
  <si>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</si>
  <si>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</si>
  <si>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</si>
  <si>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</si>
  <si>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</si>
  <si>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</si>
  <si>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</si>
  <si>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</si>
  <si>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</si>
  <si>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</si>
  <si>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</si>
  <si>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</si>
  <si>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</si>
  <si>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</si>
  <si>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</si>
  <si>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</si>
  <si>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</si>
  <si>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</si>
  <si>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</si>
  <si>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</si>
  <si>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</si>
  <si>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</si>
  <si>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</si>
  <si>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</si>
  <si>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</si>
  <si>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</si>
  <si>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</si>
  <si>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</si>
  <si>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</si>
  <si>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</si>
  <si>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</si>
  <si>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</si>
  <si>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</si>
  <si>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</si>
  <si>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</si>
  <si>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</si>
  <si>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</si>
  <si>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</si>
  <si>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</si>
  <si>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</si>
  <si>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</si>
  <si>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</si>
  <si>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</si>
  <si>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</si>
  <si>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</si>
  <si>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</si>
  <si>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</si>
  <si>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</si>
  <si>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</si>
  <si>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</si>
  <si>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</si>
  <si>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</si>
  <si>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</si>
  <si>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</si>
  <si>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</si>
  <si>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</si>
  <si>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</si>
  <si>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</si>
  <si>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</si>
  <si>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</si>
  <si>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</si>
  <si>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</si>
  <si>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</si>
  <si>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</si>
  <si>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</si>
  <si>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</si>
  <si>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</si>
  <si>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</si>
  <si>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</si>
  <si>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</si>
  <si>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</si>
  <si>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</si>
  <si>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</si>
  <si>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</si>
  <si>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</si>
  <si>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</si>
  <si>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</si>
  <si>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</si>
  <si>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</si>
  <si>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</si>
  <si>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</si>
  <si>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</si>
  <si>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</si>
  <si>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</si>
  <si>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</si>
  <si>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</si>
  <si>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</si>
  <si>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</si>
  <si>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</si>
  <si>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</si>
  <si>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</si>
  <si>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</si>
  <si>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</si>
  <si>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</si>
  <si>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</si>
  <si>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</si>
  <si>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</si>
  <si>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</si>
  <si>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</si>
  <si>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</si>
  <si>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</si>
  <si>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</si>
  <si>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</si>
  <si>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</si>
  <si>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</si>
  <si>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</si>
  <si>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</si>
  <si>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</si>
  <si>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</si>
  <si>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</si>
  <si>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</si>
  <si>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</si>
  <si>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</si>
  <si>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</si>
  <si>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</si>
  <si>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</si>
  <si>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</si>
  <si>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</si>
  <si>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</si>
  <si>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</si>
  <si>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</si>
  <si>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</si>
  <si>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</si>
  <si>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</si>
  <si>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</si>
  <si>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</si>
  <si>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</si>
  <si>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</si>
  <si>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</si>
  <si>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</si>
  <si>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</si>
  <si>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</si>
  <si>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</si>
  <si>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</si>
  <si>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</si>
  <si>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</si>
  <si>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</si>
  <si>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</si>
  <si>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</si>
  <si>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</si>
  <si>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</si>
  <si>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</si>
  <si>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</si>
  <si>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</si>
  <si>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</si>
  <si>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</si>
  <si>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</si>
  <si>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</si>
  <si>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</si>
  <si>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</si>
  <si>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</si>
  <si>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</si>
  <si>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</si>
  <si>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</si>
  <si>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</si>
  <si>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</si>
  <si>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</si>
  <si>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</si>
  <si>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</si>
  <si>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</si>
  <si>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</si>
  <si>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</si>
  <si>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</si>
  <si>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</si>
  <si>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</si>
  <si>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</si>
  <si>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</si>
  <si>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</si>
  <si>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</si>
  <si>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</si>
  <si>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</si>
  <si>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</si>
  <si>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</si>
  <si>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</si>
  <si>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</si>
  <si>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</si>
  <si>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</si>
  <si>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</si>
  <si>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</si>
  <si>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</si>
  <si>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</si>
  <si>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</si>
  <si>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</si>
  <si>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</si>
  <si>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</si>
  <si>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</si>
  <si>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</si>
  <si>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</si>
  <si>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</si>
  <si>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</si>
  <si>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</si>
  <si>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</si>
  <si>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</si>
  <si>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</si>
  <si>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</si>
  <si>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</si>
  <si>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</si>
  <si>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</si>
  <si>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</si>
  <si>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</si>
  <si>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</si>
  <si>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</si>
  <si>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</si>
  <si>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</si>
  <si>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</si>
  <si>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</si>
  <si>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</si>
  <si>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</si>
  <si>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</si>
  <si>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</si>
  <si>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</si>
  <si>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</si>
  <si>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</si>
  <si>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</si>
  <si>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</si>
  <si>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</si>
  <si>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</si>
  <si>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</si>
  <si>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</si>
  <si>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</si>
  <si>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</si>
  <si>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</si>
  <si>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</si>
  <si>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</si>
  <si>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</si>
  <si>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</si>
  <si>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</si>
  <si>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</si>
  <si>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</si>
  <si>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</si>
  <si>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</si>
  <si>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</si>
  <si>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</si>
  <si>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</si>
  <si>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</si>
  <si>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</si>
  <si>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</si>
  <si>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</si>
  <si>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</si>
  <si>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</si>
  <si>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</si>
  <si>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</si>
  <si>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</si>
  <si>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</si>
  <si>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</si>
  <si>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</si>
  <si>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</si>
  <si>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</si>
  <si>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</si>
  <si>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</si>
  <si>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</si>
  <si>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</si>
  <si>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</si>
  <si>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</si>
  <si>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</si>
  <si>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</si>
  <si>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</si>
  <si>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</si>
  <si>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</si>
  <si>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</si>
  <si>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</si>
  <si>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</si>
  <si>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</si>
  <si>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</si>
  <si>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</si>
  <si>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</si>
  <si>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</si>
  <si>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</si>
  <si>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</si>
  <si>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</si>
  <si>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</si>
  <si>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</si>
  <si>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</si>
  <si>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</si>
  <si>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</si>
  <si>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</si>
  <si>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</si>
  <si>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</si>
  <si>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</si>
  <si>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</si>
  <si>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</si>
  <si>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</si>
  <si>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</si>
  <si>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</si>
  <si>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</si>
  <si>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</si>
  <si>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</si>
  <si>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</si>
  <si>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</si>
  <si>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</si>
  <si>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</si>
  <si>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</si>
  <si>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</si>
  <si>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</si>
  <si>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</si>
  <si>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</si>
  <si>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</si>
  <si>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</si>
  <si>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</si>
  <si>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</si>
  <si>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</si>
  <si>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</si>
  <si>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</si>
  <si>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</si>
  <si>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</si>
  <si>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</si>
  <si>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</si>
  <si>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</si>
  <si>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</si>
  <si>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</si>
  <si>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</si>
  <si>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</si>
  <si>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</si>
  <si>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</si>
  <si>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</si>
  <si>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</si>
  <si>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</si>
  <si>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</si>
  <si>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</si>
  <si>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</si>
  <si>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</si>
  <si>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</si>
  <si>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</si>
  <si>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</si>
  <si>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</si>
  <si>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</si>
  <si>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</si>
  <si>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</si>
  <si>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</si>
  <si>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</si>
  <si>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</si>
  <si>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</si>
  <si>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</si>
  <si>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</si>
  <si>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</si>
  <si>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</si>
  <si>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</si>
  <si>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</si>
  <si>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</si>
  <si>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</si>
  <si>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</si>
  <si>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</si>
  <si>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</si>
  <si>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</si>
  <si>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</si>
  <si>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</si>
  <si>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</si>
  <si>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</si>
  <si>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</si>
  <si>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</si>
  <si>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</si>
  <si>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</si>
  <si>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</si>
  <si>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</si>
  <si>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</si>
  <si>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</si>
  <si>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</si>
  <si>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</si>
  <si>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</si>
  <si>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</si>
  <si>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</si>
  <si>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</si>
  <si>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</si>
  <si>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</si>
  <si>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</si>
  <si>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</si>
  <si>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</si>
  <si>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</si>
  <si>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</si>
  <si>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</si>
  <si>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</si>
  <si>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</si>
  <si>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</si>
  <si>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</si>
  <si>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</si>
  <si>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</si>
  <si>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</si>
  <si>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</si>
  <si>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</si>
  <si>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</si>
  <si>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</si>
  <si>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</si>
  <si>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</si>
  <si>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</si>
  <si>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</si>
  <si>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</si>
  <si>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</si>
  <si>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</si>
  <si>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</si>
  <si>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</si>
  <si>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</si>
  <si>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</si>
  <si>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</si>
  <si>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</si>
  <si>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</si>
  <si>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</si>
  <si>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</si>
  <si>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</si>
  <si>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</si>
  <si>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</si>
  <si>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</si>
  <si>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</si>
  <si>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</si>
  <si>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</si>
  <si>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</si>
  <si>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</si>
  <si>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</si>
  <si>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</si>
  <si>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</si>
  <si>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</si>
  <si>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</si>
  <si>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</si>
  <si>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</si>
  <si>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</si>
  <si>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</si>
  <si>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</si>
  <si>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</si>
  <si>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</si>
  <si>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</si>
  <si>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</si>
  <si>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</si>
  <si>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</si>
  <si>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</si>
  <si>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</si>
  <si>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</si>
  <si>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</si>
  <si>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</si>
  <si>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</si>
  <si>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</si>
  <si>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</si>
  <si>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</si>
  <si>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</si>
  <si>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</si>
  <si>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</si>
  <si>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</si>
  <si>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</si>
  <si>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</si>
  <si>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</si>
  <si>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</si>
  <si>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</si>
  <si>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</si>
  <si>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</si>
  <si>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</si>
  <si>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</si>
  <si>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</si>
  <si>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</si>
  <si>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</si>
  <si>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</si>
  <si>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</si>
  <si>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</si>
  <si>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</si>
  <si>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</si>
  <si>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</si>
  <si>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</si>
  <si>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</si>
  <si>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</si>
  <si>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</si>
  <si>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</si>
  <si>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</si>
  <si>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</si>
  <si>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</si>
  <si>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</si>
  <si>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</si>
  <si>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</si>
  <si>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</si>
  <si>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</si>
  <si>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</si>
  <si>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</si>
  <si>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</si>
  <si>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</si>
  <si>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</si>
  <si>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</si>
  <si>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</si>
  <si>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</si>
  <si>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</si>
  <si>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</si>
  <si>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</si>
  <si>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</si>
  <si>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</si>
  <si>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</si>
  <si>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</si>
  <si>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</si>
  <si>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</si>
  <si>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</si>
  <si>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</si>
  <si>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</si>
  <si>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</si>
  <si>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</si>
  <si>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</si>
  <si>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</si>
  <si>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</si>
  <si>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</si>
  <si>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</si>
  <si>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</si>
  <si>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</si>
  <si>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</si>
  <si>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</si>
  <si>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</si>
  <si>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</si>
  <si>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</si>
  <si>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</si>
  <si>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</si>
  <si>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</si>
  <si>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</si>
  <si>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</si>
  <si>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</si>
  <si>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</si>
  <si>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</si>
  <si>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</si>
  <si>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</si>
  <si>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</si>
  <si>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</si>
  <si>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</si>
  <si>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</si>
  <si>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</si>
  <si>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</si>
  <si>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</si>
  <si>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</si>
  <si>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</si>
  <si>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</si>
  <si>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</si>
  <si>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</si>
  <si>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</si>
  <si>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</si>
  <si>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</si>
  <si>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</si>
  <si>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</si>
  <si>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</si>
  <si>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</si>
  <si>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</si>
  <si>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</si>
  <si>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</si>
  <si>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</si>
  <si>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</si>
  <si>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</si>
  <si>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</si>
  <si>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</si>
  <si>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</si>
  <si>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</si>
  <si>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</si>
  <si>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</si>
  <si>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</si>
  <si>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</si>
  <si>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</si>
  <si>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</si>
  <si>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</si>
  <si>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</si>
  <si>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</si>
  <si>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</si>
  <si>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</si>
  <si>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</si>
  <si>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</si>
  <si>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</si>
  <si>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</si>
  <si>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</si>
  <si>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</si>
  <si>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</si>
  <si>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</si>
  <si>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</si>
  <si>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</si>
  <si>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</si>
  <si>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</si>
  <si>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</si>
  <si>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</si>
  <si>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</si>
  <si>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</si>
  <si>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</si>
  <si>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</si>
  <si>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</si>
  <si>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</si>
  <si>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</si>
  <si>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</si>
  <si>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</si>
  <si>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</si>
  <si>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</si>
  <si>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</si>
  <si>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</si>
  <si>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</si>
  <si>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</si>
  <si>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</si>
  <si>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</si>
  <si>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</si>
  <si>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</si>
  <si>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</si>
  <si>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</si>
  <si>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</si>
  <si>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</si>
  <si>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</si>
  <si>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</si>
  <si>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</si>
  <si>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</si>
  <si>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</si>
  <si>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</si>
  <si>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</si>
  <si>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</si>
  <si>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</si>
  <si>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</si>
  <si>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</si>
  <si>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</si>
  <si>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</si>
  <si>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</si>
  <si>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</si>
  <si>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</si>
  <si>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</si>
  <si>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</si>
  <si>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</si>
  <si>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</si>
  <si>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</si>
  <si>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</si>
  <si>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</si>
  <si>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</si>
  <si>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</si>
  <si>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</si>
  <si>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</si>
  <si>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</si>
  <si>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</si>
  <si>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</si>
  <si>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</si>
  <si>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</si>
  <si>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</si>
  <si>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</si>
  <si>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</si>
  <si>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</si>
  <si>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</si>
  <si>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</si>
  <si>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</si>
  <si>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</si>
  <si>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</si>
  <si>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</si>
  <si>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</si>
  <si>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</si>
  <si>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</si>
  <si>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</si>
  <si>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</si>
  <si>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</si>
  <si>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</si>
  <si>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</si>
  <si>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</si>
  <si>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</si>
  <si>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</si>
  <si>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</si>
  <si>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</si>
  <si>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</si>
  <si>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</si>
  <si>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</si>
  <si>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</si>
  <si>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</si>
  <si>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</si>
  <si>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</si>
  <si>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</si>
  <si>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</si>
  <si>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</si>
  <si>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</si>
  <si>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</si>
  <si>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</si>
  <si>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</si>
  <si>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</si>
  <si>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</si>
  <si>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</si>
  <si>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</si>
  <si>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</si>
  <si>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</si>
  <si>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</si>
  <si>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</si>
  <si>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</si>
  <si>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</si>
  <si>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</si>
  <si>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</si>
  <si>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</si>
  <si>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</si>
  <si>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</si>
  <si>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</si>
  <si>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</si>
  <si>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</si>
  <si>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</si>
  <si>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</si>
  <si>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</si>
  <si>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</si>
  <si>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</si>
  <si>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</si>
  <si>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</si>
  <si>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</si>
  <si>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</si>
  <si>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</si>
  <si>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</si>
  <si>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</si>
  <si>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</si>
  <si>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</si>
  <si>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</si>
  <si>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</si>
  <si>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</si>
  <si>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</si>
  <si>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</si>
  <si>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</si>
  <si>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</si>
  <si>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</si>
  <si>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</si>
  <si>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</si>
  <si>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</si>
  <si>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</si>
  <si>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</si>
  <si>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</si>
  <si>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</si>
  <si>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</si>
  <si>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</si>
  <si>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</si>
  <si>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</si>
  <si>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</si>
  <si>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</si>
  <si>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</si>
  <si>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</si>
  <si>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</si>
  <si>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</si>
  <si>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</si>
  <si>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</si>
  <si>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</si>
  <si>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</si>
  <si>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</si>
  <si>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</si>
  <si>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</si>
  <si>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</si>
  <si>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</si>
  <si>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</si>
  <si>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</si>
  <si>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</si>
  <si>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</si>
  <si>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</si>
  <si>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</si>
  <si>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</si>
  <si>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</si>
  <si>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</si>
  <si>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</si>
  <si>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</si>
  <si>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</si>
  <si>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</si>
  <si>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</si>
  <si>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</si>
  <si>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</si>
  <si>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</si>
  <si>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</si>
  <si>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</si>
  <si>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</si>
  <si>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</si>
  <si>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</si>
  <si>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</si>
  <si>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</si>
  <si>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</si>
  <si>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</si>
  <si>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</si>
  <si>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</si>
  <si>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</si>
  <si>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</si>
  <si>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</si>
  <si>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</si>
  <si>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</si>
  <si>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</si>
  <si>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</si>
  <si>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</si>
  <si>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</si>
  <si>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</si>
  <si>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</si>
  <si>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</si>
  <si>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</si>
  <si>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</si>
  <si>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</si>
  <si>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</si>
  <si>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</si>
  <si>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</si>
  <si>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</si>
  <si>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</si>
  <si>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</si>
  <si>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</si>
  <si>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</si>
  <si>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</si>
  <si>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</si>
  <si>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</si>
  <si>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</si>
  <si>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</si>
  <si>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</si>
  <si>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</si>
  <si>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</si>
  <si>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</si>
  <si>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</si>
  <si>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</si>
  <si>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</si>
  <si>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</si>
  <si>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</si>
  <si>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</si>
  <si>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</si>
  <si>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</si>
  <si>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</si>
  <si>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</si>
  <si>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</si>
  <si>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</si>
  <si>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</si>
  <si>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</si>
  <si>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</si>
  <si>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</si>
  <si>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</si>
  <si>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</si>
  <si>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</si>
  <si>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</si>
  <si>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</si>
  <si>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</si>
  <si>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</si>
  <si>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</si>
  <si>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</si>
  <si>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</si>
  <si>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</si>
  <si>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</si>
  <si>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</si>
  <si>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</si>
  <si>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</si>
  <si>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</si>
  <si>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</si>
  <si>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</si>
  <si>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</si>
  <si>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</si>
  <si>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</si>
  <si>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</si>
  <si>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</si>
  <si>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</si>
  <si>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</si>
  <si>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</si>
  <si>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</si>
  <si>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</si>
  <si>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</si>
  <si>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</si>
  <si>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</si>
  <si>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</si>
  <si>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</si>
  <si>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</si>
  <si>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</si>
  <si>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</si>
  <si>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</si>
  <si>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</si>
  <si>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</si>
  <si>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</si>
  <si>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</si>
  <si>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</si>
  <si>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</si>
  <si>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</si>
  <si>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</si>
  <si>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</si>
  <si>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</si>
  <si>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</si>
  <si>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</si>
  <si>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</si>
  <si>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</si>
  <si>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</si>
  <si>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</si>
  <si>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</si>
  <si>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</si>
  <si>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</si>
  <si>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</si>
  <si>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</si>
  <si>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</si>
  <si>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</si>
  <si>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</si>
  <si>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</si>
  <si>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</si>
  <si>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</si>
  <si>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</si>
  <si>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</si>
  <si>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</si>
  <si>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</si>
  <si>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</si>
  <si>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</si>
  <si>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</si>
  <si>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</si>
  <si>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</si>
  <si>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</si>
  <si>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</si>
  <si>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</si>
  <si>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</si>
  <si>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</si>
  <si>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</si>
  <si>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</si>
  <si>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</si>
  <si>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</si>
  <si>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</si>
  <si>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</si>
  <si>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</si>
  <si>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</si>
  <si>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</si>
  <si>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</si>
  <si>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</si>
  <si>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</si>
  <si>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</si>
  <si>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</si>
  <si>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</si>
  <si>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</si>
  <si>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</si>
  <si>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</si>
  <si>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</si>
  <si>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</si>
  <si>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</si>
  <si>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</si>
  <si>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</si>
  <si>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</si>
  <si>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</si>
  <si>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</si>
  <si>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</si>
  <si>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</si>
  <si>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</si>
  <si>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</si>
  <si>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</si>
  <si>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</si>
  <si>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</si>
  <si>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</si>
  <si>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</si>
  <si>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</si>
  <si>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</si>
  <si>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</si>
  <si>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</si>
  <si>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</si>
  <si>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</si>
  <si>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</si>
  <si>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</si>
  <si>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</si>
  <si>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</si>
  <si>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</si>
  <si>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</si>
  <si>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</si>
  <si>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</si>
  <si>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</si>
  <si>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</si>
  <si>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</si>
  <si>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</si>
  <si>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</si>
  <si>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</si>
  <si>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</si>
  <si>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</si>
  <si>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</si>
  <si>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</si>
  <si>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</si>
  <si>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</si>
  <si>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</si>
  <si>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</si>
  <si>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</si>
  <si>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</si>
  <si>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</si>
  <si>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</si>
  <si>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</si>
  <si>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</si>
  <si>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</si>
  <si>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</si>
  <si>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</si>
  <si>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</si>
  <si>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</si>
  <si>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</si>
  <si>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</si>
  <si>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</si>
  <si>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</si>
  <si>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</si>
  <si>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</si>
  <si>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</si>
  <si>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</si>
  <si>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</si>
  <si>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</si>
  <si>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</si>
  <si>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</si>
  <si>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</si>
  <si>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</si>
  <si>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</si>
  <si>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</si>
  <si>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</si>
  <si>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</si>
  <si>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</si>
  <si>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</si>
  <si>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</si>
  <si>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</si>
  <si>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</si>
  <si>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</si>
  <si>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</si>
  <si>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</si>
  <si>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</si>
  <si>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</si>
  <si>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</si>
  <si>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</si>
  <si>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</si>
  <si>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</si>
  <si>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</si>
  <si>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</si>
  <si>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</si>
  <si>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</si>
  <si>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</si>
  <si>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</si>
  <si>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</si>
  <si>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</si>
  <si>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</si>
  <si>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</si>
  <si>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</si>
  <si>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</si>
  <si>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</si>
  <si>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</si>
  <si>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</si>
  <si>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</si>
  <si>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</si>
  <si>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</si>
  <si>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</si>
  <si>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</si>
  <si>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</si>
  <si>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</si>
  <si>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</si>
  <si>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</si>
  <si>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</si>
  <si>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</si>
  <si>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</si>
  <si>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</si>
  <si>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</si>
  <si>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</si>
  <si>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</si>
  <si>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</si>
  <si>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</si>
  <si>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</si>
  <si>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</si>
  <si>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</si>
  <si>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</si>
  <si>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</si>
  <si>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</si>
  <si>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</si>
  <si>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</si>
  <si>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</si>
  <si>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</si>
  <si>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</si>
  <si>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</si>
  <si>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</si>
  <si>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</si>
  <si>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</si>
  <si>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</si>
  <si>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</si>
  <si>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</si>
  <si>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</si>
  <si>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</si>
  <si>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</si>
  <si>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</si>
  <si>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</si>
  <si>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</si>
  <si>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</si>
  <si>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</si>
  <si>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</si>
  <si>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</si>
  <si>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</si>
  <si>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</si>
  <si>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</si>
  <si>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</si>
  <si>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</si>
  <si>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</si>
  <si>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</si>
  <si>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</si>
  <si>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</si>
  <si>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</si>
  <si>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</si>
  <si>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</si>
  <si>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</si>
  <si>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</si>
  <si>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</si>
  <si>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</si>
  <si>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</si>
  <si>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</si>
  <si>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</si>
  <si>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</si>
  <si>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</si>
  <si>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</si>
  <si>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</si>
  <si>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</si>
  <si>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</si>
  <si>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</si>
  <si>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</si>
  <si>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</si>
  <si>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</si>
  <si>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</si>
  <si>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</si>
  <si>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</si>
  <si>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</si>
  <si>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</si>
  <si>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</si>
  <si>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</si>
  <si>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</si>
  <si>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</si>
  <si>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</si>
  <si>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</si>
  <si>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</si>
  <si>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</si>
  <si>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</si>
  <si>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</si>
  <si>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</si>
  <si>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</si>
  <si>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</si>
  <si>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</si>
  <si>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</si>
  <si>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</si>
  <si>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</si>
  <si>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</si>
  <si>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</si>
  <si>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</si>
  <si>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</si>
  <si>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</si>
  <si>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</si>
  <si>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</si>
  <si>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</si>
  <si>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</si>
  <si>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</si>
  <si>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</si>
  <si>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</si>
  <si>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</si>
  <si>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</si>
  <si>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</si>
  <si>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</si>
  <si>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</si>
  <si>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</si>
  <si>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</si>
  <si>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</si>
  <si>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</si>
  <si>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</si>
  <si>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</si>
  <si>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</si>
  <si>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</si>
  <si>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</si>
  <si>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</si>
  <si>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</si>
  <si>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</si>
  <si>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</si>
  <si>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</si>
  <si>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</si>
  <si>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</si>
  <si>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</si>
  <si>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</si>
  <si>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</si>
  <si>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</si>
  <si>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</si>
  <si>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</si>
  <si>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</si>
  <si>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</si>
  <si>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</si>
  <si>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</si>
  <si>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</si>
  <si>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</si>
  <si>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</si>
  <si>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</si>
  <si>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</si>
  <si>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</si>
  <si>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</si>
  <si>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</si>
  <si>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</si>
  <si>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</si>
  <si>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</si>
  <si>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</si>
  <si>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</si>
  <si>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</si>
  <si>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</si>
  <si>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</si>
  <si>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</si>
  <si>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</si>
  <si>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</si>
  <si>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</si>
  <si>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</si>
  <si>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</si>
  <si>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</si>
  <si>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</si>
  <si>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</si>
  <si>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</si>
  <si>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</si>
  <si>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</si>
  <si>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</si>
  <si>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</si>
  <si>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</si>
  <si>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</si>
  <si>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</si>
  <si>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</si>
  <si>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</si>
  <si>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</si>
  <si>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</si>
  <si>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</si>
  <si>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</si>
  <si>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</si>
  <si>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</si>
  <si>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</si>
  <si>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</si>
  <si>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</si>
  <si>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</si>
  <si>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</si>
  <si>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</si>
  <si>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</si>
  <si>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</si>
  <si>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</si>
  <si>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</si>
  <si>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</si>
  <si>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</si>
  <si>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</si>
  <si>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</si>
  <si>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</si>
  <si>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</si>
  <si>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</si>
  <si>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</si>
  <si>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</si>
  <si>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</si>
  <si>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</si>
  <si>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</si>
  <si>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</si>
  <si>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</si>
  <si>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</si>
  <si>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</si>
  <si>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</si>
  <si>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</si>
  <si>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</si>
  <si>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</si>
  <si>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</si>
  <si>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</si>
  <si>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</si>
  <si>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</si>
  <si>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</si>
  <si>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</si>
  <si>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</si>
  <si>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</si>
  <si>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</si>
  <si>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</si>
  <si>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</si>
  <si>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</si>
  <si>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</si>
  <si>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</si>
  <si>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</si>
  <si>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</si>
  <si>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</si>
  <si>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</si>
  <si>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</si>
  <si>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</si>
  <si>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</si>
  <si>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</si>
  <si>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</si>
  <si>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</si>
  <si>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</si>
  <si>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</si>
  <si>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</si>
  <si>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</si>
  <si>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</si>
  <si>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</si>
  <si>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</si>
  <si>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</si>
  <si>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</si>
  <si>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</si>
  <si>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</si>
  <si>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</si>
  <si>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</si>
  <si>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</si>
  <si>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</si>
  <si>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</si>
  <si>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</si>
  <si>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</si>
  <si>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</si>
  <si>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</si>
  <si>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</si>
  <si>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</si>
  <si>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</si>
  <si>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</si>
  <si>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</si>
  <si>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</si>
  <si>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</si>
  <si>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</si>
  <si>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</si>
  <si>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</si>
  <si>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</si>
  <si>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</si>
  <si>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</si>
  <si>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</si>
  <si>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</si>
  <si>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</si>
  <si>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</si>
  <si>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</si>
  <si>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</si>
  <si>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</si>
  <si>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</si>
  <si>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</si>
  <si>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</si>
  <si>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</si>
  <si>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</si>
  <si>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</si>
  <si>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</si>
  <si>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</si>
  <si>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</si>
  <si>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</si>
  <si>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</si>
  <si>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</si>
  <si>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</si>
  <si>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</si>
  <si>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</si>
  <si>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</si>
  <si>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</si>
  <si>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</si>
  <si>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</si>
  <si>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</si>
  <si>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</si>
  <si>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</si>
  <si>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</si>
  <si>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</si>
  <si>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</si>
  <si>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</si>
  <si>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</si>
  <si>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</si>
  <si>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</si>
  <si>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</si>
  <si>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</si>
  <si>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</si>
  <si>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</si>
  <si>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</si>
  <si>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</si>
  <si>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</si>
  <si>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</si>
  <si>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</si>
  <si>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</si>
  <si>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</si>
  <si>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</si>
  <si>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</si>
  <si>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</si>
  <si>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</si>
  <si>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</si>
  <si>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</si>
  <si>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</si>
  <si>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</si>
  <si>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</si>
  <si>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</si>
  <si>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</si>
  <si>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</si>
  <si>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</si>
  <si>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</si>
  <si>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</si>
  <si>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</si>
  <si>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</si>
  <si>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</si>
  <si>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</si>
  <si>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</si>
  <si>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</si>
  <si>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</si>
  <si>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</si>
  <si>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</si>
  <si>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</si>
  <si>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</si>
  <si>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</si>
  <si>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</si>
  <si>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</si>
  <si>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</si>
  <si>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</si>
  <si>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</si>
  <si>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</si>
  <si>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</si>
  <si>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</si>
  <si>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</si>
  <si>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</si>
  <si>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</si>
  <si>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</si>
  <si>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</si>
  <si>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</si>
  <si>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</si>
  <si>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</si>
  <si>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</si>
  <si>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</si>
  <si>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</si>
  <si>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</si>
  <si>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</si>
  <si>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</si>
  <si>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</si>
  <si>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</si>
  <si>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</si>
  <si>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</si>
  <si>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</si>
  <si>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</si>
  <si>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</si>
  <si>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</si>
  <si>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</si>
  <si>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</si>
  <si>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</si>
  <si>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</si>
  <si>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</si>
  <si>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</si>
  <si>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</si>
  <si>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</si>
  <si>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</si>
  <si>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</si>
  <si>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</si>
  <si>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</si>
  <si>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</si>
  <si>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</si>
  <si>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</si>
  <si>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</si>
  <si>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</si>
  <si>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</si>
  <si>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</si>
  <si>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</si>
  <si>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</si>
  <si>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</si>
  <si>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</si>
  <si>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</si>
  <si>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</si>
  <si>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</si>
  <si>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</si>
  <si>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</si>
  <si>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</si>
  <si>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</si>
  <si>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</si>
  <si>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</si>
  <si>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</si>
  <si>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</si>
  <si>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</si>
  <si>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</si>
  <si>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</si>
  <si>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</si>
  <si>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</si>
  <si>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</si>
  <si>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</si>
  <si>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</si>
  <si>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</si>
  <si>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</si>
  <si>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</si>
  <si>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</si>
  <si>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</si>
  <si>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</si>
  <si>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</si>
  <si>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</si>
  <si>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</si>
  <si>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</si>
  <si>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</si>
  <si>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</si>
  <si>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</si>
  <si>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</si>
  <si>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</si>
  <si>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</si>
  <si>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</si>
  <si>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</si>
  <si>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</si>
  <si>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</si>
  <si>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</si>
  <si>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</si>
  <si>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</si>
  <si>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</si>
  <si>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</si>
  <si>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</si>
  <si>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</si>
  <si>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</si>
  <si>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</si>
  <si>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</si>
  <si>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</si>
  <si>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</si>
  <si>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</si>
  <si>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</si>
  <si>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</si>
  <si>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</si>
  <si>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</si>
  <si>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</si>
  <si>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</si>
  <si>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</si>
  <si>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</si>
  <si>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</si>
  <si>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</si>
  <si>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</si>
  <si>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</si>
  <si>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</si>
  <si>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</si>
  <si>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</si>
  <si>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</si>
  <si>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</si>
  <si>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</si>
  <si>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</si>
  <si>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</si>
  <si>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</si>
  <si>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</si>
  <si>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</si>
  <si>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</si>
  <si>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</si>
  <si>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</si>
  <si>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</si>
  <si>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</si>
  <si>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</si>
  <si>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</si>
  <si>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</si>
  <si>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</si>
  <si>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</si>
  <si>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</si>
  <si>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</si>
  <si>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</si>
  <si>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</si>
  <si>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</si>
  <si>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</si>
  <si>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</si>
  <si>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</si>
  <si>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</si>
  <si>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</si>
  <si>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</si>
  <si>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</si>
  <si>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</si>
  <si>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</si>
  <si>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</si>
  <si>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</si>
  <si>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</si>
  <si>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</si>
  <si>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</si>
  <si>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</si>
  <si>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</si>
  <si>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</si>
  <si>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</si>
  <si>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</si>
  <si>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</si>
  <si>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</si>
  <si>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</si>
  <si>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</si>
  <si>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</si>
  <si>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</si>
  <si>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</si>
  <si>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</si>
  <si>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</si>
  <si>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</si>
  <si>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</si>
  <si>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</si>
  <si>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</si>
  <si>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</si>
  <si>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</si>
  <si>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</si>
  <si>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</si>
  <si>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</si>
  <si>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</si>
  <si>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</si>
  <si>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</si>
  <si>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</si>
  <si>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</si>
  <si>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</si>
  <si>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</si>
  <si>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</si>
  <si>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</si>
  <si>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</si>
  <si>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</si>
  <si>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</si>
  <si>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</si>
  <si>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</si>
  <si>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</si>
  <si>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</si>
  <si>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</si>
  <si>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</si>
  <si>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</si>
  <si>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</si>
  <si>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</si>
  <si>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</si>
  <si>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</si>
  <si>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</si>
  <si>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</si>
  <si>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</si>
  <si>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</si>
  <si>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</si>
  <si>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</si>
  <si>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</si>
  <si>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</si>
  <si>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</si>
  <si>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</si>
  <si>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</si>
  <si>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</si>
  <si>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</si>
  <si>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</si>
  <si>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</si>
  <si>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</si>
  <si>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</si>
  <si>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</si>
  <si>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</si>
  <si>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</si>
  <si>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</si>
  <si>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</si>
  <si>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</si>
  <si>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</si>
  <si>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</si>
  <si>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</si>
  <si>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</si>
  <si>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</si>
  <si>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</si>
  <si>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</si>
  <si>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</si>
  <si>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</si>
  <si>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</si>
  <si>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</si>
  <si>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</si>
  <si>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</si>
  <si>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</si>
  <si>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</si>
  <si>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</si>
  <si>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</si>
  <si>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</si>
  <si>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</si>
  <si>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</si>
  <si>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</si>
  <si>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</si>
  <si>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</si>
  <si>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</si>
  <si>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</si>
  <si>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</si>
  <si>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</si>
  <si>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</si>
  <si>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</si>
  <si>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</si>
  <si>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</si>
  <si>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</si>
  <si>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</si>
  <si>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</si>
  <si>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</si>
  <si>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</si>
  <si>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</si>
  <si>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</si>
  <si>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</si>
  <si>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</si>
  <si>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</si>
  <si>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</si>
  <si>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</si>
  <si>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</si>
  <si>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</si>
  <si>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</si>
  <si>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</si>
  <si>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</si>
  <si>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</si>
  <si>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</si>
  <si>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</si>
  <si>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</si>
  <si>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</si>
  <si>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</si>
  <si>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</si>
  <si>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</si>
  <si>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</si>
  <si>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</si>
  <si>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</si>
  <si>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</si>
  <si>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</si>
  <si>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</si>
  <si>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</si>
  <si>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</si>
  <si>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</si>
  <si>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</si>
  <si>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</si>
  <si>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</si>
  <si>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</si>
  <si>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</si>
  <si>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</si>
  <si>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</si>
  <si>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</si>
  <si>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</si>
  <si>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</si>
  <si>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</si>
  <si>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</si>
  <si>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</si>
  <si>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</si>
  <si>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</si>
  <si>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</si>
  <si>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</si>
  <si>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</si>
  <si>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</si>
  <si>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</si>
  <si>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</si>
  <si>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</si>
  <si>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</si>
  <si>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</si>
  <si>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</si>
  <si>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</si>
  <si>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</si>
  <si>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</si>
  <si>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</si>
  <si>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</si>
  <si>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</si>
  <si>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</si>
  <si>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</si>
  <si>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</si>
  <si>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</si>
  <si>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</si>
  <si>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</si>
  <si>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</si>
  <si>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</si>
  <si>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</si>
  <si>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</si>
  <si>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</si>
  <si>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</si>
  <si>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</si>
  <si>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</si>
  <si>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</si>
  <si>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</si>
  <si>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</si>
  <si>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</si>
  <si>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</si>
  <si>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</si>
  <si>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</si>
  <si>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</si>
  <si>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</si>
  <si>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</si>
  <si>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</si>
  <si>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</si>
  <si>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</si>
  <si>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</si>
  <si>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</si>
  <si>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</si>
  <si>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</si>
  <si>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</si>
  <si>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</si>
  <si>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</si>
  <si>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</si>
  <si>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</si>
  <si>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</si>
  <si>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</si>
  <si>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</si>
  <si>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</si>
  <si>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</si>
  <si>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</si>
  <si>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</si>
  <si>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</si>
  <si>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</si>
  <si>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</si>
  <si>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</si>
  <si>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</si>
  <si>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</si>
  <si>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</si>
  <si>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</si>
  <si>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</si>
  <si>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</si>
  <si>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</si>
  <si>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</si>
  <si>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</si>
  <si>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</si>
  <si>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</si>
  <si>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</si>
  <si>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</si>
  <si>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</si>
  <si>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</si>
  <si>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</si>
  <si>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</si>
  <si>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</si>
  <si>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</si>
  <si>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</si>
  <si>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</si>
  <si>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</si>
  <si>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</si>
  <si>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</si>
  <si>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</si>
  <si>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</si>
  <si>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</si>
  <si>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</si>
  <si>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</si>
  <si>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</si>
  <si>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</si>
  <si>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</si>
  <si>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</si>
  <si>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</si>
  <si>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</si>
  <si>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</si>
  <si>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</si>
  <si>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</si>
  <si>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</si>
  <si>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</si>
  <si>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</si>
  <si>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</si>
  <si>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</si>
  <si>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</si>
  <si>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</si>
  <si>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</si>
  <si>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</si>
  <si>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</si>
  <si>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</si>
  <si>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</si>
  <si>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</si>
  <si>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</si>
  <si>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</si>
  <si>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</si>
  <si>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</si>
  <si>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</si>
  <si>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</si>
  <si>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</si>
  <si>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</si>
  <si>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</si>
  <si>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</si>
  <si>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</si>
  <si>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</si>
  <si>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</si>
  <si>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</si>
  <si>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</si>
  <si>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</si>
  <si>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</si>
  <si>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</si>
  <si>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</si>
  <si>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</si>
  <si>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</si>
  <si>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</si>
  <si>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</si>
  <si>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</si>
  <si>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</si>
  <si>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</si>
  <si>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</si>
  <si>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</si>
  <si>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</si>
  <si>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</si>
  <si>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</si>
  <si>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</si>
  <si>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</si>
  <si>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</si>
  <si>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</si>
  <si>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</si>
  <si>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</si>
  <si>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</si>
  <si>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</si>
  <si>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</si>
  <si>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</si>
  <si>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</si>
  <si>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</si>
  <si>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</si>
  <si>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</si>
  <si>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</si>
  <si>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</si>
  <si>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</si>
  <si>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</si>
  <si>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</si>
  <si>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</si>
  <si>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</si>
  <si>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</si>
  <si>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</si>
  <si>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</si>
  <si>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</si>
  <si>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</si>
  <si>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</si>
  <si>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</si>
  <si>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</si>
  <si>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</si>
  <si>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</si>
  <si>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</si>
  <si>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</si>
  <si>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</si>
  <si>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</si>
  <si>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</si>
  <si>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</si>
  <si>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</si>
  <si>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</si>
  <si>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</si>
  <si>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</si>
  <si>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</si>
  <si>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</si>
  <si>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</si>
  <si>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</si>
  <si>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</si>
  <si>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</si>
  <si>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</si>
  <si>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</si>
  <si>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</si>
  <si>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</si>
  <si>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</si>
  <si>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</si>
  <si>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</si>
  <si>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</si>
  <si>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</si>
  <si>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</si>
  <si>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</si>
  <si>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</si>
  <si>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</si>
  <si>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</si>
  <si>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</si>
  <si>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</si>
  <si>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</si>
  <si>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</si>
  <si>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</si>
  <si>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</si>
  <si>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</si>
  <si>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</si>
  <si>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</si>
  <si>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</si>
  <si>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</si>
  <si>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</si>
  <si>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</si>
  <si>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</si>
  <si>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</si>
  <si>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</si>
  <si>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</si>
  <si>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</si>
  <si>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</si>
  <si>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</si>
  <si>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</si>
  <si>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</si>
  <si>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</si>
  <si>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</si>
  <si>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</si>
  <si>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</si>
  <si>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</si>
  <si>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</si>
  <si>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</si>
  <si>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</si>
  <si>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</si>
  <si>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</si>
  <si>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</si>
  <si>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</si>
  <si>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</si>
  <si>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</si>
  <si>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</si>
  <si>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</si>
  <si>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</si>
  <si>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</si>
  <si>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</si>
  <si>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</si>
  <si>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</si>
  <si>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</si>
  <si>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</si>
  <si>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</si>
  <si>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</si>
  <si>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</si>
  <si>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</si>
  <si>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</si>
  <si>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</si>
  <si>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</si>
  <si>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</si>
  <si>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</si>
  <si>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</si>
  <si>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</si>
  <si>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</si>
  <si>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</si>
  <si>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</si>
  <si>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</si>
  <si>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</si>
  <si>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</si>
  <si>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</si>
  <si>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</si>
  <si>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</si>
  <si>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</si>
  <si>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</si>
  <si>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</si>
  <si>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</si>
  <si>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</si>
  <si>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</si>
  <si>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</si>
  <si>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</si>
  <si>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</si>
  <si>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</si>
  <si>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</si>
  <si>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</si>
  <si>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</si>
  <si>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</si>
  <si>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</si>
  <si>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</si>
  <si>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</si>
  <si>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</si>
  <si>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</si>
  <si>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</si>
  <si>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</si>
  <si>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</si>
  <si>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</si>
  <si>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</si>
  <si>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</si>
  <si>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</si>
  <si>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</si>
  <si>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</si>
  <si>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</si>
  <si>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</si>
  <si>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</si>
  <si>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</si>
  <si>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</si>
  <si>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</si>
  <si>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</si>
  <si>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</si>
  <si>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</si>
  <si>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</si>
  <si>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</si>
  <si>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</si>
  <si>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</si>
  <si>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</si>
  <si>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</si>
  <si>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</si>
  <si>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</si>
  <si>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</si>
  <si>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</si>
  <si>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</si>
  <si>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</si>
  <si>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</si>
  <si>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</si>
  <si>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</si>
  <si>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</si>
  <si>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</si>
  <si>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</si>
  <si>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</si>
  <si>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</si>
  <si>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</si>
  <si>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</si>
  <si>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</si>
  <si>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</si>
  <si>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</si>
  <si>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</si>
  <si>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</si>
  <si>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</si>
  <si>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</si>
  <si>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</si>
  <si>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</si>
  <si>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</si>
  <si>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</si>
  <si>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</si>
  <si>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</si>
  <si>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</si>
  <si>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</si>
  <si>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</si>
  <si>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</si>
  <si>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</si>
  <si>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</si>
  <si>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</si>
  <si>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</si>
  <si>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</si>
  <si>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</si>
  <si>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</si>
  <si>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</si>
  <si>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</si>
  <si>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</si>
  <si>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</si>
  <si>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</si>
  <si>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</si>
  <si>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</si>
  <si>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</si>
  <si>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</si>
  <si>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</si>
  <si>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</si>
  <si>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</si>
  <si>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</si>
  <si>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</si>
  <si>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</si>
  <si>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</si>
  <si>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</si>
  <si>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</si>
  <si>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</si>
  <si>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</si>
  <si>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</si>
  <si>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</si>
  <si>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</si>
  <si>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</si>
  <si>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</si>
  <si>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</si>
  <si>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</si>
  <si>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</si>
  <si>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</si>
  <si>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</si>
  <si>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</si>
  <si>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</si>
  <si>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</si>
  <si>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</si>
  <si>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</si>
  <si>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</si>
  <si>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</si>
  <si>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</si>
  <si>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</si>
  <si>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</si>
  <si>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</si>
  <si>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</si>
  <si>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</si>
  <si>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</si>
  <si>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</si>
  <si>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</si>
  <si>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</si>
  <si>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</si>
  <si>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</si>
  <si>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</si>
  <si>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</si>
  <si>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</si>
  <si>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</si>
  <si>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</si>
  <si>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</si>
  <si>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</si>
  <si>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</si>
  <si>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</si>
  <si>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</si>
  <si>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</si>
  <si>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</si>
  <si>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</si>
  <si>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</si>
  <si>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</si>
  <si>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</si>
  <si>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</si>
  <si>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</si>
  <si>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</si>
  <si>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</si>
  <si>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</si>
  <si>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</si>
  <si>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</si>
  <si>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</si>
  <si>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</si>
  <si>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</si>
  <si>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</si>
  <si>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</si>
  <si>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</si>
  <si>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</si>
  <si>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</si>
  <si>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</si>
  <si>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</si>
  <si>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</si>
  <si>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</si>
  <si>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</si>
  <si>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</si>
  <si>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</si>
  <si>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</si>
  <si>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</si>
  <si>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</si>
  <si>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</si>
  <si>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</si>
  <si>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</si>
  <si>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</si>
  <si>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</si>
  <si>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</si>
  <si>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</si>
  <si>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</si>
  <si>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</si>
  <si>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</si>
  <si>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</si>
  <si>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</si>
  <si>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</si>
  <si>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</si>
  <si>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</si>
  <si>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</si>
  <si>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</si>
  <si>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</si>
  <si>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</si>
  <si>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</si>
  <si>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</si>
  <si>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</si>
  <si>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</si>
  <si>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</si>
  <si>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</si>
  <si>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</si>
  <si>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</si>
  <si>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</si>
  <si>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</si>
  <si>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</si>
  <si>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</si>
  <si>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</si>
  <si>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</si>
  <si>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</si>
  <si>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</si>
  <si>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</si>
  <si>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</si>
  <si>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</si>
  <si>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</si>
  <si>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</si>
  <si>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</si>
  <si>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</si>
  <si>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</si>
  <si>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</si>
  <si>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</si>
  <si>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</si>
  <si>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</si>
  <si>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</si>
  <si>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</si>
  <si>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</si>
  <si>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</si>
  <si>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</si>
  <si>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</si>
  <si>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</si>
  <si>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</si>
  <si>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</si>
  <si>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</si>
  <si>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</si>
  <si>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</si>
  <si>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</si>
  <si>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</si>
  <si>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</si>
  <si>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</si>
  <si>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</si>
  <si>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</si>
  <si>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</si>
  <si>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</si>
  <si>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</si>
  <si>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</si>
  <si>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</si>
  <si>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</si>
  <si>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</si>
  <si>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</si>
  <si>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</si>
  <si>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</si>
  <si>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</si>
  <si>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</si>
  <si>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</si>
  <si>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</si>
  <si>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</si>
  <si>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</si>
  <si>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</si>
  <si>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</si>
  <si>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</si>
  <si>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</si>
  <si>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</si>
  <si>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</si>
  <si>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</si>
  <si>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</si>
  <si>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</si>
  <si>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</si>
  <si>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</si>
  <si>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</si>
  <si>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</si>
  <si>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</si>
  <si>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</si>
  <si>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</si>
  <si>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</si>
  <si>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</si>
  <si>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</si>
  <si>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</si>
  <si>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</si>
  <si>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</si>
  <si>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</si>
  <si>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</si>
  <si>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</si>
  <si>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</si>
  <si>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</si>
  <si>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</si>
  <si>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</si>
  <si>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</si>
  <si>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</si>
  <si>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</si>
  <si>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</si>
  <si>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</si>
  <si>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</si>
  <si>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</si>
  <si>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</si>
  <si>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</si>
  <si>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</si>
  <si>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</si>
  <si>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</si>
  <si>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</si>
  <si>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</si>
  <si>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</si>
  <si>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</si>
  <si>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</si>
  <si>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</si>
  <si>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</si>
  <si>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</si>
  <si>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</si>
  <si>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</si>
  <si>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</si>
  <si>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</si>
  <si>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</si>
  <si>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</si>
  <si>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</si>
  <si>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</si>
  <si>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</si>
  <si>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</si>
  <si>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</si>
  <si>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</si>
  <si>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</si>
  <si>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</si>
  <si>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</si>
  <si>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</si>
  <si>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</si>
  <si>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</si>
  <si>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</si>
  <si>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</si>
  <si>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</si>
  <si>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</si>
  <si>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</si>
  <si>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</si>
  <si>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</si>
  <si>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</si>
  <si>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</si>
  <si>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</si>
  <si>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</si>
  <si>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</si>
  <si>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</si>
  <si>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</si>
  <si>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</si>
  <si>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</si>
  <si>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</si>
  <si>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</si>
  <si>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</si>
  <si>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</si>
  <si>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</si>
  <si>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</si>
  <si>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</si>
  <si>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</si>
  <si>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</si>
  <si>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</si>
  <si>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</si>
  <si>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</si>
  <si>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</si>
  <si>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</si>
  <si>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</si>
  <si>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</si>
  <si>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</si>
  <si>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</si>
  <si>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</si>
  <si>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</si>
  <si>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</si>
  <si>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</si>
  <si>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</si>
  <si>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</si>
  <si>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</si>
  <si>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</si>
  <si>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</si>
  <si>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</si>
  <si>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</si>
  <si>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</si>
  <si>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</si>
  <si>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</si>
  <si>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</si>
  <si>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</si>
  <si>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</si>
  <si>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</si>
  <si>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</si>
  <si>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</si>
  <si>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</si>
  <si>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</si>
  <si>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</si>
  <si>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</si>
  <si>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</si>
  <si>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</si>
  <si>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</si>
  <si>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</si>
  <si>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</si>
  <si>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</si>
  <si>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</si>
  <si>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</si>
  <si>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</si>
  <si>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</si>
  <si>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</si>
  <si>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</si>
  <si>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</si>
  <si>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</si>
  <si>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</si>
  <si>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</si>
  <si>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</si>
  <si>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</si>
  <si>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</si>
  <si>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</si>
  <si>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</si>
  <si>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</si>
  <si>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</si>
  <si>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</si>
  <si>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</si>
  <si>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</si>
  <si>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</si>
  <si>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</si>
  <si>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</si>
  <si>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</si>
  <si>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</si>
  <si>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</si>
  <si>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</si>
  <si>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</si>
  <si>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</si>
  <si>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</si>
  <si>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</si>
  <si>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</si>
  <si>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</si>
  <si>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</si>
  <si>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</si>
  <si>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</si>
  <si>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</si>
  <si>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</si>
  <si>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</si>
  <si>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</si>
  <si>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</si>
  <si>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</si>
  <si>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</si>
  <si>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</si>
  <si>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</si>
  <si>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</si>
  <si>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</si>
  <si>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</si>
  <si>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</si>
  <si>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</si>
  <si>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</si>
  <si>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</si>
  <si>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</si>
  <si>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</si>
  <si>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</si>
  <si>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</si>
  <si>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</si>
  <si>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</si>
  <si>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</si>
  <si>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</si>
  <si>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</si>
  <si>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</si>
  <si>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</si>
  <si>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</si>
  <si>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</si>
  <si>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</si>
  <si>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</si>
  <si>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</si>
  <si>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</si>
  <si>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</si>
  <si>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</si>
  <si>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</si>
  <si>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</si>
  <si>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</si>
  <si>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</si>
  <si>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</si>
  <si>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</si>
  <si>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</si>
  <si>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</si>
  <si>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</si>
  <si>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</si>
  <si>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</si>
  <si>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</si>
  <si>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</si>
  <si>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</si>
  <si>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</si>
  <si>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</si>
  <si>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</si>
  <si>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</si>
  <si>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</si>
  <si>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</si>
  <si>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</si>
  <si>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</si>
  <si>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</si>
  <si>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</si>
  <si>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</si>
  <si>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</si>
  <si>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</si>
  <si>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</si>
  <si>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</si>
  <si>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</si>
  <si>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</si>
  <si>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</si>
  <si>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</si>
  <si>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</si>
  <si>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</si>
  <si>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</si>
  <si>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</si>
  <si>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</si>
  <si>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</si>
  <si>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</si>
  <si>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</si>
  <si>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</si>
  <si>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</si>
  <si>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</si>
  <si>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</si>
  <si>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</si>
  <si>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</si>
  <si>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</si>
  <si>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</si>
  <si>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</si>
  <si>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</si>
  <si>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</si>
  <si>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</si>
  <si>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</si>
  <si>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</si>
  <si>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</si>
  <si>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</si>
  <si>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</si>
  <si>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</si>
  <si>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</si>
  <si>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</si>
  <si>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</si>
  <si>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</si>
  <si>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</si>
  <si>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</si>
  <si>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</si>
  <si>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</si>
  <si>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</si>
  <si>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</si>
  <si>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</si>
  <si>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</si>
  <si>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</si>
  <si>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</si>
  <si>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</si>
  <si>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</si>
  <si>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</si>
  <si>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</si>
  <si>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</si>
  <si>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</si>
  <si>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</si>
  <si>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</si>
  <si>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</si>
  <si>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</si>
  <si>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</si>
  <si>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</si>
  <si>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</si>
  <si>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</si>
  <si>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</si>
  <si>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</si>
  <si>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</si>
  <si>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</si>
  <si>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</si>
  <si>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</si>
  <si>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</si>
  <si>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</si>
  <si>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</si>
  <si>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</si>
  <si>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</si>
  <si>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</si>
  <si>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</si>
  <si>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</si>
  <si>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</si>
  <si>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</si>
  <si>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</si>
  <si>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</si>
  <si>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</si>
  <si>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</si>
  <si>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</si>
  <si>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</si>
  <si>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</si>
  <si>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</si>
  <si>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</si>
  <si>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</si>
  <si>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</si>
  <si>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</si>
  <si>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</si>
  <si>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</si>
  <si>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</si>
  <si>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</si>
  <si>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</si>
  <si>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</si>
  <si>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</si>
  <si>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</si>
  <si>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</si>
  <si>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</si>
  <si>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</si>
  <si>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</si>
  <si>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</si>
  <si>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</si>
  <si>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</si>
  <si>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</si>
  <si>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</si>
  <si>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</si>
  <si>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</si>
  <si>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</si>
  <si>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</si>
  <si>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</si>
  <si>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</si>
  <si>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</si>
  <si>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</si>
  <si>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</si>
  <si>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</si>
  <si>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</si>
  <si>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</si>
  <si>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</si>
  <si>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</si>
  <si>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</si>
  <si>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</si>
  <si>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</si>
  <si>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</si>
  <si>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</si>
  <si>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</si>
  <si>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</si>
  <si>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</si>
  <si>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</si>
  <si>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</si>
  <si>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</si>
  <si>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</si>
  <si>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</si>
  <si>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</si>
  <si>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</si>
  <si>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</si>
  <si>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</si>
  <si>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</si>
  <si>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</si>
  <si>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</si>
  <si>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</si>
  <si>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</si>
  <si>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</si>
  <si>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</si>
  <si>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</si>
  <si>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</si>
  <si>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</si>
  <si>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</si>
  <si>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</si>
  <si>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</si>
  <si>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</si>
  <si>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</si>
  <si>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</si>
  <si>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</si>
  <si>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</si>
  <si>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</si>
  <si>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</si>
  <si>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</si>
  <si>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</si>
  <si>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</si>
  <si>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</si>
  <si>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</si>
  <si>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</si>
  <si>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</si>
  <si>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</si>
  <si>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</si>
  <si>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</si>
  <si>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</si>
  <si>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</si>
  <si>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</si>
  <si>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</si>
  <si>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</si>
  <si>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</si>
  <si>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</si>
  <si>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</si>
  <si>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</si>
  <si>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</si>
  <si>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</si>
  <si>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</si>
  <si>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</si>
  <si>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</si>
  <si>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</si>
  <si>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</si>
  <si>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</si>
  <si>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</si>
  <si>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</si>
  <si>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</si>
  <si>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</si>
  <si>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</si>
  <si>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</si>
  <si>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</si>
  <si>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</si>
  <si>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</si>
  <si>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</si>
  <si>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</si>
  <si>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</si>
  <si>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</si>
  <si>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</si>
  <si>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</si>
  <si>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</si>
  <si>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</si>
  <si>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</si>
  <si>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</si>
  <si>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</si>
  <si>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</si>
  <si>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</si>
  <si>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</si>
  <si>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</si>
  <si>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</si>
  <si>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</si>
  <si>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</si>
  <si>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</si>
  <si>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</si>
  <si>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</si>
  <si>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</si>
  <si>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</si>
  <si>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</si>
  <si>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</si>
  <si>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</si>
  <si>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</si>
  <si>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</si>
  <si>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</si>
  <si>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</si>
  <si>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</si>
  <si>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</si>
  <si>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</si>
  <si>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</si>
  <si>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</si>
  <si>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</si>
  <si>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</si>
  <si>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</si>
  <si>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</si>
  <si>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</si>
  <si>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</si>
  <si>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</si>
  <si>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</si>
  <si>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</si>
  <si>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</si>
  <si>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</si>
  <si>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</si>
  <si>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</si>
  <si>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</si>
  <si>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</si>
  <si>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</si>
  <si>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</si>
  <si>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</si>
  <si>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</si>
  <si>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</si>
  <si>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</si>
  <si>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</si>
  <si>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</si>
  <si>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</si>
  <si>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</si>
  <si>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</si>
  <si>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</si>
  <si>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</si>
  <si>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</si>
  <si>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</si>
  <si>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</si>
  <si>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</si>
  <si>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</si>
  <si>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</si>
  <si>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</si>
  <si>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</si>
  <si>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</si>
  <si>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</si>
  <si>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</si>
  <si>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</si>
  <si>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</si>
  <si>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</si>
  <si>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</si>
  <si>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</si>
  <si>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</si>
  <si>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</si>
  <si>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</si>
  <si>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</si>
  <si>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</si>
  <si>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</si>
  <si>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</si>
  <si>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</si>
  <si>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</si>
  <si>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</si>
  <si>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</si>
  <si>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</si>
  <si>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</si>
  <si>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</si>
  <si>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</si>
  <si>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</si>
  <si>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</si>
  <si>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</si>
  <si>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</si>
  <si>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</si>
  <si>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</si>
  <si>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</si>
  <si>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</si>
  <si>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</si>
  <si>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</si>
  <si>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</si>
  <si>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</si>
  <si>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</si>
  <si>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</si>
  <si>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</si>
  <si>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</si>
  <si>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</si>
  <si>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</si>
  <si>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</si>
  <si>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</si>
  <si>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</si>
  <si>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</si>
  <si>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</si>
  <si>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</si>
  <si>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</si>
  <si>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</si>
  <si>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</si>
  <si>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</si>
  <si>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</si>
  <si>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</si>
  <si>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</si>
  <si>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</si>
  <si>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</si>
  <si>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</si>
  <si>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</si>
  <si>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</si>
  <si>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</si>
  <si>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</si>
  <si>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</si>
  <si>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</si>
  <si>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</si>
  <si>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</si>
  <si>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</si>
  <si>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</si>
  <si>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</si>
  <si>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</si>
  <si>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</si>
  <si>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</si>
  <si>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</si>
  <si>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</si>
  <si>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</si>
  <si>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</si>
  <si>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</si>
  <si>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</si>
  <si>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</si>
  <si>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</si>
  <si>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</si>
  <si>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</si>
  <si>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</si>
  <si>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</si>
  <si>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</si>
  <si>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</si>
  <si>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</si>
  <si>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</si>
  <si>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</si>
  <si>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</si>
  <si>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</si>
  <si>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</si>
  <si>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</si>
  <si>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</si>
  <si>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</si>
  <si>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</si>
  <si>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</si>
  <si>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</si>
  <si>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</si>
  <si>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</si>
  <si>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</si>
  <si>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</si>
  <si>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</si>
  <si>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</si>
  <si>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</si>
  <si>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</si>
  <si>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</si>
  <si>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</si>
  <si>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</si>
  <si>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</si>
  <si>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</si>
  <si>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</si>
  <si>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</si>
  <si>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</si>
  <si>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</si>
  <si>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</si>
  <si>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</si>
  <si>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</si>
  <si>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</si>
  <si>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</si>
  <si>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</si>
  <si>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</si>
  <si>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</si>
  <si>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</si>
  <si>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</si>
  <si>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</si>
  <si>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</si>
  <si>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</si>
  <si>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</si>
  <si>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</si>
  <si>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</si>
  <si>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</si>
  <si>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</si>
  <si>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</si>
  <si>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</si>
  <si>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</si>
  <si>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</si>
  <si>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</si>
  <si>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</si>
  <si>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</si>
  <si>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</si>
  <si>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</si>
  <si>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</si>
  <si>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</si>
  <si>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</si>
  <si>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</si>
  <si>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</si>
  <si>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</si>
  <si>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</si>
  <si>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</si>
  <si>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</si>
  <si>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</si>
  <si>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</si>
  <si>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</si>
  <si>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</si>
  <si>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</si>
  <si>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</si>
  <si>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</si>
  <si>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</si>
  <si>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</si>
  <si>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</si>
  <si>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</si>
  <si>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</si>
  <si>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</si>
  <si>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</si>
  <si>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</si>
  <si>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</si>
  <si>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</si>
  <si>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</si>
  <si>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</si>
  <si>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</si>
  <si>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</si>
  <si>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</si>
  <si>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</si>
  <si>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</si>
  <si>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</si>
  <si>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</si>
  <si>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</si>
  <si>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</si>
  <si>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</si>
  <si>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</si>
  <si>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</si>
  <si>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</si>
  <si>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</si>
  <si>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</si>
  <si>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</si>
  <si>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</si>
  <si>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</si>
  <si>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</si>
  <si>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</si>
  <si>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</si>
  <si>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</si>
  <si>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</si>
  <si>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</si>
  <si>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</si>
  <si>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</si>
  <si>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</si>
  <si>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</si>
  <si>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</si>
  <si>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</si>
  <si>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</si>
  <si>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</si>
  <si>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</si>
  <si>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</si>
  <si>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</si>
  <si>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</si>
  <si>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</si>
  <si>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</si>
  <si>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</si>
  <si>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</si>
  <si>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</si>
  <si>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</si>
  <si>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</si>
  <si>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</si>
  <si>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</si>
  <si>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</si>
  <si>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</si>
  <si>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</si>
  <si>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</si>
  <si>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</si>
  <si>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</si>
  <si>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</si>
  <si>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</si>
  <si>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</si>
  <si>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</si>
  <si>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</si>
  <si>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</si>
  <si>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</si>
  <si>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</si>
  <si>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</si>
  <si>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</si>
  <si>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</si>
  <si>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</si>
  <si>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</si>
  <si>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</si>
  <si>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</si>
  <si>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</si>
  <si>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</si>
  <si>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</si>
  <si>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</si>
  <si>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</si>
  <si>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</si>
  <si>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</si>
  <si>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</si>
  <si>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</si>
  <si>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大业信托有限责任公司</t>
    <phoneticPr fontId="6" type="noConversion"/>
  </si>
  <si>
    <t>来安裕泰房地产开发有限公司</t>
    <phoneticPr fontId="6" type="noConversion"/>
  </si>
  <si>
    <t>抵押</t>
  </si>
  <si>
    <t>抵押价格</t>
  </si>
  <si>
    <t>其他：</t>
  </si>
  <si>
    <t>企业</t>
  </si>
  <si>
    <t>住宅、商业</t>
    <phoneticPr fontId="6" type="noConversion"/>
  </si>
  <si>
    <t>出让</t>
  </si>
  <si>
    <t>一致</t>
  </si>
  <si>
    <t>商业</t>
  </si>
  <si>
    <t>否</t>
  </si>
  <si>
    <t>居住项目</t>
  </si>
  <si>
    <t>无</t>
  </si>
  <si>
    <t>场地平整</t>
  </si>
  <si>
    <t>平整</t>
  </si>
  <si>
    <t>通路</t>
  </si>
  <si>
    <t>通电</t>
  </si>
  <si>
    <t>通上水</t>
  </si>
  <si>
    <t>王鹏</t>
  </si>
  <si>
    <t>郑燚</t>
  </si>
  <si>
    <t>符合</t>
  </si>
  <si>
    <t>车库</t>
  </si>
  <si>
    <t>《国有建设用地使用权出让合同》[电子监管号：3411222017B00982]及附件</t>
    <phoneticPr fontId="6" type="noConversion"/>
  </si>
  <si>
    <t>高层住宅</t>
    <phoneticPr fontId="3" type="noConversion"/>
  </si>
  <si>
    <t>合院住宅</t>
    <phoneticPr fontId="3" type="noConversion"/>
  </si>
  <si>
    <t>商业</t>
    <phoneticPr fontId="3" type="noConversion"/>
  </si>
  <si>
    <t>地上</t>
  </si>
  <si>
    <t>平层住宅</t>
  </si>
  <si>
    <t>双拼</t>
  </si>
  <si>
    <t>底商</t>
  </si>
  <si>
    <t>地下车库</t>
    <phoneticPr fontId="3" type="noConversion"/>
  </si>
  <si>
    <t>地下</t>
  </si>
  <si>
    <t>汊河新区王桥路南侧、繁盛路东侧LASZ2018-7</t>
    <phoneticPr fontId="3" type="noConversion"/>
  </si>
  <si>
    <t>汊河新区繁盛路东侧、友谊路北侧LASZ2017-49</t>
    <phoneticPr fontId="3" type="noConversion"/>
  </si>
  <si>
    <t>汊河新区繁盛路西侧、友谊路北侧LASZ2017-50</t>
    <phoneticPr fontId="3" type="noConversion"/>
  </si>
  <si>
    <t>一般</t>
  </si>
  <si>
    <t>较好</t>
  </si>
  <si>
    <t>七通</t>
  </si>
  <si>
    <t>楼面地价</t>
  </si>
  <si>
    <t>住宅</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</si>
  <si>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</si>
  <si>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</si>
  <si>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</si>
  <si>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</si>
  <si>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</si>
  <si>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</si>
  <si>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</si>
  <si>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</si>
  <si>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</si>
  <si>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</si>
  <si>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</si>
  <si>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</si>
  <si>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</si>
  <si>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</si>
  <si>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</si>
  <si>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</si>
  <si>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</si>
  <si>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</si>
  <si>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</si>
  <si>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</si>
  <si>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</si>
  <si>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</si>
  <si>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双面临街</t>
  </si>
  <si>
    <r>
      <rPr>
        <sz val="11"/>
        <color indexed="8"/>
        <rFont val="宋体"/>
        <family val="3"/>
        <charset val="134"/>
      </rPr>
      <t>住宅</t>
    </r>
    <r>
      <rPr>
        <sz val="11"/>
        <color indexed="8"/>
        <rFont val="Arial"/>
        <family val="2"/>
      </rPr>
      <t>69.6</t>
    </r>
    <r>
      <rPr>
        <sz val="11"/>
        <color indexed="8"/>
        <rFont val="宋体"/>
        <family val="3"/>
        <charset val="134"/>
      </rPr>
      <t>年、商业</t>
    </r>
    <r>
      <rPr>
        <sz val="11"/>
        <color indexed="8"/>
        <rFont val="Arial"/>
        <family val="2"/>
      </rPr>
      <t>39.6</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</si>
  <si>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</si>
  <si>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http://cdn.keyland.com.cn/news/37322.html</t>
  </si>
  <si>
    <t>高层住宅</t>
  </si>
  <si>
    <t>合院住宅</t>
  </si>
  <si>
    <t>钢混</t>
  </si>
  <si>
    <t>土地（套用方法）</t>
  </si>
  <si>
    <t>自定义</t>
  </si>
  <si>
    <t>按租金收入计税</t>
  </si>
  <si>
    <t>不动产收益法-车库</t>
  </si>
  <si>
    <t>押二</t>
  </si>
  <si>
    <t>不动产收益法-商业</t>
  </si>
  <si>
    <t>香江黄金时代</t>
    <phoneticPr fontId="3" type="noConversion"/>
  </si>
  <si>
    <t>正常</t>
  </si>
  <si>
    <t>住宅</t>
    <phoneticPr fontId="21" type="noConversion"/>
  </si>
  <si>
    <t>售价</t>
  </si>
  <si>
    <t>2018-1-0354-P02DYGJ3</t>
    <phoneticPr fontId="6" type="noConversion"/>
  </si>
  <si>
    <t>高层住宅</t>
    <phoneticPr fontId="21" type="noConversion"/>
  </si>
  <si>
    <t>钢混</t>
    <phoneticPr fontId="21" type="noConversion"/>
  </si>
  <si>
    <t>砖混</t>
    <phoneticPr fontId="21" type="noConversion"/>
  </si>
  <si>
    <t>高档</t>
  </si>
  <si>
    <t>高档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</si>
  <si>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</si>
  <si>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</si>
  <si>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</si>
  <si>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</si>
  <si>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</si>
  <si>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</si>
  <si>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</si>
  <si>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</si>
  <si>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</si>
  <si>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</si>
  <si>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</si>
  <si>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</si>
  <si>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</si>
  <si>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</si>
  <si>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</si>
  <si>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60-70（含）</t>
  </si>
  <si>
    <t>雅居乐林语城</t>
    <phoneticPr fontId="3" type="noConversion"/>
  </si>
  <si>
    <t>明发北站新城</t>
    <phoneticPr fontId="3" type="noConversion"/>
  </si>
  <si>
    <t>高层住宅</t>
    <phoneticPr fontId="233" type="noConversion"/>
  </si>
  <si>
    <t>比较法-住宅、综合</t>
  </si>
  <si>
    <t>剩余法-待开发</t>
  </si>
  <si>
    <t>项目全部</t>
  </si>
  <si>
    <t>土地</t>
  </si>
  <si>
    <t>碧桂园城市花园</t>
    <phoneticPr fontId="3" type="noConversion"/>
  </si>
  <si>
    <t>双拼</t>
    <phoneticPr fontId="233" type="noConversion"/>
  </si>
  <si>
    <t>来安县汊河新区长江大街西侧、明发北站新城北侧及黄高路东侧、明发北站新城北侧两宗住宅用地</t>
    <phoneticPr fontId="6" type="noConversion"/>
  </si>
  <si>
    <t>安徽省</t>
    <phoneticPr fontId="6" type="noConversion"/>
  </si>
  <si>
    <t>来安裕泰房地产开发有限公司</t>
    <phoneticPr fontId="6" type="noConversion"/>
  </si>
  <si>
    <t xml:space="preserve">《国有建设用地使用权出让合同》[电子监管号：3411222017B00982]及附件及《建设工程规划许可证》[编号：2018042] </t>
    <phoneticPr fontId="6" type="noConversion"/>
  </si>
  <si>
    <t>省会市名称</t>
  </si>
  <si>
    <t>建筑型式</t>
  </si>
  <si>
    <t>多层</t>
  </si>
  <si>
    <t>小高层</t>
  </si>
  <si>
    <t>高层</t>
  </si>
  <si>
    <t>合肥</t>
  </si>
  <si>
    <t>总车位个数</t>
    <phoneticPr fontId="3" type="noConversion"/>
  </si>
  <si>
    <t>单位面积</t>
    <phoneticPr fontId="3" type="noConversion"/>
  </si>
  <si>
    <t>人防车位个数</t>
    <phoneticPr fontId="3" type="noConversion"/>
  </si>
  <si>
    <t>非人防车位个数</t>
    <phoneticPr fontId="3" type="noConversion"/>
  </si>
  <si>
    <t>碧桂园城市花园</t>
    <phoneticPr fontId="3" type="noConversion"/>
  </si>
  <si>
    <r>
      <t>1</t>
    </r>
    <r>
      <rPr>
        <sz val="10"/>
        <color indexed="8"/>
        <rFont val="宋体"/>
        <family val="3"/>
        <charset val="134"/>
      </rPr>
      <t>层租金</t>
    </r>
    <phoneticPr fontId="3" type="noConversion"/>
  </si>
  <si>
    <r>
      <t>2</t>
    </r>
    <r>
      <rPr>
        <sz val="10"/>
        <color indexed="8"/>
        <rFont val="宋体"/>
        <family val="3"/>
        <charset val="134"/>
      </rPr>
      <t>层租金</t>
    </r>
    <phoneticPr fontId="3" type="noConversion"/>
  </si>
  <si>
    <t>平均</t>
    <phoneticPr fontId="3" type="noConversion"/>
  </si>
  <si>
    <t xml:space="preserve">  </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</si>
</sst>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277" fillId="0" borderId="5" xfId="0" applyFont="1" applyFill="1" applyBorder="1" applyAlignment="1" applyProtection="1">
      <alignment vertical="top" wrapText="1"/>
      <protection locked="0"/>
    </xf>
    <xf numFmtId="0" fontId="278" fillId="0" borderId="153" xfId="0" applyNumberFormat="1" applyFont="1" applyFill="1" applyBorder="1" applyAlignment="1" applyProtection="1">
      <alignment vertical="top" wrapText="1"/>
      <protection locked="0"/>
    </xf>
    <xf numFmtId="0" fontId="278" fillId="0" borderId="2" xfId="0" applyNumberFormat="1" applyFont="1" applyFill="1" applyBorder="1" applyAlignment="1" applyProtection="1">
      <alignment vertical="top" wrapText="1"/>
      <protection locked="0"/>
    </xf>
    <xf numFmtId="0" fontId="278" fillId="0" borderId="154" xfId="0" applyNumberFormat="1" applyFont="1" applyFill="1" applyBorder="1" applyAlignment="1" applyProtection="1">
      <alignment vertical="top" wrapText="1"/>
      <protection locked="0"/>
    </xf>
    <xf numFmtId="178" fontId="76" fillId="9" borderId="2" xfId="2" applyNumberFormat="1" applyFont="1" applyFill="1" applyBorder="1" applyAlignment="1" applyProtection="1">
      <alignment horizontal="center" vertical="center"/>
      <protection locked="0"/>
    </xf>
    <xf numFmtId="0" fontId="82" fillId="5" borderId="0" xfId="0" applyFont="1" applyFill="1" applyAlignment="1" applyProtection="1">
      <alignment horizontal="right" vertical="center"/>
      <protection locked="0"/>
    </xf>
    <xf numFmtId="0" fontId="71" fillId="9" borderId="2" xfId="0"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106" fillId="9" borderId="16"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7" fillId="0" borderId="5" xfId="0" applyFont="1" applyFill="1" applyBorder="1" applyAlignment="1" applyProtection="1">
      <alignment horizontal="center" vertical="top" wrapText="1"/>
      <protection locked="0"/>
    </xf>
    <xf numFmtId="0" fontId="278" fillId="0" borderId="153" xfId="0" applyFont="1" applyFill="1" applyBorder="1" applyAlignment="1" applyProtection="1">
      <alignment horizontal="center" vertical="top" wrapText="1"/>
      <protection locked="0"/>
    </xf>
    <xf numFmtId="0" fontId="278" fillId="0" borderId="2" xfId="0" applyFont="1" applyFill="1" applyBorder="1" applyAlignment="1" applyProtection="1">
      <alignment horizontal="center" vertical="top" wrapText="1"/>
      <protection locked="0"/>
    </xf>
    <xf numFmtId="0" fontId="278"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55944</xdr:colOff>
      <xdr:row>45</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57144" cy="7800001"/>
        </a:xfrm>
        <a:prstGeom prst="rect">
          <a:avLst/>
        </a:prstGeom>
      </xdr:spPr>
    </xdr:pic>
    <xdr:clientData/>
  </xdr:twoCellAnchor>
  <xdr:twoCellAnchor editAs="oneCell">
    <xdr:from>
      <xdr:col>0</xdr:col>
      <xdr:colOff>0</xdr:colOff>
      <xdr:row>46</xdr:row>
      <xdr:rowOff>0</xdr:rowOff>
    </xdr:from>
    <xdr:to>
      <xdr:col>14</xdr:col>
      <xdr:colOff>170229</xdr:colOff>
      <xdr:row>89</xdr:row>
      <xdr:rowOff>65746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771429" cy="7438096"/>
        </a:xfrm>
        <a:prstGeom prst="rect">
          <a:avLst/>
        </a:prstGeom>
      </xdr:spPr>
    </xdr:pic>
    <xdr:clientData/>
  </xdr:twoCellAnchor>
  <xdr:twoCellAnchor editAs="oneCell">
    <xdr:from>
      <xdr:col>0</xdr:col>
      <xdr:colOff>0</xdr:colOff>
      <xdr:row>90</xdr:row>
      <xdr:rowOff>0</xdr:rowOff>
    </xdr:from>
    <xdr:to>
      <xdr:col>14</xdr:col>
      <xdr:colOff>17848</xdr:colOff>
      <xdr:row>134</xdr:row>
      <xdr:rowOff>18105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430500"/>
          <a:ext cx="9619048" cy="7561905"/>
        </a:xfrm>
        <a:prstGeom prst="rect">
          <a:avLst/>
        </a:prstGeom>
      </xdr:spPr>
    </xdr:pic>
    <xdr:clientData/>
  </xdr:twoCellAnchor>
  <xdr:twoCellAnchor editAs="oneCell">
    <xdr:from>
      <xdr:col>0</xdr:col>
      <xdr:colOff>0</xdr:colOff>
      <xdr:row>135</xdr:row>
      <xdr:rowOff>0</xdr:rowOff>
    </xdr:from>
    <xdr:to>
      <xdr:col>8</xdr:col>
      <xdr:colOff>341053</xdr:colOff>
      <xdr:row>157</xdr:row>
      <xdr:rowOff>35393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691912"/>
          <a:ext cx="5809524" cy="37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12</xdr:col>
      <xdr:colOff>646591</xdr:colOff>
      <xdr:row>86</xdr:row>
      <xdr:rowOff>8603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372350"/>
          <a:ext cx="8876191" cy="7380953"/>
        </a:xfrm>
        <a:prstGeom prst="rect">
          <a:avLst/>
        </a:prstGeom>
      </xdr:spPr>
    </xdr:pic>
    <xdr:clientData/>
  </xdr:twoCellAnchor>
  <xdr:twoCellAnchor editAs="oneCell">
    <xdr:from>
      <xdr:col>0</xdr:col>
      <xdr:colOff>0</xdr:colOff>
      <xdr:row>0</xdr:row>
      <xdr:rowOff>0</xdr:rowOff>
    </xdr:from>
    <xdr:to>
      <xdr:col>12</xdr:col>
      <xdr:colOff>475163</xdr:colOff>
      <xdr:row>43</xdr:row>
      <xdr:rowOff>56222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8704763" cy="7428572"/>
        </a:xfrm>
        <a:prstGeom prst="rect">
          <a:avLst/>
        </a:prstGeom>
      </xdr:spPr>
    </xdr:pic>
    <xdr:clientData/>
  </xdr:twoCellAnchor>
  <xdr:twoCellAnchor editAs="oneCell">
    <xdr:from>
      <xdr:col>0</xdr:col>
      <xdr:colOff>0</xdr:colOff>
      <xdr:row>87</xdr:row>
      <xdr:rowOff>0</xdr:rowOff>
    </xdr:from>
    <xdr:to>
      <xdr:col>12</xdr:col>
      <xdr:colOff>522782</xdr:colOff>
      <xdr:row>129</xdr:row>
      <xdr:rowOff>151481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4916150"/>
          <a:ext cx="8752382" cy="7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4',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2657</v>
      </c>
      <c r="B1" s="2913" t="s">
        <v>2754</v>
      </c>
    </row>
    <row r="2" spans="1:55" s="2917" customFormat="1" ht="15" thickTop="1">
      <c r="A2" s="2915" t="s">
        <v>2661</v>
      </c>
      <c r="B2" s="2916" t="str">
        <f>'预评函-封皮'!B37</f>
        <v>安徽省来安县汊河新区长江大街西侧、明发北站新城北侧及黄高路东侧、明发北站新城北侧两宗住宅用地出让国有建设用地使用权抵押价格预评估</v>
      </c>
      <c r="AX2" s="2918"/>
      <c r="AZ2" s="2918"/>
      <c r="BA2" s="2919"/>
      <c r="BC2" s="2919"/>
    </row>
    <row r="3" spans="1:55" s="2920" customFormat="1">
      <c r="A3" s="2899" t="s">
        <v>2662</v>
      </c>
      <c r="B3" s="2902" t="str">
        <f>'预评函-封皮'!B40</f>
        <v>大业信托有限责任公司</v>
      </c>
    </row>
    <row r="4" spans="1:55" s="2901" customFormat="1">
      <c r="A4" s="2899" t="s">
        <v>2663</v>
      </c>
      <c r="B4" s="2900" t="str">
        <f>'预评函-封皮'!B46</f>
        <v>王鹏、郑燚</v>
      </c>
      <c r="N4" s="2901" t="str">
        <f>'预评函-1'!A28</f>
        <v/>
      </c>
    </row>
    <row r="5" spans="1:55" s="2914" customFormat="1" ht="15" thickBot="1">
      <c r="A5" s="2921" t="s">
        <v>2664</v>
      </c>
      <c r="B5" s="2922" t="str">
        <f>'预评函-封皮'!B49</f>
        <v>康正预评字2018-1-0354-P02DYGJ3号</v>
      </c>
    </row>
    <row r="6" spans="1:55" s="2923" customFormat="1" ht="15" thickTop="1">
      <c r="A6" s="2915" t="s">
        <v>2706</v>
      </c>
      <c r="B6" s="2916" t="str">
        <f>'预评函-1'!A4</f>
        <v>受贵公司委托，我公司对安徽省来安县汊河新区长江大街西侧、明发北站新城北侧及黄高路东侧、明发北站新城北侧两宗住宅用地出让国有建设用地使用权抵押价格进行了预评估。</v>
      </c>
      <c r="AM6" s="2924"/>
    </row>
    <row r="7" spans="1:55" s="2898" customFormat="1">
      <c r="A7" s="2899" t="s">
        <v>2658</v>
      </c>
      <c r="B7" s="2900" t="str">
        <f>'预评函-1'!A6</f>
        <v>估价对象为来安裕泰房地产开发有限公司使用的、位于安徽省来安县汊河新区长江大街西侧、明发北站新城北侧及黄高路东侧、明发北站新城北侧两宗住宅用地出让国有建设用地使用权。根据《国有土地使用证》[]，估价对象（分摊）出让国有建设用地使用权面积为74959平方米。根据《建设工程规划许可证》[]、《出让合同》[]，估价对象规划建筑面积为191725平方米。</v>
      </c>
    </row>
    <row r="8" spans="1:55" s="2898" customFormat="1">
      <c r="A8" s="2899" t="s">
        <v>2659</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2709</v>
      </c>
      <c r="B9" s="2900" t="str">
        <f>'预评函-1'!A9</f>
        <v>来安裕泰房地产开发有限公司拟使用安徽省来安县汊河新区长江大街西侧、明发北站新城北侧及黄高路东侧、明发北站新城北侧两宗住宅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898" customFormat="1">
      <c r="A10" s="2899" t="s">
        <v>2660</v>
      </c>
      <c r="B10" s="2900" t="str">
        <f>'预评函-1'!A11</f>
        <v>2018年5月19日（评估专业人员勘察现场之日）</v>
      </c>
    </row>
    <row r="11" spans="1:55" s="2898" customFormat="1">
      <c r="A11" s="2899" t="s">
        <v>2666</v>
      </c>
      <c r="B11" s="2900" t="str">
        <f>'预评函-1'!A14</f>
        <v>根据《国有建设用地使用权出让合同》[电子监管号：3411222017B00982]及附件，本次评估估价对象证载（地类）用途为住宅、商业。</v>
      </c>
    </row>
    <row r="12" spans="1:55" s="2898" customFormat="1">
      <c r="A12" s="2899" t="s">
        <v>2667</v>
      </c>
      <c r="B12" s="2900" t="str">
        <f>'预评函-1'!A15</f>
        <v>本次评估设定用途即为证载用途住宅、商业。</v>
      </c>
    </row>
    <row r="13" spans="1:55" s="2898" customFormat="1">
      <c r="A13" s="2899" t="s">
        <v>2668</v>
      </c>
      <c r="B13" s="2900" t="str">
        <f>'预评函-1'!A17</f>
        <v>根据委托估价方介绍及评估专业人员现场勘查，本次评估估价对象实际土地开发程度为红线外市政基础设施达“七通”（即通路、通电、通上水、、、、）、宗地红线内场地平整。</v>
      </c>
    </row>
    <row r="14" spans="1:55" s="2898" customFormat="1">
      <c r="A14" s="2899" t="s">
        <v>2669</v>
      </c>
      <c r="B14" s="2900" t="str">
        <f>'预评函-1'!A18</f>
        <v>本次评估设定土地开发程度为红线外市政基础设施达“七通”、宗地红线内场地平整。</v>
      </c>
    </row>
    <row r="15" spans="1:55" s="2898" customFormat="1">
      <c r="A15" s="2899" t="s">
        <v>2665</v>
      </c>
      <c r="B15" s="2900" t="str">
        <f>'预评函-1'!A20</f>
        <v>根据《国有土地使用证》[]，估价对象（分摊）出让国有建设用地使用权面积为74959平方米。根据《建设工程规划许可证》[]、《出让合同》[]，估价对象规划建筑面积为191725平方米。</v>
      </c>
    </row>
    <row r="16" spans="1:55" s="2898" customFormat="1">
      <c r="A16" s="2899" t="s">
        <v>2670</v>
      </c>
      <c r="B16" s="2900" t="str">
        <f>'预评函-1'!A22</f>
        <v>本次估价对象为出让国有建设用地使用权，《国有建设用地使用权出让合同》[电子监管号：3411222017B00982]及附件证载土地终止日期为住宅2087年12月24日、商业2057年12月24日车库2067年12月24日。截至估价期日，出让国有建设用地使用权剩余土地使用年限为。</v>
      </c>
    </row>
    <row r="17" spans="1:48" s="2898" customFormat="1">
      <c r="A17" s="2899" t="s">
        <v>2671</v>
      </c>
      <c r="B17" s="2900" t="str">
        <f>'预评函-1'!A23</f>
        <v>本次评估设定估价对象剩余土地使用年限为。</v>
      </c>
    </row>
    <row r="18" spans="1:48" s="2898" customFormat="1">
      <c r="A18" s="2899" t="s">
        <v>2672</v>
      </c>
      <c r="B18" s="2900" t="str">
        <f>'预评函-1'!A25</f>
        <v>本次估价的“出让国有建设用地使用权价格”是指在估价对象土地所有权为国家所有，使用权性质为出让，在公开市场条件下、于估价期日2018年5月19日，在规划利用条件下、设定土地开发程度为红线外“七通”、宗地内场地平整，设定用途为住宅、商业，剩余土地使用年限为的出让国有建设用地使用权价格。</v>
      </c>
    </row>
    <row r="19" spans="1:48" s="2898" customFormat="1">
      <c r="A19" s="2899" t="s">
        <v>2673</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2674</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2675</v>
      </c>
      <c r="B21" s="2922" t="str">
        <f>'预评函-1'!A28</f>
        <v/>
      </c>
    </row>
    <row r="22" spans="1:48" ht="15" thickTop="1">
      <c r="A22" s="2910" t="s">
        <v>2676</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2677</v>
      </c>
      <c r="B23" s="2900" t="str">
        <f>'预评函-2'!K2</f>
        <v>估价期日：2018年5月19日</v>
      </c>
    </row>
    <row r="24" spans="1:48">
      <c r="A24" s="2899" t="s">
        <v>2678</v>
      </c>
      <c r="B24" s="2900" t="str">
        <f>'预评函-2'!R2</f>
        <v>估价期日的国有建设用地使用权性质：出让</v>
      </c>
    </row>
    <row r="25" spans="1:48">
      <c r="A25" s="2899" t="s">
        <v>2734</v>
      </c>
      <c r="B25" s="2900" t="str">
        <f>'预评函-2'!A3</f>
        <v>估价期日土地使用者</v>
      </c>
    </row>
    <row r="26" spans="1:48">
      <c r="A26" s="2899" t="s">
        <v>2710</v>
      </c>
      <c r="B26" s="2900" t="str">
        <f>'预评函-2'!A5</f>
        <v>中信开发</v>
      </c>
    </row>
    <row r="27" spans="1:48">
      <c r="A27" s="2899" t="s">
        <v>2735</v>
      </c>
      <c r="B27" s="2900" t="str">
        <f>'预评函-2'!B3</f>
        <v>宗地编号/不动产单元号</v>
      </c>
    </row>
    <row r="28" spans="1:48">
      <c r="A28" s="2899" t="s">
        <v>2711</v>
      </c>
      <c r="B28" s="2900" t="str">
        <f>'预评函-2'!B5</f>
        <v>11111111111</v>
      </c>
    </row>
    <row r="29" spans="1:48">
      <c r="A29" s="2899" t="s">
        <v>2737</v>
      </c>
      <c r="B29" s="2900">
        <f>'预评函-2'!C5</f>
        <v>22</v>
      </c>
    </row>
    <row r="30" spans="1:48">
      <c r="A30" s="2899" t="s">
        <v>2738</v>
      </c>
      <c r="B30" s="2900" t="str">
        <f>'预评函-2'!D3</f>
        <v>土地使用证编号/不动产权证书编号</v>
      </c>
    </row>
    <row r="31" spans="1:48">
      <c r="A31" s="2899" t="s">
        <v>2712</v>
      </c>
      <c r="B31" s="2900" t="str">
        <f>'预评函-2'!D5</f>
        <v>京国土字第111号</v>
      </c>
    </row>
    <row r="32" spans="1:48">
      <c r="A32" s="2899" t="s">
        <v>2713</v>
      </c>
      <c r="B32" s="2900" t="str">
        <f>'预评函-2'!E5</f>
        <v>住宅、商业</v>
      </c>
      <c r="AV32" s="2904"/>
    </row>
    <row r="33" spans="1:2">
      <c r="A33" s="2899" t="s">
        <v>2714</v>
      </c>
      <c r="B33" s="2900">
        <f>'预评函-2'!F5</f>
        <v>258</v>
      </c>
    </row>
    <row r="34" spans="1:2">
      <c r="A34" s="2899" t="s">
        <v>2715</v>
      </c>
      <c r="B34" s="2900" t="str">
        <f>'预评函-2'!G5</f>
        <v>住宅、商业</v>
      </c>
    </row>
    <row r="35" spans="1:2">
      <c r="A35" s="2899" t="s">
        <v>2716</v>
      </c>
      <c r="B35" s="2900">
        <f>'预评函-2'!H5</f>
        <v>1.5</v>
      </c>
    </row>
    <row r="36" spans="1:2">
      <c r="A36" s="2899" t="s">
        <v>2717</v>
      </c>
      <c r="B36" s="2900">
        <f>'预评函-2'!I5</f>
        <v>1.5</v>
      </c>
    </row>
    <row r="37" spans="1:2">
      <c r="A37" s="2899" t="s">
        <v>2718</v>
      </c>
      <c r="B37" s="2900">
        <f>'预评函-2'!J5</f>
        <v>1.5</v>
      </c>
    </row>
    <row r="38" spans="1:2">
      <c r="A38" s="2899" t="s">
        <v>2719</v>
      </c>
      <c r="B38" s="2900" t="str">
        <f>'预评函-2'!K5</f>
        <v>红线外七通、宗地红线内场地平整</v>
      </c>
    </row>
    <row r="39" spans="1:2">
      <c r="A39" s="2899" t="s">
        <v>2720</v>
      </c>
      <c r="B39" s="2900" t="str">
        <f>'预评函-2'!L5</f>
        <v>红线外七通、宗地红线内场地平整</v>
      </c>
    </row>
    <row r="40" spans="1:2">
      <c r="A40" s="2899" t="s">
        <v>2739</v>
      </c>
      <c r="B40" s="2900" t="str">
        <f>'预评函-2'!M3</f>
        <v>（剩余）土地使用年限/年</v>
      </c>
    </row>
    <row r="41" spans="1:2">
      <c r="A41" s="2899" t="s">
        <v>2721</v>
      </c>
      <c r="B41" s="2900">
        <f>'预评函-2'!M5</f>
        <v>0</v>
      </c>
    </row>
    <row r="42" spans="1:2">
      <c r="A42" s="2899" t="s">
        <v>2740</v>
      </c>
      <c r="B42" s="2900" t="str">
        <f>'预评函-2'!N3</f>
        <v>（分摊）出让国有建设用地使用权面积/㎡</v>
      </c>
    </row>
    <row r="43" spans="1:2">
      <c r="A43" s="2899" t="s">
        <v>2722</v>
      </c>
      <c r="B43" s="2900">
        <f>'预评函-2'!N5</f>
        <v>74959</v>
      </c>
    </row>
    <row r="44" spans="1:2">
      <c r="A44" s="2899" t="s">
        <v>2741</v>
      </c>
      <c r="B44" s="2900" t="str">
        <f>'预评函-2'!O3</f>
        <v>规划建筑面积/㎡</v>
      </c>
    </row>
    <row r="45" spans="1:2">
      <c r="A45" s="2899" t="s">
        <v>2723</v>
      </c>
      <c r="B45" s="2900">
        <f>'预评函-2'!O5</f>
        <v>191725</v>
      </c>
    </row>
    <row r="46" spans="1:2">
      <c r="A46" s="2899" t="s">
        <v>2724</v>
      </c>
      <c r="B46" s="2900">
        <f ca="1">'预评函-2'!P5</f>
        <v>11170</v>
      </c>
    </row>
    <row r="47" spans="1:2">
      <c r="A47" s="2899" t="s">
        <v>2725</v>
      </c>
      <c r="B47" s="2900">
        <f ca="1">'预评函-2'!Q5</f>
        <v>4367</v>
      </c>
    </row>
    <row r="48" spans="1:2">
      <c r="A48" s="2899" t="s">
        <v>2726</v>
      </c>
      <c r="B48" s="2900">
        <f ca="1">'预评函-2'!R5</f>
        <v>83729</v>
      </c>
    </row>
    <row r="49" spans="1:2">
      <c r="A49" s="2899" t="s">
        <v>2742</v>
      </c>
      <c r="B49" s="2900" t="str">
        <f>'预评函-2'!A6</f>
        <v>抵押价格</v>
      </c>
    </row>
    <row r="50" spans="1:2">
      <c r="A50" s="2899" t="s">
        <v>2727</v>
      </c>
      <c r="B50" s="2900">
        <f ca="1">'预评函-2'!R6</f>
        <v>83729</v>
      </c>
    </row>
    <row r="51" spans="1:2">
      <c r="A51" s="2899" t="s">
        <v>2743</v>
      </c>
      <c r="B51" s="2900" t="str">
        <f>'预评函-2'!A7</f>
        <v>——</v>
      </c>
    </row>
    <row r="52" spans="1:2">
      <c r="A52" s="2899" t="s">
        <v>2728</v>
      </c>
      <c r="B52" s="2900" t="str">
        <f>'预评函-2'!R7</f>
        <v>——</v>
      </c>
    </row>
    <row r="53" spans="1:2">
      <c r="A53" s="2899" t="s">
        <v>2744</v>
      </c>
      <c r="B53" s="2900" t="str">
        <f>'预评函-2'!A8</f>
        <v>——</v>
      </c>
    </row>
    <row r="54" spans="1:2" s="2914" customFormat="1" ht="15" thickBot="1">
      <c r="A54" s="2921" t="s">
        <v>2729</v>
      </c>
      <c r="B54" s="2922" t="str">
        <f>'预评函-2'!R8</f>
        <v>——</v>
      </c>
    </row>
    <row r="55" spans="1:2" ht="15" thickTop="1">
      <c r="A55" s="2910" t="s">
        <v>2679</v>
      </c>
      <c r="B55" s="2911" t="str">
        <f>'预评函-3'!A2</f>
        <v>1.权利限制：根据估价对象《不动产权证书》复印件、，截至估价期日，估价对象抵押权未见登记。未设定租赁等其他他项权利。</v>
      </c>
    </row>
    <row r="56" spans="1:2">
      <c r="A56" s="2899" t="s">
        <v>2680</v>
      </c>
      <c r="B56" s="2900" t="str">
        <f>'预评函-3'!A3</f>
        <v>2.基础设施条件：估价对象实际开发程度为红线外七通、宗地红线内场地平整；本次评估设定开发程度为红线外七通、宗地红线内场地平整。</v>
      </c>
    </row>
    <row r="57" spans="1:2">
      <c r="A57" s="2899" t="s">
        <v>2681</v>
      </c>
      <c r="B57" s="2900" t="str">
        <f>'预评函-3'!A4</f>
        <v>3.估价规划限制条件：详见《建设工程规划许可证》[]、《出让合同》[]。</v>
      </c>
    </row>
    <row r="58" spans="1:2" s="2914" customFormat="1" ht="15" thickBot="1">
      <c r="A58" s="2921" t="s">
        <v>2730</v>
      </c>
      <c r="B58" s="2922" t="str">
        <f>'预评函-3'!A5</f>
        <v>4.影响价格的其他限定条件：无。</v>
      </c>
    </row>
    <row r="59" spans="1:2" ht="15" thickTop="1">
      <c r="A59" s="2910" t="s">
        <v>2682</v>
      </c>
      <c r="B59" s="2911" t="str">
        <f>'预评函-3'!A8</f>
        <v>2.本《评估意见函》仅供金融机构进行内部审核使用，不做其他目的之用。</v>
      </c>
    </row>
    <row r="60" spans="1:2">
      <c r="A60" s="2899" t="s">
        <v>2683</v>
      </c>
      <c r="B60" s="2900" t="str">
        <f>'预评函-3'!A9</f>
        <v>3.抵押双方在办理抵押登记手续时，应使用本公司出具的正式《土地估价报告》，特提请报告使用者注意。</v>
      </c>
    </row>
    <row r="61" spans="1:2">
      <c r="A61" s="2899" t="s">
        <v>2685</v>
      </c>
      <c r="B61" s="2900" t="str">
        <f>'预评函-3'!A10</f>
        <v>4.估价师所知悉的法定优先受偿款情况为：</v>
      </c>
    </row>
    <row r="62" spans="1:2">
      <c r="A62" s="2899" t="s">
        <v>2684</v>
      </c>
      <c r="B62" s="2900" t="str">
        <f>'预评函-3'!A11</f>
        <v>（1）根据估价对象《不动产权证书》复印件、，截至估价期日，估价对象抵押权未见登记。</v>
      </c>
    </row>
    <row r="63" spans="1:2">
      <c r="A63" s="2899" t="s">
        <v>2686</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2687</v>
      </c>
      <c r="B64" s="2905" t="str">
        <f>'预评函-3'!A13</f>
        <v>（3）。</v>
      </c>
    </row>
    <row r="65" spans="1:2">
      <c r="A65" s="2899" t="s">
        <v>2688</v>
      </c>
      <c r="B65" s="2906" t="str">
        <f>'预评函-3'!A14</f>
        <v>综上，本次评估不存在估价师知悉的法定优先受偿款</v>
      </c>
    </row>
    <row r="66" spans="1:2">
      <c r="A66" s="2899" t="s">
        <v>2689</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2690</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2693</v>
      </c>
      <c r="B68" s="2925">
        <f>'预评函-3'!D30</f>
        <v>42558</v>
      </c>
    </row>
    <row r="69" spans="1:2" ht="15" thickTop="1">
      <c r="A69" s="2910" t="s">
        <v>2691</v>
      </c>
      <c r="B69" s="2911" t="str">
        <f>'预评函-3'!A20</f>
        <v>王鹏</v>
      </c>
    </row>
    <row r="70" spans="1:2">
      <c r="A70" s="2899" t="s">
        <v>2691</v>
      </c>
      <c r="B70" s="2906">
        <f ca="1">'预评函-3'!B20</f>
        <v>2002110030</v>
      </c>
    </row>
    <row r="71" spans="1:2">
      <c r="A71" s="2899" t="s">
        <v>2692</v>
      </c>
      <c r="B71" s="2900" t="str">
        <f>'预评函-3'!A21</f>
        <v>郑燚</v>
      </c>
    </row>
    <row r="72" spans="1:2" s="2914" customFormat="1" ht="15" thickBot="1">
      <c r="A72" s="2921" t="s">
        <v>2692</v>
      </c>
      <c r="B72" s="2927">
        <f>'预评函-3'!B21</f>
        <v>2014110011</v>
      </c>
    </row>
    <row r="73" spans="1:2" ht="15" thickTop="1">
      <c r="A73" s="2910" t="s">
        <v>2751</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2752</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2753</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2788</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687" customWidth="1"/>
    <col min="2" max="2" width="11.375" style="1687" customWidth="1"/>
    <col min="3" max="3" width="12.625" style="1687" customWidth="1"/>
    <col min="4" max="4" width="14.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1939</v>
      </c>
      <c r="B1" s="3237" t="str">
        <f>IF(B10="北京市","北京市",C10)&amp;F10&amp;B16&amp;"国有建设用地使用权"&amp;B9&amp;"预评估"</f>
        <v>安徽省来安县汊河新区长江大街西侧、明发北站新城北侧及黄高路东侧、明发北站新城北侧两宗住宅用地出让国有建设用地使用权抵押价格预评估</v>
      </c>
      <c r="C1" s="3238"/>
      <c r="D1" s="3238"/>
      <c r="E1" s="3238"/>
      <c r="F1" s="3238"/>
      <c r="G1" s="3238"/>
      <c r="H1" s="3238"/>
      <c r="I1" s="3239"/>
      <c r="J1" s="1690"/>
      <c r="K1" s="2476" t="str">
        <f>IF(B10="北京市","北京市",C10)&amp;F10&amp;B16&amp;"国有建设用地使用权"&amp;B9</f>
        <v>安徽省来安县汊河新区长江大街西侧、明发北站新城北侧及黄高路东侧、明发北站新城北侧两宗住宅用地出让国有建设用地使用权抵押价格</v>
      </c>
      <c r="L1" s="1719"/>
      <c r="M1" s="1719"/>
      <c r="N1" s="1690"/>
      <c r="O1" s="1691"/>
      <c r="P1" s="1690"/>
      <c r="Q1" s="1690"/>
      <c r="R1" s="1690"/>
      <c r="S1" s="1690"/>
      <c r="T1" s="1690"/>
      <c r="U1" s="1690"/>
    </row>
    <row r="2" spans="1:21">
      <c r="A2" s="1657" t="s">
        <v>1940</v>
      </c>
      <c r="B2" s="1838" t="s">
        <v>3061</v>
      </c>
      <c r="D2" s="1690"/>
      <c r="E2" s="1690"/>
      <c r="F2" s="1690"/>
      <c r="G2" s="1690"/>
      <c r="H2" s="1657"/>
      <c r="I2" s="1691"/>
      <c r="J2" s="1690"/>
      <c r="K2" s="2476" t="str">
        <f>IF(B10="北京市","北京市",C10)&amp;F10&amp;B16&amp;"国有建设用地使用权"</f>
        <v>安徽省来安县汊河新区长江大街西侧、明发北站新城北侧及黄高路东侧、明发北站新城北侧两宗住宅用地出让国有建设用地使用权</v>
      </c>
      <c r="L2" s="1719"/>
      <c r="M2" s="1719"/>
      <c r="N2" s="1690"/>
      <c r="O2" s="1691"/>
      <c r="P2" s="1690"/>
      <c r="Q2" s="1690"/>
      <c r="R2" s="1690"/>
      <c r="S2" s="1690"/>
      <c r="T2" s="1690"/>
      <c r="U2" s="1690"/>
    </row>
    <row r="3" spans="1:21">
      <c r="A3" s="1658" t="s">
        <v>1941</v>
      </c>
      <c r="B3" s="1659">
        <v>43239</v>
      </c>
      <c r="C3" s="1660" t="s">
        <v>1995</v>
      </c>
      <c r="D3" s="1659">
        <v>43239</v>
      </c>
      <c r="E3" s="1690"/>
      <c r="F3" s="1690"/>
      <c r="G3" s="1690"/>
      <c r="H3" s="1657"/>
      <c r="I3" s="1691"/>
      <c r="J3" s="1690"/>
      <c r="K3" s="1770"/>
      <c r="L3" s="1719"/>
      <c r="M3" s="1719"/>
      <c r="N3" s="1690"/>
      <c r="O3" s="1691"/>
      <c r="P3" s="1690"/>
      <c r="Q3" s="1690"/>
      <c r="R3" s="1690"/>
      <c r="S3" s="1690"/>
      <c r="T3" s="1690"/>
      <c r="U3" s="1690"/>
    </row>
    <row r="4" spans="1:21" ht="15" thickBot="1">
      <c r="A4" s="1661" t="s">
        <v>1942</v>
      </c>
      <c r="B4" s="1839" t="s">
        <v>3000</v>
      </c>
      <c r="C4" s="1842">
        <f ca="1">SUMIF(土地估价师,B4,估价师及机构信息!E3:E24)</f>
        <v>2002110030</v>
      </c>
      <c r="D4" s="1839" t="s">
        <v>3001</v>
      </c>
      <c r="E4" s="1842">
        <f>SUMIF(土地估价师,D4,估价师及机构信息!E3:E24)</f>
        <v>2014110011</v>
      </c>
      <c r="F4" s="1839" t="s">
        <v>951</v>
      </c>
      <c r="G4" s="1842">
        <f>SUMIF(土地估价师,F4,估价师及机构信息!E3:E24)</f>
        <v>0</v>
      </c>
      <c r="H4" s="1839" t="s">
        <v>951</v>
      </c>
      <c r="I4" s="1842">
        <f>SUMIF(土地估价师,H4,估价师及机构信息!E3:E24)</f>
        <v>0</v>
      </c>
      <c r="J4" s="1690"/>
      <c r="K4" s="2476" t="str">
        <f>IF(AND(F4="——",H4="——"),B4&amp;"、"&amp;D4,IF(AND(F4&lt;&gt;"——",H4="——"),B4&amp;"、"&amp;D4&amp;"、"&amp;F4,B4&amp;"、"&amp;D4&amp;"、"&amp;F4&amp;"、"&amp;H4))</f>
        <v>王鹏、郑燚</v>
      </c>
      <c r="L4" s="1719"/>
      <c r="M4" s="1719"/>
      <c r="N4" s="1690"/>
      <c r="O4" s="1691"/>
      <c r="P4" s="1690"/>
      <c r="Q4" s="1690"/>
      <c r="R4" s="1690"/>
      <c r="S4" s="1690"/>
      <c r="T4" s="1690"/>
      <c r="U4" s="1690"/>
    </row>
    <row r="5" spans="1:21" ht="15" thickTop="1">
      <c r="A5" s="1662" t="s">
        <v>1943</v>
      </c>
      <c r="B5" s="1785" t="s">
        <v>2982</v>
      </c>
      <c r="C5" s="1663"/>
      <c r="D5" s="1664"/>
      <c r="E5" s="1690"/>
      <c r="F5" s="1690"/>
      <c r="G5" s="1690"/>
      <c r="H5" s="1657"/>
      <c r="I5" s="1691"/>
      <c r="J5" s="1690"/>
      <c r="K5" s="1770"/>
      <c r="L5" s="1719"/>
      <c r="M5" s="1719"/>
      <c r="N5" s="1690"/>
      <c r="O5" s="1691"/>
      <c r="P5" s="1690"/>
      <c r="Q5" s="1690"/>
      <c r="R5" s="1690"/>
      <c r="S5" s="1690"/>
      <c r="T5" s="1690"/>
      <c r="U5" s="1690"/>
    </row>
    <row r="6" spans="1:21" ht="26.25">
      <c r="A6" s="1660" t="s">
        <v>2707</v>
      </c>
      <c r="B6" s="1785" t="s">
        <v>2982</v>
      </c>
      <c r="C6" s="1757"/>
      <c r="D6" s="1665"/>
      <c r="E6" s="1690"/>
      <c r="F6" s="1690"/>
      <c r="G6" s="1690"/>
      <c r="H6" s="1657"/>
      <c r="I6" s="1691"/>
      <c r="J6" s="1690"/>
      <c r="K6" s="3076" t="str">
        <f>IF(COUNTIF(B6,"*上海银行*"),"上海银行","")</f>
        <v/>
      </c>
      <c r="L6" s="1719"/>
      <c r="M6" s="1719"/>
      <c r="N6" s="1690"/>
      <c r="O6" s="1691"/>
      <c r="P6" s="1690"/>
      <c r="Q6" s="1690"/>
      <c r="R6" s="1690"/>
      <c r="S6" s="1690"/>
      <c r="T6" s="1690"/>
      <c r="U6" s="1690"/>
    </row>
    <row r="7" spans="1:21">
      <c r="A7" s="1666" t="s">
        <v>2708</v>
      </c>
      <c r="B7" s="1785" t="s">
        <v>3094</v>
      </c>
      <c r="C7" s="1757"/>
      <c r="D7" s="1665"/>
      <c r="E7" s="1690"/>
      <c r="F7" s="1690"/>
      <c r="G7" s="1690"/>
      <c r="H7" s="1657"/>
      <c r="I7" s="1691"/>
      <c r="J7" s="1690"/>
      <c r="K7" s="1770"/>
      <c r="L7" s="1719"/>
      <c r="M7" s="1719"/>
      <c r="N7" s="1690"/>
      <c r="O7" s="1691"/>
      <c r="P7" s="1690"/>
      <c r="Q7" s="1690"/>
      <c r="R7" s="1690"/>
      <c r="S7" s="1690"/>
      <c r="T7" s="1690"/>
      <c r="U7" s="1690"/>
    </row>
    <row r="8" spans="1:21">
      <c r="A8" s="1666" t="s">
        <v>1944</v>
      </c>
      <c r="B8" s="1667" t="s">
        <v>2984</v>
      </c>
      <c r="C8" s="1668"/>
      <c r="D8" s="3243" t="s">
        <v>1946</v>
      </c>
      <c r="E8" s="1840" t="s">
        <v>2985</v>
      </c>
      <c r="F8" s="1669"/>
      <c r="G8" s="1657"/>
      <c r="H8" s="1657"/>
      <c r="I8" s="1703"/>
      <c r="J8" s="1690"/>
      <c r="K8" s="1770"/>
      <c r="L8" s="1719"/>
      <c r="M8" s="1719"/>
      <c r="N8" s="1690"/>
      <c r="O8" s="1691"/>
      <c r="P8" s="1690"/>
      <c r="Q8" s="1690"/>
      <c r="R8" s="1690"/>
      <c r="S8" s="1690"/>
      <c r="T8" s="1690"/>
      <c r="U8" s="1690"/>
    </row>
    <row r="9" spans="1:21" ht="15" thickBot="1">
      <c r="A9" s="1670" t="s">
        <v>1945</v>
      </c>
      <c r="B9" s="1671" t="s">
        <v>2985</v>
      </c>
      <c r="C9" s="1672"/>
      <c r="D9" s="3244"/>
      <c r="E9" s="1671" t="s">
        <v>951</v>
      </c>
      <c r="F9" s="1743"/>
      <c r="G9" s="1738"/>
      <c r="H9" s="1738"/>
      <c r="I9" s="1739"/>
      <c r="J9" s="1690"/>
      <c r="K9" s="1770"/>
      <c r="L9" s="1719"/>
      <c r="M9" s="1719"/>
      <c r="N9" s="1690"/>
      <c r="O9" s="1691"/>
      <c r="P9" s="1690"/>
      <c r="Q9" s="1690"/>
      <c r="R9" s="1690"/>
      <c r="S9" s="1690"/>
      <c r="T9" s="1690"/>
      <c r="U9" s="1690"/>
    </row>
    <row r="10" spans="1:21" ht="15" thickTop="1">
      <c r="A10" s="1740" t="s">
        <v>1999</v>
      </c>
      <c r="B10" s="1715" t="s">
        <v>2986</v>
      </c>
      <c r="C10" s="1673" t="s">
        <v>3093</v>
      </c>
      <c r="D10" s="1664"/>
      <c r="E10" s="1674" t="s">
        <v>1948</v>
      </c>
      <c r="F10" s="1675" t="s">
        <v>3092</v>
      </c>
      <c r="G10" s="1741"/>
      <c r="H10" s="1742"/>
      <c r="I10" s="1664"/>
      <c r="J10" s="1690"/>
      <c r="K10" s="1770"/>
      <c r="L10" s="1719"/>
      <c r="M10" s="1719"/>
      <c r="N10" s="1690"/>
      <c r="O10" s="1691"/>
      <c r="P10" s="1690"/>
      <c r="Q10" s="1690"/>
      <c r="R10" s="1690"/>
      <c r="S10" s="1690"/>
      <c r="T10" s="1690"/>
      <c r="U10" s="1690"/>
    </row>
    <row r="11" spans="1:21">
      <c r="A11" s="1693" t="s">
        <v>2000</v>
      </c>
      <c r="B11" s="1694" t="s">
        <v>2987</v>
      </c>
      <c r="C11" s="1785" t="s">
        <v>2983</v>
      </c>
      <c r="D11" s="1758"/>
      <c r="E11" s="1657"/>
      <c r="F11" s="1657"/>
      <c r="G11" s="1657"/>
      <c r="H11" s="1657"/>
      <c r="I11" s="1657"/>
      <c r="J11" s="1690"/>
      <c r="K11" s="1770"/>
      <c r="L11" s="1719"/>
      <c r="M11" s="1719"/>
      <c r="N11" s="1690"/>
      <c r="O11" s="1691"/>
      <c r="P11" s="1690"/>
      <c r="Q11" s="1690"/>
      <c r="R11" s="1690"/>
      <c r="S11" s="1690"/>
      <c r="T11" s="1690"/>
      <c r="U11" s="1690"/>
    </row>
    <row r="12" spans="1:21">
      <c r="A12" s="1781" t="s">
        <v>2058</v>
      </c>
      <c r="B12" s="3240" t="s">
        <v>2988</v>
      </c>
      <c r="C12" s="3241"/>
      <c r="D12" s="3242"/>
      <c r="E12" s="1695" t="s">
        <v>2061</v>
      </c>
      <c r="F12" s="3258" t="s">
        <v>3004</v>
      </c>
      <c r="G12" s="3259"/>
      <c r="H12" s="3259"/>
      <c r="I12" s="3260"/>
      <c r="J12" s="1690"/>
      <c r="K12" s="1770"/>
      <c r="L12" s="1719"/>
      <c r="M12" s="1719"/>
      <c r="N12" s="1690"/>
      <c r="O12" s="1691"/>
      <c r="P12" s="1690"/>
      <c r="Q12" s="1690"/>
      <c r="R12" s="1690"/>
      <c r="S12" s="1690"/>
      <c r="T12" s="1690"/>
      <c r="U12" s="1690"/>
    </row>
    <row r="13" spans="1:21">
      <c r="A13" s="1683" t="s">
        <v>2059</v>
      </c>
      <c r="B13" s="3240" t="s">
        <v>2988</v>
      </c>
      <c r="C13" s="3241"/>
      <c r="D13" s="3242"/>
      <c r="E13" s="1695" t="s">
        <v>2061</v>
      </c>
      <c r="F13" s="3258" t="s">
        <v>3095</v>
      </c>
      <c r="G13" s="3259"/>
      <c r="H13" s="3259"/>
      <c r="I13" s="3260"/>
      <c r="J13" s="1690"/>
      <c r="K13" s="1770"/>
      <c r="L13" s="1719"/>
      <c r="M13" s="1719"/>
      <c r="N13" s="1690"/>
      <c r="O13" s="1691"/>
      <c r="P13" s="1690"/>
      <c r="Q13" s="1690"/>
      <c r="R13" s="1690"/>
      <c r="S13" s="1690"/>
      <c r="T13" s="1690"/>
      <c r="U13" s="1690"/>
    </row>
    <row r="14" spans="1:21">
      <c r="A14" s="1658" t="s">
        <v>2062</v>
      </c>
      <c r="B14" s="1695"/>
      <c r="C14" s="1841" t="s">
        <v>2990</v>
      </c>
      <c r="D14" s="1729" t="str">
        <f>IF(C14="不一致","是否符合证载地类范围","")</f>
        <v/>
      </c>
      <c r="E14" s="1695"/>
      <c r="F14" s="1786" t="s">
        <v>3002</v>
      </c>
      <c r="G14" s="1724"/>
      <c r="H14" s="1724"/>
      <c r="I14" s="1833"/>
      <c r="J14" s="1690"/>
      <c r="K14" s="1770"/>
      <c r="L14" s="1719"/>
      <c r="M14" s="1719"/>
      <c r="N14" s="1690"/>
      <c r="O14" s="1691"/>
      <c r="P14" s="1690"/>
      <c r="Q14" s="1690"/>
      <c r="R14" s="1690"/>
      <c r="S14" s="1690"/>
      <c r="T14" s="1690"/>
      <c r="U14" s="1690"/>
    </row>
    <row r="15" spans="1:21" hidden="1">
      <c r="A15" s="2666"/>
      <c r="B15" s="1660"/>
      <c r="C15" s="1660"/>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42.75">
      <c r="A16" s="1676" t="s">
        <v>1949</v>
      </c>
      <c r="B16" s="1677" t="s">
        <v>2989</v>
      </c>
      <c r="C16" s="1695" t="s">
        <v>1950</v>
      </c>
      <c r="D16" s="2667" t="s">
        <v>1951</v>
      </c>
      <c r="E16" s="1718" t="s">
        <v>2991</v>
      </c>
      <c r="F16" s="1718"/>
      <c r="G16" s="1718" t="s">
        <v>3003</v>
      </c>
      <c r="H16" s="1718"/>
      <c r="I16" s="1682" t="s">
        <v>1956</v>
      </c>
      <c r="J16" s="1690"/>
      <c r="K16" s="2477" t="str">
        <f>IF(D17="","",D16&amp;TEXT(D17,"yyyy年m月d日;;"))</f>
        <v>住宅2087年12月24日</v>
      </c>
      <c r="L16" s="1695" t="str">
        <f>IF(OR(K16="",M16=""),"","、")</f>
        <v>、</v>
      </c>
      <c r="M16" s="2477" t="str">
        <f>IF(E17="","",E16&amp;TEXT(E17,"yyyy年m月d日;;"))</f>
        <v>商业2057年12月24日</v>
      </c>
      <c r="N16" s="1695" t="str">
        <f>IF(OR(M16="",O16=""),"","、")</f>
        <v/>
      </c>
      <c r="O16" s="2477" t="str">
        <f>IF(F17="","",F16&amp;TEXT(F17,"yyyy年m月d日;;"))</f>
        <v/>
      </c>
      <c r="P16" s="1695" t="str">
        <f>IF(OR(O16="",Q16=""),"","、")</f>
        <v/>
      </c>
      <c r="Q16" s="2477" t="str">
        <f>IF(G17="","",G16&amp;TEXT(G17,"yyyy年m月d日;;"))</f>
        <v>车库2067年12月24日</v>
      </c>
      <c r="R16" s="1695" t="str">
        <f>IF(OR(Q16="",S16=""),"","、")</f>
        <v/>
      </c>
      <c r="S16" s="2477" t="str">
        <f>IF(H17="","",H16&amp;TEXT(H17,"yyyy年m月d日;;"))</f>
        <v/>
      </c>
      <c r="T16" s="1695" t="str">
        <f>IF(OR(S16="",U16=""),"","、")</f>
        <v/>
      </c>
      <c r="U16" s="2477" t="str">
        <f>IF(I17="","",I16&amp;TEXT(I17,"yyyy年m月d日;;"))</f>
        <v/>
      </c>
    </row>
    <row r="17" spans="1:21">
      <c r="A17" s="1759"/>
      <c r="B17" s="1678"/>
      <c r="C17" s="1679" t="s">
        <v>1957</v>
      </c>
      <c r="D17" s="1696">
        <v>68660</v>
      </c>
      <c r="E17" s="1696">
        <v>57703</v>
      </c>
      <c r="F17" s="1696"/>
      <c r="G17" s="1696">
        <v>61355</v>
      </c>
      <c r="H17" s="1696"/>
      <c r="I17" s="1696"/>
      <c r="J17" s="1690"/>
      <c r="K17" s="2476" t="str">
        <f>CONCATENATE(K16,L16,M16,N16,O16,P16,Q16,R16,S16,T16,,U16)</f>
        <v>住宅2087年12月24日、商业2057年12月24日车库2067年12月24日</v>
      </c>
      <c r="L17" s="1719"/>
      <c r="M17" s="1719"/>
      <c r="N17" s="1690"/>
      <c r="O17" s="1691"/>
      <c r="P17" s="1690"/>
      <c r="Q17" s="1690"/>
      <c r="R17" s="1690"/>
      <c r="S17" s="1690"/>
      <c r="T17" s="1690"/>
      <c r="U17" s="1690"/>
    </row>
    <row r="18" spans="1:21">
      <c r="A18" s="1759"/>
      <c r="B18" s="1678"/>
      <c r="C18" s="1679" t="s">
        <v>1958</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7" t="s">
        <v>1959</v>
      </c>
      <c r="D19" s="1754">
        <f>IF(B16="出让",IF(D17="","",ROUNDDOWN(MIN((D17-$D$3)/365,D18),2)),D18)</f>
        <v>69.64</v>
      </c>
      <c r="E19" s="1681">
        <f>IF(B16="出让",IF(E17="","",ROUNDDOWN(MIN((E17-$D$3)/365,E18),2)),E18)</f>
        <v>39.619999999999997</v>
      </c>
      <c r="F19" s="1681" t="str">
        <f>IF(B16="出让",IF(F17="","",ROUNDDOWN(MIN((F17-$D$3)/365,F18),2)),F18)</f>
        <v/>
      </c>
      <c r="G19" s="1681">
        <f>IF(B16="出让",IF(G17="","",ROUNDDOWN(MIN((G17-$D$3)/365,G18),2)),G18)</f>
        <v>49.63</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255"/>
      <c r="E20" s="3256"/>
      <c r="F20" s="3256"/>
      <c r="G20" s="3256"/>
      <c r="H20" s="3256"/>
      <c r="I20" s="3257"/>
      <c r="J20" s="1690"/>
      <c r="K20" s="1770"/>
      <c r="L20" s="1719"/>
      <c r="M20" s="1719"/>
      <c r="N20" s="1690"/>
      <c r="O20" s="1691"/>
      <c r="P20" s="1690"/>
      <c r="Q20" s="1690"/>
      <c r="R20" s="1690"/>
      <c r="S20" s="1690"/>
      <c r="T20" s="1690"/>
      <c r="U20" s="1690"/>
    </row>
    <row r="21" spans="1:21">
      <c r="A21" s="1759" t="s">
        <v>1960</v>
      </c>
      <c r="B21" s="1760" t="s">
        <v>1961</v>
      </c>
      <c r="C21" s="1755">
        <f>'数据-汇总表'!E3</f>
        <v>191725</v>
      </c>
      <c r="D21" s="1756" t="s">
        <v>1962</v>
      </c>
      <c r="E21" s="3245" t="s">
        <v>1998</v>
      </c>
      <c r="F21" s="3246"/>
      <c r="G21" s="3246"/>
      <c r="H21" s="3246"/>
      <c r="I21" s="3247"/>
      <c r="J21" s="1690"/>
      <c r="K21" s="1770"/>
      <c r="L21" s="1719"/>
      <c r="M21" s="1719"/>
      <c r="N21" s="1690"/>
      <c r="O21" s="1691"/>
      <c r="P21" s="1690"/>
      <c r="Q21" s="1690"/>
      <c r="R21" s="1690"/>
      <c r="S21" s="1690"/>
      <c r="T21" s="1690"/>
      <c r="U21" s="1690"/>
    </row>
    <row r="22" spans="1:21">
      <c r="A22" s="3175" t="s">
        <v>951</v>
      </c>
      <c r="B22" s="1658" t="s">
        <v>1963</v>
      </c>
      <c r="C22" s="1682">
        <f>'数据-汇总表'!D3</f>
        <v>74959</v>
      </c>
      <c r="D22" s="1683" t="s">
        <v>1962</v>
      </c>
      <c r="E22" s="3245" t="s">
        <v>2890</v>
      </c>
      <c r="F22" s="3246"/>
      <c r="G22" s="3246"/>
      <c r="H22" s="3246"/>
      <c r="I22" s="3247"/>
      <c r="J22" s="1690"/>
      <c r="K22" s="1770"/>
      <c r="L22" s="1719"/>
      <c r="M22" s="1719"/>
      <c r="N22" s="1690"/>
      <c r="O22" s="1691"/>
      <c r="P22" s="1690"/>
      <c r="Q22" s="1690"/>
      <c r="R22" s="1690"/>
      <c r="S22" s="1690"/>
      <c r="T22" s="1690"/>
      <c r="U22" s="1690"/>
    </row>
    <row r="23" spans="1:21" ht="29.25" thickBot="1">
      <c r="A23" s="1761" t="s">
        <v>1964</v>
      </c>
      <c r="B23" s="1697" t="s">
        <v>1965</v>
      </c>
      <c r="C23" s="1698" t="s">
        <v>2992</v>
      </c>
      <c r="D23" s="1699" t="s">
        <v>1966</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248" t="s">
        <v>1968</v>
      </c>
      <c r="C24" s="3249"/>
      <c r="D24" s="3250" t="s">
        <v>1969</v>
      </c>
      <c r="E24" s="3251"/>
      <c r="F24" s="1704" t="s">
        <v>1970</v>
      </c>
      <c r="G24" s="1690"/>
      <c r="H24" s="1690"/>
      <c r="I24" s="1703"/>
      <c r="J24" s="1690"/>
      <c r="K24" s="3236" t="s">
        <v>1971</v>
      </c>
      <c r="L24" s="247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9"/>
      <c r="N24" s="1690"/>
      <c r="O24" s="1691"/>
      <c r="P24" s="1690"/>
      <c r="Q24" s="1690"/>
      <c r="R24" s="1690"/>
      <c r="S24" s="1690"/>
      <c r="T24" s="1690"/>
      <c r="U24" s="1690"/>
    </row>
    <row r="25" spans="1:21" ht="28.5">
      <c r="A25" s="1747"/>
      <c r="B25" s="1744" t="s">
        <v>2325</v>
      </c>
      <c r="C25" s="1705" t="s">
        <v>2326</v>
      </c>
      <c r="D25" s="1706"/>
      <c r="E25" s="1707" t="s">
        <v>951</v>
      </c>
      <c r="F25" s="1708"/>
      <c r="G25" s="1690"/>
      <c r="H25" s="1690"/>
      <c r="I25" s="1703"/>
      <c r="J25" s="1690"/>
      <c r="K25" s="3236"/>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7"/>
      <c r="E26" s="1657"/>
      <c r="F26" s="1684"/>
      <c r="G26" s="1690"/>
      <c r="H26" s="1690"/>
      <c r="I26" s="1703"/>
      <c r="J26" s="1690"/>
      <c r="K26" s="3236"/>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1972</v>
      </c>
      <c r="B27" s="1749" t="s">
        <v>1973</v>
      </c>
      <c r="C27" s="1709"/>
      <c r="D27" s="2672" t="s">
        <v>1973</v>
      </c>
      <c r="E27" s="1710"/>
      <c r="F27" s="1684"/>
      <c r="G27" s="1690"/>
      <c r="H27" s="1690"/>
      <c r="I27" s="1703"/>
      <c r="J27" s="1690"/>
      <c r="K27" s="1770"/>
      <c r="L27" s="1719"/>
      <c r="M27" s="1719"/>
      <c r="N27" s="1690"/>
      <c r="O27" s="1691"/>
      <c r="P27" s="1690"/>
      <c r="Q27" s="1690"/>
      <c r="R27" s="1690"/>
      <c r="S27" s="1690"/>
      <c r="T27" s="1690"/>
      <c r="U27" s="1690"/>
    </row>
    <row r="28" spans="1:21">
      <c r="A28" s="1752"/>
      <c r="B28" s="1749" t="s">
        <v>1974</v>
      </c>
      <c r="C28" s="1711"/>
      <c r="D28" s="2673" t="s">
        <v>1974</v>
      </c>
      <c r="E28" s="1712"/>
      <c r="F28" s="1684"/>
      <c r="G28" s="1690"/>
      <c r="H28" s="1690"/>
      <c r="I28" s="1703"/>
      <c r="J28" s="1690"/>
      <c r="K28" s="1770"/>
      <c r="L28" s="1719"/>
      <c r="M28" s="1719"/>
      <c r="N28" s="1690"/>
      <c r="O28" s="1691"/>
      <c r="P28" s="1690"/>
      <c r="Q28" s="1690"/>
      <c r="R28" s="1690"/>
      <c r="S28" s="1690"/>
      <c r="T28" s="1690"/>
      <c r="U28" s="1690"/>
    </row>
    <row r="29" spans="1:21">
      <c r="A29" s="1752"/>
      <c r="B29" s="1749" t="s">
        <v>1975</v>
      </c>
      <c r="C29" s="1711"/>
      <c r="D29" s="2673" t="s">
        <v>1975</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1976</v>
      </c>
      <c r="C30" s="1713"/>
      <c r="D30" s="2674" t="s">
        <v>1976</v>
      </c>
      <c r="E30" s="1714"/>
      <c r="F30" s="1685"/>
      <c r="G30" s="1738"/>
      <c r="H30" s="1738"/>
      <c r="I30" s="1739"/>
      <c r="J30" s="1690"/>
      <c r="K30" s="1770"/>
      <c r="L30" s="1719"/>
      <c r="M30" s="1719"/>
      <c r="N30" s="1690"/>
      <c r="O30" s="1691"/>
      <c r="P30" s="1690"/>
      <c r="Q30" s="1690"/>
      <c r="R30" s="1690"/>
      <c r="S30" s="1690"/>
      <c r="T30" s="1690"/>
      <c r="U30" s="1690"/>
    </row>
    <row r="31" spans="1:21" ht="15" thickTop="1">
      <c r="A31" s="3263" t="s">
        <v>2001</v>
      </c>
      <c r="B31" s="1760" t="s">
        <v>2002</v>
      </c>
      <c r="C31" s="3261" t="s">
        <v>2993</v>
      </c>
      <c r="D31" s="3262"/>
      <c r="E31" s="1690"/>
      <c r="F31" s="1690"/>
      <c r="G31" s="1690"/>
      <c r="H31" s="1690"/>
      <c r="I31" s="1703"/>
      <c r="J31" s="1690"/>
      <c r="K31" s="2479"/>
      <c r="L31" s="1690"/>
      <c r="M31" s="1690"/>
      <c r="N31" s="1690"/>
      <c r="O31" s="1690"/>
      <c r="P31" s="1690"/>
      <c r="Q31" s="1690"/>
      <c r="R31" s="1690"/>
      <c r="S31" s="1690"/>
      <c r="T31" s="1690"/>
      <c r="U31" s="1690"/>
    </row>
    <row r="32" spans="1:21">
      <c r="A32" s="3263"/>
      <c r="B32" s="1658" t="s">
        <v>2003</v>
      </c>
      <c r="C32" s="1715" t="s">
        <v>2994</v>
      </c>
      <c r="D32" s="1716"/>
      <c r="E32" s="1690"/>
      <c r="F32" s="1690"/>
      <c r="G32" s="1690"/>
      <c r="H32" s="1690"/>
      <c r="I32" s="1703"/>
      <c r="J32" s="1690"/>
      <c r="K32" s="2479"/>
      <c r="L32" s="1690"/>
      <c r="M32" s="1690"/>
      <c r="N32" s="1690"/>
      <c r="O32" s="1690"/>
      <c r="P32" s="1690"/>
      <c r="Q32" s="1690"/>
      <c r="R32" s="1690"/>
      <c r="S32" s="1690"/>
      <c r="T32" s="1690"/>
      <c r="U32" s="1690"/>
    </row>
    <row r="33" spans="1:21">
      <c r="A33" s="3263"/>
      <c r="B33" s="1658" t="s">
        <v>2004</v>
      </c>
      <c r="C33" s="1717" t="s">
        <v>2992</v>
      </c>
      <c r="D33" s="1834"/>
      <c r="E33" s="1690"/>
      <c r="F33" s="1690"/>
      <c r="G33" s="1690"/>
      <c r="H33" s="1690"/>
      <c r="I33" s="1703"/>
      <c r="J33" s="1690"/>
      <c r="K33" s="2479"/>
      <c r="L33" s="1690"/>
      <c r="M33" s="1690"/>
      <c r="N33" s="1690"/>
      <c r="O33" s="1690"/>
      <c r="P33" s="1690"/>
      <c r="Q33" s="1690"/>
      <c r="R33" s="1690"/>
      <c r="S33" s="1690"/>
      <c r="T33" s="1690"/>
      <c r="U33" s="1690"/>
    </row>
    <row r="34" spans="1:21">
      <c r="A34" s="3264"/>
      <c r="B34" s="1658" t="s">
        <v>2005</v>
      </c>
      <c r="C34" s="3265"/>
      <c r="D34" s="3266"/>
      <c r="E34" s="1690"/>
      <c r="F34" s="1690"/>
      <c r="G34" s="1690"/>
      <c r="H34" s="1690"/>
      <c r="I34" s="1703"/>
      <c r="J34" s="1690"/>
      <c r="K34" s="2479"/>
      <c r="L34" s="1690"/>
      <c r="M34" s="1690"/>
      <c r="N34" s="1690"/>
      <c r="O34" s="1690"/>
      <c r="P34" s="1690"/>
      <c r="Q34" s="1690"/>
      <c r="R34" s="1690"/>
      <c r="S34" s="1690"/>
      <c r="T34" s="1690"/>
      <c r="U34" s="1690"/>
    </row>
    <row r="35" spans="1:21">
      <c r="A35" s="3267" t="s">
        <v>846</v>
      </c>
      <c r="B35" s="1718" t="s">
        <v>2995</v>
      </c>
      <c r="C35" s="1772" t="str">
        <f>IF(B35="场地平整","——","具体情况：")</f>
        <v>——</v>
      </c>
      <c r="D35" s="3269"/>
      <c r="E35" s="3270"/>
      <c r="F35" s="3270"/>
      <c r="G35" s="3270"/>
      <c r="H35" s="3270"/>
      <c r="I35" s="3271"/>
      <c r="J35" s="1690"/>
      <c r="K35" s="1771"/>
      <c r="L35" s="1719"/>
      <c r="M35" s="1719"/>
      <c r="N35" s="1690"/>
      <c r="O35" s="1691"/>
      <c r="P35" s="1690"/>
      <c r="Q35" s="1690"/>
      <c r="R35" s="1690"/>
      <c r="S35" s="1690"/>
      <c r="T35" s="1690"/>
      <c r="U35" s="1690"/>
    </row>
    <row r="36" spans="1:21">
      <c r="A36" s="3263"/>
      <c r="B36" s="3272" t="s">
        <v>2054</v>
      </c>
      <c r="C36" s="3273"/>
      <c r="D36" s="1788" t="s">
        <v>2996</v>
      </c>
      <c r="E36" s="3274"/>
      <c r="F36" s="3274"/>
      <c r="G36" s="1683" t="str">
        <f>IF(B35="场地未平整","估价结果处理","")</f>
        <v/>
      </c>
      <c r="H36" s="3275"/>
      <c r="I36" s="3275"/>
      <c r="J36" s="1690"/>
      <c r="K36" s="1771"/>
      <c r="L36" s="1719"/>
      <c r="M36" s="1719"/>
      <c r="N36" s="1690"/>
      <c r="O36" s="1691"/>
      <c r="P36" s="1690"/>
      <c r="Q36" s="1690"/>
      <c r="R36" s="1690"/>
      <c r="S36" s="1690"/>
      <c r="T36" s="1690"/>
      <c r="U36" s="1690"/>
    </row>
    <row r="37" spans="1:21" ht="28.5">
      <c r="A37" s="3263"/>
      <c r="B37" s="3252"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63"/>
      <c r="B38" s="3253"/>
      <c r="C38" s="1666" t="s">
        <v>849</v>
      </c>
      <c r="D38" s="1787">
        <f>ROUNDDOWN(MIN(('数据-取费表'!$B$2-D37)/365,D34),1)</f>
        <v>118.4</v>
      </c>
      <c r="E38" s="1723" t="s">
        <v>850</v>
      </c>
      <c r="F38" s="1690"/>
      <c r="G38" s="1690"/>
      <c r="H38" s="1690"/>
      <c r="I38" s="1703"/>
      <c r="J38" s="1690"/>
      <c r="K38" s="1771"/>
      <c r="L38" s="1690"/>
      <c r="M38" s="1690"/>
      <c r="N38" s="1690"/>
      <c r="O38" s="1690"/>
      <c r="P38" s="1690"/>
      <c r="Q38" s="1690"/>
      <c r="R38" s="1690"/>
      <c r="S38" s="1690"/>
      <c r="T38" s="1690"/>
      <c r="U38" s="1690"/>
    </row>
    <row r="39" spans="1:21">
      <c r="A39" s="3264"/>
      <c r="B39" s="3254"/>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1977</v>
      </c>
      <c r="B40" s="1686" t="s">
        <v>2997</v>
      </c>
      <c r="C40" s="1686" t="s">
        <v>2998</v>
      </c>
      <c r="D40" s="1686" t="s">
        <v>2999</v>
      </c>
      <c r="E40" s="1686"/>
      <c r="F40" s="1686"/>
      <c r="G40" s="1686"/>
      <c r="H40" s="1686"/>
      <c r="I40" s="1703"/>
      <c r="J40" s="1690"/>
      <c r="K40" s="1726">
        <f>COUNTIF(B40:H40,"——")</f>
        <v>0</v>
      </c>
      <c r="L40" s="1695" t="s">
        <v>1978</v>
      </c>
      <c r="M40" s="1692" t="s">
        <v>1979</v>
      </c>
      <c r="N40" s="1692" t="s">
        <v>1980</v>
      </c>
      <c r="O40" s="1692" t="s">
        <v>1981</v>
      </c>
      <c r="P40" s="1692" t="s">
        <v>1982</v>
      </c>
      <c r="Q40" s="1692" t="s">
        <v>1983</v>
      </c>
      <c r="R40" s="1692" t="s">
        <v>1984</v>
      </c>
      <c r="S40" s="3235" t="s">
        <v>1985</v>
      </c>
      <c r="T40" s="1727" t="str">
        <f>NUMBERSTRING(7-K40,1)&amp;"通"</f>
        <v>七通</v>
      </c>
      <c r="U40" s="1690"/>
    </row>
    <row r="41" spans="1:21">
      <c r="A41" s="1660"/>
      <c r="B41" s="3268" t="s">
        <v>1721</v>
      </c>
      <c r="C41" s="3268"/>
      <c r="D41" s="3268"/>
      <c r="E41" s="3268"/>
      <c r="F41" s="1728" t="str">
        <f>C10</f>
        <v>安徽省</v>
      </c>
      <c r="G41" s="1690"/>
      <c r="H41" s="1690"/>
      <c r="I41" s="1703"/>
      <c r="J41" s="1690"/>
      <c r="K41" s="1695"/>
      <c r="L41" s="1692" t="str">
        <f>B40</f>
        <v>通路</v>
      </c>
      <c r="M41" s="1729" t="str">
        <f>B40&amp;"、"&amp;C40</f>
        <v>通路、通电</v>
      </c>
      <c r="N41" s="1730" t="str">
        <f>B40&amp;"、"&amp;C40&amp;"、"&amp;D40</f>
        <v>通路、通电、通上水</v>
      </c>
      <c r="O41" s="1730" t="str">
        <f>B40&amp;"、"&amp;C40&amp;"、"&amp;D40&amp;"、"&amp;E40</f>
        <v>通路、通电、通上水、</v>
      </c>
      <c r="P41" s="1730" t="str">
        <f>B40&amp;"、"&amp;C40&amp;"、"&amp;D40&amp;"、"&amp;E40&amp;"、"&amp;F40</f>
        <v>通路、通电、通上水、、</v>
      </c>
      <c r="Q41" s="1730" t="str">
        <f>B40&amp;"、"&amp;C40&amp;"、"&amp;D40&amp;"、"&amp;E40&amp;"、"&amp;F40&amp;"、"&amp;G40</f>
        <v>通路、通电、通上水、、、</v>
      </c>
      <c r="R41" s="1730" t="str">
        <f>B40&amp;"、"&amp;C40&amp;"、"&amp;D40&amp;"、"&amp;E40&amp;"、"&amp;F40&amp;"、"&amp;G40&amp;"、"&amp;H40</f>
        <v>通路、通电、通上水、、、、</v>
      </c>
      <c r="S41" s="3235"/>
      <c r="T41" s="1729" t="str">
        <f>IF(T40="一通",L41,IF(T40="二通",M41,IF(T40="三通",N41,IF(T40="四通",O41,IF(T40="五通",P41,IF(T40="六通",Q41,R41))))))</f>
        <v>通路、通电、通上水、、、、</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3" customFormat="1" ht="21" thickBot="1">
      <c r="A45" s="3094" t="s">
        <v>2891</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7" t="s">
        <v>2333</v>
      </c>
      <c r="BA2" s="2358"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f>40924+34035</f>
        <v>74959</v>
      </c>
      <c r="B3" s="22">
        <f>IF(C3="否",G5-AT5,G5)</f>
        <v>191725</v>
      </c>
      <c r="C3" s="23" t="s">
        <v>2992</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199299</v>
      </c>
      <c r="H5" s="27">
        <f t="shared" ref="H5:AT5" si="0">SUM(H13:H641)</f>
        <v>175094</v>
      </c>
      <c r="I5" s="27">
        <f t="shared" si="0"/>
        <v>124246.52</v>
      </c>
      <c r="J5" s="27">
        <f t="shared" si="0"/>
        <v>0</v>
      </c>
      <c r="K5" s="27">
        <f t="shared" si="0"/>
        <v>23309.88</v>
      </c>
      <c r="L5" s="27">
        <f t="shared" si="0"/>
        <v>0</v>
      </c>
      <c r="M5" s="27">
        <f t="shared" si="0"/>
        <v>2361.6</v>
      </c>
      <c r="N5" s="27">
        <f t="shared" si="0"/>
        <v>0</v>
      </c>
      <c r="O5" s="27">
        <f t="shared" si="0"/>
        <v>25176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16631</v>
      </c>
      <c r="AD5" s="27">
        <f t="shared" si="0"/>
        <v>500</v>
      </c>
      <c r="AE5" s="27">
        <f t="shared" si="0"/>
        <v>0</v>
      </c>
      <c r="AF5" s="27">
        <f t="shared" si="0"/>
        <v>0</v>
      </c>
      <c r="AG5" s="27">
        <f t="shared" si="0"/>
        <v>0</v>
      </c>
      <c r="AH5" s="27">
        <f t="shared" si="0"/>
        <v>597</v>
      </c>
      <c r="AI5" s="27">
        <f t="shared" si="0"/>
        <v>0</v>
      </c>
      <c r="AJ5" s="27">
        <f t="shared" si="0"/>
        <v>0</v>
      </c>
      <c r="AK5" s="27">
        <f t="shared" si="0"/>
        <v>0</v>
      </c>
      <c r="AL5" s="27">
        <f t="shared" si="0"/>
        <v>470</v>
      </c>
      <c r="AM5" s="27">
        <f t="shared" si="0"/>
        <v>0</v>
      </c>
      <c r="AN5" s="27">
        <f t="shared" si="0"/>
        <v>14664</v>
      </c>
      <c r="AO5" s="27">
        <f t="shared" si="0"/>
        <v>0</v>
      </c>
      <c r="AP5" s="27">
        <f t="shared" si="0"/>
        <v>400</v>
      </c>
      <c r="AQ5" s="27">
        <f t="shared" si="0"/>
        <v>0</v>
      </c>
      <c r="AR5" s="27">
        <f t="shared" si="0"/>
        <v>0</v>
      </c>
      <c r="AS5" s="27">
        <f t="shared" si="0"/>
        <v>0</v>
      </c>
      <c r="AT5" s="27">
        <f t="shared" si="0"/>
        <v>7574</v>
      </c>
      <c r="AU5" s="985"/>
      <c r="AV5" s="26" t="s">
        <v>168</v>
      </c>
      <c r="AW5" s="986"/>
      <c r="AX5" s="986"/>
      <c r="AY5" s="28" t="s">
        <v>3</v>
      </c>
      <c r="AZ5" s="29">
        <f t="shared" ref="AZ5:BT5" si="1">SUM(AZ13:AZ641)</f>
        <v>191725</v>
      </c>
      <c r="BA5" s="29">
        <f t="shared" si="1"/>
        <v>175094</v>
      </c>
      <c r="BB5" s="29">
        <f t="shared" si="1"/>
        <v>124246.52</v>
      </c>
      <c r="BC5" s="29">
        <f t="shared" si="1"/>
        <v>23309.88</v>
      </c>
      <c r="BD5" s="29">
        <f t="shared" si="1"/>
        <v>2361.6</v>
      </c>
      <c r="BE5" s="29">
        <f t="shared" si="1"/>
        <v>25176</v>
      </c>
      <c r="BF5" s="29">
        <f t="shared" si="1"/>
        <v>0</v>
      </c>
      <c r="BG5" s="29">
        <f t="shared" si="1"/>
        <v>0</v>
      </c>
      <c r="BH5" s="29">
        <f t="shared" si="1"/>
        <v>0</v>
      </c>
      <c r="BI5" s="29">
        <f t="shared" si="1"/>
        <v>0</v>
      </c>
      <c r="BJ5" s="29">
        <f t="shared" si="1"/>
        <v>0</v>
      </c>
      <c r="BK5" s="29">
        <f t="shared" si="1"/>
        <v>0</v>
      </c>
      <c r="BL5" s="29">
        <f t="shared" si="1"/>
        <v>16631</v>
      </c>
      <c r="BM5" s="29">
        <f t="shared" si="1"/>
        <v>500</v>
      </c>
      <c r="BN5" s="29">
        <f t="shared" si="1"/>
        <v>0</v>
      </c>
      <c r="BO5" s="29">
        <f t="shared" si="1"/>
        <v>597</v>
      </c>
      <c r="BP5" s="29">
        <f t="shared" si="1"/>
        <v>0</v>
      </c>
      <c r="BQ5" s="29">
        <f t="shared" si="1"/>
        <v>470</v>
      </c>
      <c r="BR5" s="29">
        <f t="shared" si="1"/>
        <v>14664</v>
      </c>
      <c r="BS5" s="29">
        <f t="shared" si="1"/>
        <v>400</v>
      </c>
      <c r="BT5" s="30">
        <f t="shared" si="1"/>
        <v>0</v>
      </c>
    </row>
    <row r="6" spans="1:72" s="37" customFormat="1" ht="12.75">
      <c r="A6" s="26" t="s">
        <v>169</v>
      </c>
      <c r="B6" s="31"/>
      <c r="C6" s="31"/>
      <c r="D6" s="32"/>
      <c r="E6" s="27">
        <f>H6+AC6+AT6</f>
        <v>74959.01999999999</v>
      </c>
      <c r="F6" s="27" t="s">
        <v>1</v>
      </c>
      <c r="G6" s="27" t="s">
        <v>2</v>
      </c>
      <c r="H6" s="33">
        <f>SUMIF(I$12:AB$12,"总值",I6:AB6)</f>
        <v>68456.759999999995</v>
      </c>
      <c r="I6" s="27">
        <f t="shared" ref="I6:AB6" si="2">ROUND($A$3*I5/$B$3,2)</f>
        <v>48576.84</v>
      </c>
      <c r="J6" s="27">
        <f t="shared" si="2"/>
        <v>0</v>
      </c>
      <c r="K6" s="27">
        <f t="shared" si="2"/>
        <v>9113.5</v>
      </c>
      <c r="L6" s="27">
        <f t="shared" si="2"/>
        <v>0</v>
      </c>
      <c r="M6" s="27">
        <f t="shared" si="2"/>
        <v>923.32</v>
      </c>
      <c r="N6" s="27">
        <f t="shared" si="2"/>
        <v>0</v>
      </c>
      <c r="O6" s="27">
        <f t="shared" si="2"/>
        <v>9843.1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6502.26</v>
      </c>
      <c r="AD6" s="27">
        <f t="shared" ref="AD6:AS6" si="3">ROUND($A$3*AD5/$B$3,2)</f>
        <v>195.49</v>
      </c>
      <c r="AE6" s="27">
        <f t="shared" si="3"/>
        <v>0</v>
      </c>
      <c r="AF6" s="27">
        <f t="shared" si="3"/>
        <v>0</v>
      </c>
      <c r="AG6" s="27">
        <f t="shared" si="3"/>
        <v>0</v>
      </c>
      <c r="AH6" s="27">
        <f t="shared" si="3"/>
        <v>233.41</v>
      </c>
      <c r="AI6" s="27">
        <f t="shared" si="3"/>
        <v>0</v>
      </c>
      <c r="AJ6" s="27">
        <f t="shared" si="3"/>
        <v>0</v>
      </c>
      <c r="AK6" s="27">
        <f t="shared" si="3"/>
        <v>0</v>
      </c>
      <c r="AL6" s="27">
        <f t="shared" si="3"/>
        <v>183.76</v>
      </c>
      <c r="AM6" s="27">
        <f t="shared" si="3"/>
        <v>0</v>
      </c>
      <c r="AN6" s="27">
        <f t="shared" si="3"/>
        <v>5733.21</v>
      </c>
      <c r="AO6" s="27">
        <f t="shared" si="3"/>
        <v>0</v>
      </c>
      <c r="AP6" s="27">
        <f t="shared" si="3"/>
        <v>156.38999999999999</v>
      </c>
      <c r="AQ6" s="27">
        <f t="shared" si="3"/>
        <v>0</v>
      </c>
      <c r="AR6" s="27">
        <f t="shared" si="3"/>
        <v>0</v>
      </c>
      <c r="AS6" s="27">
        <f t="shared" si="3"/>
        <v>0</v>
      </c>
      <c r="AT6" s="33">
        <f>IF(C3="是",ROUND($A$3*AT5/$B$3,2),0)</f>
        <v>0</v>
      </c>
      <c r="AU6" s="34"/>
      <c r="AV6" s="26" t="s">
        <v>169</v>
      </c>
      <c r="AW6" s="31"/>
      <c r="AX6" s="31"/>
      <c r="AY6" s="35">
        <f>IF(AY3&gt;0,AY3,ROUND($A$3*AZ5/$B$3,2))</f>
        <v>74959</v>
      </c>
      <c r="AZ6" s="27" t="s">
        <v>3</v>
      </c>
      <c r="BA6" s="27">
        <f>ROUND($AY$6*BA5/$AZ$5,2)</f>
        <v>68456.75</v>
      </c>
      <c r="BB6" s="27">
        <f>ROUND($AY$6*BB5/$AZ$5,2)</f>
        <v>48576.84</v>
      </c>
      <c r="BC6" s="27">
        <f t="shared" ref="BC6:BH6" si="4">ROUND($AY$6*BC5/$AZ$5,2)</f>
        <v>9113.5</v>
      </c>
      <c r="BD6" s="27">
        <f t="shared" si="4"/>
        <v>923.32</v>
      </c>
      <c r="BE6" s="27">
        <f t="shared" si="4"/>
        <v>9843.1</v>
      </c>
      <c r="BF6" s="27">
        <f t="shared" si="4"/>
        <v>0</v>
      </c>
      <c r="BG6" s="27">
        <f t="shared" si="4"/>
        <v>0</v>
      </c>
      <c r="BH6" s="27">
        <f t="shared" si="4"/>
        <v>0</v>
      </c>
      <c r="BI6" s="27">
        <f t="shared" ref="BI6:BT6" si="5">ROUND($AY$6*BI5/$AZ$5,2)</f>
        <v>0</v>
      </c>
      <c r="BJ6" s="27">
        <f t="shared" si="5"/>
        <v>0</v>
      </c>
      <c r="BK6" s="27">
        <f t="shared" si="5"/>
        <v>0</v>
      </c>
      <c r="BL6" s="27">
        <f t="shared" si="5"/>
        <v>6502.25</v>
      </c>
      <c r="BM6" s="27">
        <f t="shared" si="5"/>
        <v>195.49</v>
      </c>
      <c r="BN6" s="27">
        <f t="shared" si="5"/>
        <v>0</v>
      </c>
      <c r="BO6" s="27">
        <f t="shared" si="5"/>
        <v>233.41</v>
      </c>
      <c r="BP6" s="27">
        <f t="shared" si="5"/>
        <v>0</v>
      </c>
      <c r="BQ6" s="27">
        <f t="shared" si="5"/>
        <v>183.76</v>
      </c>
      <c r="BR6" s="27">
        <f t="shared" si="5"/>
        <v>5733.21</v>
      </c>
      <c r="BS6" s="27">
        <f t="shared" si="5"/>
        <v>156.38999999999999</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4"/>
      <c r="AT8" s="2325"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40" t="s">
        <v>3008</v>
      </c>
      <c r="J9" s="51"/>
      <c r="K9" s="3040" t="s">
        <v>3008</v>
      </c>
      <c r="L9" s="51"/>
      <c r="M9" s="3040" t="s">
        <v>3008</v>
      </c>
      <c r="N9" s="51"/>
      <c r="O9" s="59" t="s">
        <v>3013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6"/>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40" t="s">
        <v>922</v>
      </c>
      <c r="J10" s="51"/>
      <c r="K10" s="3042" t="s">
        <v>922</v>
      </c>
      <c r="L10" s="51"/>
      <c r="M10" s="3042" t="s">
        <v>2991</v>
      </c>
      <c r="N10" s="51"/>
      <c r="O10" s="66" t="s">
        <v>3003</v>
      </c>
      <c r="P10" s="51"/>
      <c r="Q10" s="66"/>
      <c r="R10" s="51"/>
      <c r="S10" s="66"/>
      <c r="T10" s="51"/>
      <c r="U10" s="66"/>
      <c r="V10" s="51"/>
      <c r="W10" s="66"/>
      <c r="X10" s="51"/>
      <c r="Y10" s="66"/>
      <c r="Z10" s="51"/>
      <c r="AA10" s="66"/>
      <c r="AB10" s="51"/>
      <c r="AC10" s="55"/>
      <c r="AD10" s="2311" t="s">
        <v>2317</v>
      </c>
      <c r="AE10" s="2333"/>
      <c r="AF10" s="2311" t="s">
        <v>2317</v>
      </c>
      <c r="AG10" s="2333"/>
      <c r="AH10" s="2311" t="s">
        <v>2318</v>
      </c>
      <c r="AI10" s="2333"/>
      <c r="AJ10" s="26" t="s">
        <v>2331</v>
      </c>
      <c r="AK10" s="2330"/>
      <c r="AL10" s="2311" t="s">
        <v>2319</v>
      </c>
      <c r="AM10" s="2312"/>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41" t="s">
        <v>3009</v>
      </c>
      <c r="J11" s="71"/>
      <c r="K11" s="3041" t="s">
        <v>3010</v>
      </c>
      <c r="L11" s="71"/>
      <c r="M11" s="70" t="s">
        <v>3011</v>
      </c>
      <c r="N11" s="71"/>
      <c r="O11" s="70" t="s">
        <v>3003</v>
      </c>
      <c r="P11" s="71"/>
      <c r="Q11" s="70"/>
      <c r="R11" s="71"/>
      <c r="S11" s="70"/>
      <c r="T11" s="71"/>
      <c r="U11" s="70"/>
      <c r="V11" s="71"/>
      <c r="W11" s="70"/>
      <c r="X11" s="71"/>
      <c r="Y11" s="70"/>
      <c r="Z11" s="71"/>
      <c r="AA11" s="70"/>
      <c r="AB11" s="71"/>
      <c r="AC11" s="55"/>
      <c r="AD11" s="2331" t="s">
        <v>2330</v>
      </c>
      <c r="AE11" s="999"/>
      <c r="AF11" s="2331" t="s">
        <v>2330</v>
      </c>
      <c r="AG11" s="999"/>
      <c r="AH11" s="2331" t="s">
        <v>2329</v>
      </c>
      <c r="AI11" s="2332"/>
      <c r="AJ11" s="2331" t="s">
        <v>2329</v>
      </c>
      <c r="AK11" s="2330"/>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平层住宅</v>
      </c>
      <c r="BC12" s="79" t="str">
        <f>K11</f>
        <v>双拼</v>
      </c>
      <c r="BD12" s="79" t="str">
        <f>M11</f>
        <v>底商</v>
      </c>
      <c r="BE12" s="50" t="str">
        <f>O11</f>
        <v>车库</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35"/>
      <c r="B13" s="3035"/>
      <c r="C13" s="3035" t="s">
        <v>3005</v>
      </c>
      <c r="D13" s="3036" t="s">
        <v>1678</v>
      </c>
      <c r="E13" s="27">
        <f t="shared" ref="E13:E20" si="6">IF($C$3="是",ROUND($A$3*G13/$B$3,2),ROUND($A$3*(G13-AT13)/$B$3,2))</f>
        <v>48576.84</v>
      </c>
      <c r="F13" s="81"/>
      <c r="G13" s="82">
        <f t="shared" ref="G13:G20" si="7">H13+AC13+AT13</f>
        <v>124246.52</v>
      </c>
      <c r="H13" s="33">
        <f t="shared" ref="H13:H20" si="8">SUMIF(I$12:AB$12,"总值",I13:AB13)</f>
        <v>124246.52</v>
      </c>
      <c r="I13" s="3039">
        <v>124246.52</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高层住宅</v>
      </c>
      <c r="AY13" s="993">
        <f t="shared" ref="AY13:AY20" si="11">ROUND($AY$6*AZ13/$AZ$5,2)</f>
        <v>48576.84</v>
      </c>
      <c r="AZ13" s="27">
        <f t="shared" ref="AZ13:AZ20" si="12">BA13+BL13</f>
        <v>124246.52</v>
      </c>
      <c r="BA13" s="27">
        <f t="shared" ref="BA13:BA20" si="13">SUM(BB13:BK13)</f>
        <v>124246.52</v>
      </c>
      <c r="BB13" s="27">
        <f t="shared" ref="BB13:BB20" si="14">IF($D13="是",I13-J13,0)</f>
        <v>124246.52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035" t="s">
        <v>3006</v>
      </c>
      <c r="D14" s="3036" t="s">
        <v>1678</v>
      </c>
      <c r="E14" s="27">
        <f t="shared" si="6"/>
        <v>9113.5</v>
      </c>
      <c r="F14" s="81"/>
      <c r="G14" s="82">
        <f t="shared" si="7"/>
        <v>23309.88</v>
      </c>
      <c r="H14" s="33">
        <f t="shared" si="8"/>
        <v>23309.88</v>
      </c>
      <c r="I14" s="3039"/>
      <c r="J14" s="3039"/>
      <c r="K14" s="3039">
        <v>23309.88</v>
      </c>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合院住宅</v>
      </c>
      <c r="AY14" s="993">
        <f t="shared" si="11"/>
        <v>9113.5</v>
      </c>
      <c r="AZ14" s="27">
        <f t="shared" si="12"/>
        <v>23309.88</v>
      </c>
      <c r="BA14" s="27">
        <f t="shared" si="13"/>
        <v>23309.88</v>
      </c>
      <c r="BB14" s="27">
        <f t="shared" si="14"/>
        <v>0</v>
      </c>
      <c r="BC14" s="27">
        <f t="shared" si="15"/>
        <v>23309.88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5" t="s">
        <v>3007</v>
      </c>
      <c r="D15" s="3036" t="s">
        <v>1678</v>
      </c>
      <c r="E15" s="27">
        <f t="shared" si="6"/>
        <v>923.32</v>
      </c>
      <c r="F15" s="81"/>
      <c r="G15" s="82">
        <f t="shared" si="7"/>
        <v>2361.6</v>
      </c>
      <c r="H15" s="33">
        <f t="shared" si="8"/>
        <v>2361.6</v>
      </c>
      <c r="I15" s="3039"/>
      <c r="J15" s="3039"/>
      <c r="K15" s="3039"/>
      <c r="L15" s="3039"/>
      <c r="M15" s="3039">
        <v>2361.6</v>
      </c>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商业</v>
      </c>
      <c r="AY15" s="993">
        <f t="shared" si="11"/>
        <v>923.32</v>
      </c>
      <c r="AZ15" s="27">
        <f t="shared" si="12"/>
        <v>2361.6</v>
      </c>
      <c r="BA15" s="27">
        <f t="shared" si="13"/>
        <v>2361.6</v>
      </c>
      <c r="BB15" s="27">
        <f t="shared" si="14"/>
        <v>0</v>
      </c>
      <c r="BC15" s="27">
        <f t="shared" si="15"/>
        <v>0</v>
      </c>
      <c r="BD15" s="27">
        <f t="shared" si="16"/>
        <v>2361.6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5" t="s">
        <v>3012</v>
      </c>
      <c r="D16" s="3036" t="s">
        <v>1678</v>
      </c>
      <c r="E16" s="27">
        <f t="shared" si="6"/>
        <v>16345.34</v>
      </c>
      <c r="F16" s="81"/>
      <c r="G16" s="82">
        <f t="shared" si="7"/>
        <v>49381</v>
      </c>
      <c r="H16" s="33">
        <f t="shared" si="8"/>
        <v>25176</v>
      </c>
      <c r="I16" s="3039"/>
      <c r="J16" s="3039"/>
      <c r="K16" s="3039"/>
      <c r="L16" s="3039"/>
      <c r="M16" s="3039"/>
      <c r="N16" s="83"/>
      <c r="O16" s="83">
        <f>32750-7574</f>
        <v>25176</v>
      </c>
      <c r="P16" s="83"/>
      <c r="Q16" s="83"/>
      <c r="R16" s="83"/>
      <c r="S16" s="83"/>
      <c r="T16" s="83"/>
      <c r="U16" s="83"/>
      <c r="V16" s="83"/>
      <c r="W16" s="83"/>
      <c r="X16" s="83"/>
      <c r="Y16" s="83"/>
      <c r="Z16" s="83"/>
      <c r="AA16" s="83"/>
      <c r="AB16" s="83"/>
      <c r="AC16" s="27">
        <f t="shared" si="9"/>
        <v>16631</v>
      </c>
      <c r="AD16" s="3043">
        <f>500</f>
        <v>500</v>
      </c>
      <c r="AE16" s="3043"/>
      <c r="AF16" s="3043"/>
      <c r="AG16" s="3043"/>
      <c r="AH16" s="3043">
        <v>597</v>
      </c>
      <c r="AI16" s="3043"/>
      <c r="AJ16" s="3043"/>
      <c r="AK16" s="3043"/>
      <c r="AL16" s="3043">
        <f>50+420</f>
        <v>470</v>
      </c>
      <c r="AM16" s="3043"/>
      <c r="AN16" s="3043">
        <v>14664</v>
      </c>
      <c r="AO16" s="3043"/>
      <c r="AP16" s="3043">
        <v>400</v>
      </c>
      <c r="AQ16" s="3043"/>
      <c r="AR16" s="3043"/>
      <c r="AS16" s="3043"/>
      <c r="AT16" s="3044">
        <v>7574</v>
      </c>
      <c r="AU16" s="3045"/>
      <c r="AV16" s="17">
        <f t="shared" si="10"/>
        <v>0</v>
      </c>
      <c r="AW16" s="17">
        <f t="shared" si="10"/>
        <v>0</v>
      </c>
      <c r="AX16" s="17" t="str">
        <f t="shared" si="10"/>
        <v>地下车库</v>
      </c>
      <c r="AY16" s="993">
        <f t="shared" si="11"/>
        <v>16345.34</v>
      </c>
      <c r="AZ16" s="27">
        <f t="shared" si="12"/>
        <v>41807</v>
      </c>
      <c r="BA16" s="27">
        <f t="shared" si="13"/>
        <v>25176</v>
      </c>
      <c r="BB16" s="27">
        <f t="shared" si="14"/>
        <v>0</v>
      </c>
      <c r="BC16" s="27">
        <f t="shared" si="15"/>
        <v>0</v>
      </c>
      <c r="BD16" s="27">
        <f t="shared" si="16"/>
        <v>0</v>
      </c>
      <c r="BE16" s="27">
        <f t="shared" si="17"/>
        <v>25176</v>
      </c>
      <c r="BF16" s="27">
        <f t="shared" si="18"/>
        <v>0</v>
      </c>
      <c r="BG16" s="27">
        <f t="shared" si="19"/>
        <v>0</v>
      </c>
      <c r="BH16" s="27">
        <f t="shared" si="20"/>
        <v>0</v>
      </c>
      <c r="BI16" s="27">
        <f t="shared" si="21"/>
        <v>0</v>
      </c>
      <c r="BJ16" s="27">
        <f t="shared" si="22"/>
        <v>0</v>
      </c>
      <c r="BK16" s="27">
        <f t="shared" si="23"/>
        <v>0</v>
      </c>
      <c r="BL16" s="27">
        <f t="shared" si="24"/>
        <v>16631</v>
      </c>
      <c r="BM16" s="27">
        <f t="shared" si="25"/>
        <v>500</v>
      </c>
      <c r="BN16" s="27">
        <f t="shared" si="26"/>
        <v>0</v>
      </c>
      <c r="BO16" s="27">
        <f t="shared" si="27"/>
        <v>597</v>
      </c>
      <c r="BP16" s="27">
        <f t="shared" si="28"/>
        <v>0</v>
      </c>
      <c r="BQ16" s="27">
        <f t="shared" si="29"/>
        <v>470</v>
      </c>
      <c r="BR16" s="27">
        <f t="shared" si="30"/>
        <v>14664</v>
      </c>
      <c r="BS16" s="27">
        <f t="shared" si="31"/>
        <v>400</v>
      </c>
      <c r="BT16" s="36">
        <f t="shared" si="32"/>
        <v>0</v>
      </c>
    </row>
    <row r="17" spans="1:72" s="18" customFormat="1" ht="12.75">
      <c r="A17" s="3035"/>
      <c r="B17" s="3035"/>
      <c r="C17" s="3037"/>
      <c r="D17" s="3036"/>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8"/>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IF($D21="是",AJ21-AK21,0)</f>
        <v>0</v>
      </c>
      <c r="BQ21" s="87">
        <f>IF($D21="是",AL21-AM21,0)</f>
        <v>0</v>
      </c>
      <c r="BR21" s="87">
        <f>IF($D21="是",AN21-AO21,0)</f>
        <v>0</v>
      </c>
      <c r="BS21" s="87">
        <f>IF($D21="是",AP21-AQ21,0)</f>
        <v>0</v>
      </c>
      <c r="BT21" s="96">
        <f t="shared" ref="BT21:BT109" si="57">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IF($D22="是",AJ22-AK22,0)</f>
        <v>0</v>
      </c>
      <c r="BQ22" s="87">
        <f>IF($D22="是",AL22-AM22,0)</f>
        <v>0</v>
      </c>
      <c r="BR22" s="87">
        <f>IF($D22="是",AN22-AO22,0)</f>
        <v>0</v>
      </c>
      <c r="BS22" s="87">
        <f>IF($D22="是",AP22-AQ22,0)</f>
        <v>0</v>
      </c>
      <c r="BT22" s="96">
        <f t="shared" si="57"/>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IF($D23="是",AJ23-AK23,0)</f>
        <v>0</v>
      </c>
      <c r="BQ23" s="87">
        <f>IF($D23="是",AL23-AM23,0)</f>
        <v>0</v>
      </c>
      <c r="BR23" s="87">
        <f>IF($D23="是",AN23-AO23,0)</f>
        <v>0</v>
      </c>
      <c r="BS23" s="87">
        <f>IF($D23="是",AP23-AQ23,0)</f>
        <v>0</v>
      </c>
      <c r="BT23" s="96">
        <f t="shared" si="57"/>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ref="BP24:BP109" si="58">IF($D24="是",AJ24-AK24,0)</f>
        <v>0</v>
      </c>
      <c r="BQ24" s="87">
        <f t="shared" ref="BQ24:BQ109" si="59">IF($D24="是",AL24-AM24,0)</f>
        <v>0</v>
      </c>
      <c r="BR24" s="87">
        <f t="shared" ref="BR24:BR109" si="60">IF($D24="是",AN24-AO24,0)</f>
        <v>0</v>
      </c>
      <c r="BS24" s="87">
        <f t="shared" ref="BS24:BS109" si="61">IF($D24="是",AP24-AQ24,0)</f>
        <v>0</v>
      </c>
      <c r="BT24" s="96">
        <f t="shared" si="57"/>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8"/>
        <v>0</v>
      </c>
      <c r="BQ25" s="87">
        <f t="shared" si="59"/>
        <v>0</v>
      </c>
      <c r="BR25" s="87">
        <f t="shared" si="60"/>
        <v>0</v>
      </c>
      <c r="BS25" s="87">
        <f t="shared" si="61"/>
        <v>0</v>
      </c>
      <c r="BT25" s="96">
        <f t="shared" si="57"/>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8"/>
        <v>0</v>
      </c>
      <c r="BQ26" s="87">
        <f t="shared" si="59"/>
        <v>0</v>
      </c>
      <c r="BR26" s="87">
        <f t="shared" si="60"/>
        <v>0</v>
      </c>
      <c r="BS26" s="87">
        <f t="shared" si="61"/>
        <v>0</v>
      </c>
      <c r="BT26" s="96">
        <f t="shared" si="57"/>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8"/>
        <v>0</v>
      </c>
      <c r="BQ27" s="87">
        <f t="shared" si="59"/>
        <v>0</v>
      </c>
      <c r="BR27" s="87">
        <f t="shared" si="60"/>
        <v>0</v>
      </c>
      <c r="BS27" s="87">
        <f t="shared" si="61"/>
        <v>0</v>
      </c>
      <c r="BT27" s="96">
        <f t="shared" si="57"/>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8"/>
        <v>0</v>
      </c>
      <c r="BQ28" s="87">
        <f t="shared" si="59"/>
        <v>0</v>
      </c>
      <c r="BR28" s="87">
        <f t="shared" si="60"/>
        <v>0</v>
      </c>
      <c r="BS28" s="87">
        <f t="shared" si="61"/>
        <v>0</v>
      </c>
      <c r="BT28" s="96">
        <f t="shared" si="57"/>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8"/>
        <v>0</v>
      </c>
      <c r="BQ29" s="87">
        <f t="shared" si="59"/>
        <v>0</v>
      </c>
      <c r="BR29" s="87">
        <f t="shared" si="60"/>
        <v>0</v>
      </c>
      <c r="BS29" s="87">
        <f t="shared" si="61"/>
        <v>0</v>
      </c>
      <c r="BT29" s="96">
        <f t="shared" si="57"/>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8"/>
        <v>0</v>
      </c>
      <c r="BQ30" s="87">
        <f t="shared" si="59"/>
        <v>0</v>
      </c>
      <c r="BR30" s="87">
        <f t="shared" si="60"/>
        <v>0</v>
      </c>
      <c r="BS30" s="87">
        <f t="shared" si="61"/>
        <v>0</v>
      </c>
      <c r="BT30" s="96">
        <f t="shared" si="57"/>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8"/>
        <v>0</v>
      </c>
      <c r="BQ31" s="87">
        <f t="shared" si="59"/>
        <v>0</v>
      </c>
      <c r="BR31" s="87">
        <f t="shared" si="60"/>
        <v>0</v>
      </c>
      <c r="BS31" s="87">
        <f t="shared" si="61"/>
        <v>0</v>
      </c>
      <c r="BT31" s="96">
        <f t="shared" si="57"/>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8"/>
        <v>0</v>
      </c>
      <c r="BQ32" s="87">
        <f t="shared" si="59"/>
        <v>0</v>
      </c>
      <c r="BR32" s="87">
        <f t="shared" si="60"/>
        <v>0</v>
      </c>
      <c r="BS32" s="87">
        <f t="shared" si="61"/>
        <v>0</v>
      </c>
      <c r="BT32" s="96">
        <f t="shared" si="57"/>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8"/>
        <v>0</v>
      </c>
      <c r="BQ33" s="87">
        <f t="shared" si="59"/>
        <v>0</v>
      </c>
      <c r="BR33" s="87">
        <f t="shared" si="60"/>
        <v>0</v>
      </c>
      <c r="BS33" s="87">
        <f t="shared" si="61"/>
        <v>0</v>
      </c>
      <c r="BT33" s="96">
        <f t="shared" si="57"/>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8"/>
        <v>0</v>
      </c>
      <c r="BQ34" s="87">
        <f t="shared" si="59"/>
        <v>0</v>
      </c>
      <c r="BR34" s="87">
        <f t="shared" si="60"/>
        <v>0</v>
      </c>
      <c r="BS34" s="87">
        <f t="shared" si="61"/>
        <v>0</v>
      </c>
      <c r="BT34" s="96">
        <f t="shared" si="57"/>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8"/>
        <v>0</v>
      </c>
      <c r="BQ35" s="87">
        <f t="shared" si="59"/>
        <v>0</v>
      </c>
      <c r="BR35" s="87">
        <f t="shared" si="60"/>
        <v>0</v>
      </c>
      <c r="BS35" s="87">
        <f t="shared" si="61"/>
        <v>0</v>
      </c>
      <c r="BT35" s="96">
        <f t="shared" si="57"/>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8"/>
        <v>0</v>
      </c>
      <c r="BQ36" s="87">
        <f t="shared" si="59"/>
        <v>0</v>
      </c>
      <c r="BR36" s="87">
        <f t="shared" si="60"/>
        <v>0</v>
      </c>
      <c r="BS36" s="87">
        <f t="shared" si="61"/>
        <v>0</v>
      </c>
      <c r="BT36" s="96">
        <f t="shared" si="57"/>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8"/>
        <v>0</v>
      </c>
      <c r="BQ37" s="87">
        <f t="shared" si="59"/>
        <v>0</v>
      </c>
      <c r="BR37" s="87">
        <f t="shared" si="60"/>
        <v>0</v>
      </c>
      <c r="BS37" s="87">
        <f t="shared" si="61"/>
        <v>0</v>
      </c>
      <c r="BT37" s="96">
        <f t="shared" si="57"/>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8"/>
        <v>0</v>
      </c>
      <c r="BQ38" s="87">
        <f t="shared" si="59"/>
        <v>0</v>
      </c>
      <c r="BR38" s="87">
        <f t="shared" si="60"/>
        <v>0</v>
      </c>
      <c r="BS38" s="87">
        <f t="shared" si="61"/>
        <v>0</v>
      </c>
      <c r="BT38" s="96">
        <f t="shared" si="57"/>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8"/>
        <v>0</v>
      </c>
      <c r="BQ39" s="87">
        <f t="shared" si="59"/>
        <v>0</v>
      </c>
      <c r="BR39" s="87">
        <f t="shared" si="60"/>
        <v>0</v>
      </c>
      <c r="BS39" s="87">
        <f t="shared" si="61"/>
        <v>0</v>
      </c>
      <c r="BT39" s="96">
        <f t="shared" si="57"/>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8"/>
        <v>0</v>
      </c>
      <c r="BQ40" s="87">
        <f t="shared" si="59"/>
        <v>0</v>
      </c>
      <c r="BR40" s="87">
        <f t="shared" si="60"/>
        <v>0</v>
      </c>
      <c r="BS40" s="87">
        <f t="shared" si="61"/>
        <v>0</v>
      </c>
      <c r="BT40" s="96">
        <f t="shared" si="57"/>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8"/>
        <v>0</v>
      </c>
      <c r="BQ41" s="87">
        <f t="shared" si="59"/>
        <v>0</v>
      </c>
      <c r="BR41" s="87">
        <f t="shared" si="60"/>
        <v>0</v>
      </c>
      <c r="BS41" s="87">
        <f t="shared" si="61"/>
        <v>0</v>
      </c>
      <c r="BT41" s="96">
        <f t="shared" si="57"/>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8"/>
        <v>0</v>
      </c>
      <c r="BQ42" s="87">
        <f t="shared" si="59"/>
        <v>0</v>
      </c>
      <c r="BR42" s="87">
        <f t="shared" si="60"/>
        <v>0</v>
      </c>
      <c r="BS42" s="87">
        <f t="shared" si="61"/>
        <v>0</v>
      </c>
      <c r="BT42" s="96">
        <f t="shared" si="57"/>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8"/>
        <v>0</v>
      </c>
      <c r="BQ43" s="87">
        <f t="shared" si="59"/>
        <v>0</v>
      </c>
      <c r="BR43" s="87">
        <f t="shared" si="60"/>
        <v>0</v>
      </c>
      <c r="BS43" s="87">
        <f t="shared" si="61"/>
        <v>0</v>
      </c>
      <c r="BT43" s="96">
        <f t="shared" si="57"/>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8"/>
        <v>0</v>
      </c>
      <c r="BQ44" s="87">
        <f t="shared" si="59"/>
        <v>0</v>
      </c>
      <c r="BR44" s="87">
        <f t="shared" si="60"/>
        <v>0</v>
      </c>
      <c r="BS44" s="87">
        <f t="shared" si="61"/>
        <v>0</v>
      </c>
      <c r="BT44" s="96">
        <f t="shared" si="57"/>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8"/>
        <v>0</v>
      </c>
      <c r="BQ45" s="87">
        <f t="shared" si="59"/>
        <v>0</v>
      </c>
      <c r="BR45" s="87">
        <f t="shared" si="60"/>
        <v>0</v>
      </c>
      <c r="BS45" s="87">
        <f t="shared" si="61"/>
        <v>0</v>
      </c>
      <c r="BT45" s="96">
        <f t="shared" si="57"/>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8"/>
        <v>0</v>
      </c>
      <c r="BQ46" s="87">
        <f t="shared" si="59"/>
        <v>0</v>
      </c>
      <c r="BR46" s="87">
        <f t="shared" si="60"/>
        <v>0</v>
      </c>
      <c r="BS46" s="87">
        <f t="shared" si="61"/>
        <v>0</v>
      </c>
      <c r="BT46" s="96">
        <f t="shared" si="57"/>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8"/>
        <v>0</v>
      </c>
      <c r="BQ47" s="87">
        <f t="shared" si="59"/>
        <v>0</v>
      </c>
      <c r="BR47" s="87">
        <f t="shared" si="60"/>
        <v>0</v>
      </c>
      <c r="BS47" s="87">
        <f t="shared" si="61"/>
        <v>0</v>
      </c>
      <c r="BT47" s="96">
        <f t="shared" si="57"/>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8"/>
        <v>0</v>
      </c>
      <c r="BQ48" s="87">
        <f t="shared" si="59"/>
        <v>0</v>
      </c>
      <c r="BR48" s="87">
        <f t="shared" si="60"/>
        <v>0</v>
      </c>
      <c r="BS48" s="87">
        <f t="shared" si="61"/>
        <v>0</v>
      </c>
      <c r="BT48" s="96">
        <f t="shared" si="57"/>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8"/>
        <v>0</v>
      </c>
      <c r="BQ49" s="87">
        <f t="shared" si="59"/>
        <v>0</v>
      </c>
      <c r="BR49" s="87">
        <f t="shared" si="60"/>
        <v>0</v>
      </c>
      <c r="BS49" s="87">
        <f t="shared" si="61"/>
        <v>0</v>
      </c>
      <c r="BT49" s="96">
        <f t="shared" si="57"/>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8"/>
        <v>0</v>
      </c>
      <c r="BQ50" s="87">
        <f t="shared" si="59"/>
        <v>0</v>
      </c>
      <c r="BR50" s="87">
        <f t="shared" si="60"/>
        <v>0</v>
      </c>
      <c r="BS50" s="87">
        <f t="shared" si="61"/>
        <v>0</v>
      </c>
      <c r="BT50" s="96">
        <f t="shared" si="57"/>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8"/>
        <v>0</v>
      </c>
      <c r="BQ51" s="87">
        <f t="shared" si="59"/>
        <v>0</v>
      </c>
      <c r="BR51" s="87">
        <f t="shared" si="60"/>
        <v>0</v>
      </c>
      <c r="BS51" s="87">
        <f t="shared" si="61"/>
        <v>0</v>
      </c>
      <c r="BT51" s="96">
        <f t="shared" si="57"/>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8"/>
        <v>0</v>
      </c>
      <c r="BQ52" s="87">
        <f t="shared" si="59"/>
        <v>0</v>
      </c>
      <c r="BR52" s="87">
        <f t="shared" si="60"/>
        <v>0</v>
      </c>
      <c r="BS52" s="87">
        <f t="shared" si="61"/>
        <v>0</v>
      </c>
      <c r="BT52" s="96">
        <f t="shared" si="57"/>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8"/>
        <v>0</v>
      </c>
      <c r="BQ53" s="87">
        <f t="shared" si="59"/>
        <v>0</v>
      </c>
      <c r="BR53" s="87">
        <f t="shared" si="60"/>
        <v>0</v>
      </c>
      <c r="BS53" s="87">
        <f t="shared" si="61"/>
        <v>0</v>
      </c>
      <c r="BT53" s="96">
        <f t="shared" si="57"/>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8"/>
        <v>0</v>
      </c>
      <c r="BQ54" s="87">
        <f t="shared" si="59"/>
        <v>0</v>
      </c>
      <c r="BR54" s="87">
        <f t="shared" si="60"/>
        <v>0</v>
      </c>
      <c r="BS54" s="87">
        <f t="shared" si="61"/>
        <v>0</v>
      </c>
      <c r="BT54" s="96">
        <f t="shared" si="57"/>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8"/>
        <v>0</v>
      </c>
      <c r="BQ55" s="87">
        <f t="shared" si="59"/>
        <v>0</v>
      </c>
      <c r="BR55" s="87">
        <f t="shared" si="60"/>
        <v>0</v>
      </c>
      <c r="BS55" s="87">
        <f t="shared" si="61"/>
        <v>0</v>
      </c>
      <c r="BT55" s="96">
        <f t="shared" si="57"/>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8"/>
        <v>0</v>
      </c>
      <c r="BQ56" s="87">
        <f t="shared" si="59"/>
        <v>0</v>
      </c>
      <c r="BR56" s="87">
        <f t="shared" si="60"/>
        <v>0</v>
      </c>
      <c r="BS56" s="87">
        <f t="shared" si="61"/>
        <v>0</v>
      </c>
      <c r="BT56" s="96">
        <f t="shared" si="57"/>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8"/>
        <v>0</v>
      </c>
      <c r="BQ57" s="87">
        <f t="shared" si="59"/>
        <v>0</v>
      </c>
      <c r="BR57" s="87">
        <f t="shared" si="60"/>
        <v>0</v>
      </c>
      <c r="BS57" s="87">
        <f t="shared" si="61"/>
        <v>0</v>
      </c>
      <c r="BT57" s="96">
        <f t="shared" si="57"/>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8"/>
        <v>0</v>
      </c>
      <c r="BQ58" s="87">
        <f t="shared" si="59"/>
        <v>0</v>
      </c>
      <c r="BR58" s="87">
        <f t="shared" si="60"/>
        <v>0</v>
      </c>
      <c r="BS58" s="87">
        <f t="shared" si="61"/>
        <v>0</v>
      </c>
      <c r="BT58" s="96">
        <f t="shared" si="57"/>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8"/>
        <v>0</v>
      </c>
      <c r="BQ59" s="87">
        <f t="shared" si="59"/>
        <v>0</v>
      </c>
      <c r="BR59" s="87">
        <f t="shared" si="60"/>
        <v>0</v>
      </c>
      <c r="BS59" s="87">
        <f t="shared" si="61"/>
        <v>0</v>
      </c>
      <c r="BT59" s="96">
        <f t="shared" si="57"/>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8"/>
        <v>0</v>
      </c>
      <c r="BQ60" s="87">
        <f t="shared" si="59"/>
        <v>0</v>
      </c>
      <c r="BR60" s="87">
        <f t="shared" si="60"/>
        <v>0</v>
      </c>
      <c r="BS60" s="87">
        <f t="shared" si="61"/>
        <v>0</v>
      </c>
      <c r="BT60" s="96">
        <f t="shared" si="57"/>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8"/>
        <v>0</v>
      </c>
      <c r="BQ61" s="87">
        <f t="shared" si="59"/>
        <v>0</v>
      </c>
      <c r="BR61" s="87">
        <f t="shared" si="60"/>
        <v>0</v>
      </c>
      <c r="BS61" s="87">
        <f t="shared" si="61"/>
        <v>0</v>
      </c>
      <c r="BT61" s="96">
        <f t="shared" si="57"/>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8"/>
        <v>0</v>
      </c>
      <c r="BQ62" s="87">
        <f t="shared" si="59"/>
        <v>0</v>
      </c>
      <c r="BR62" s="87">
        <f t="shared" si="60"/>
        <v>0</v>
      </c>
      <c r="BS62" s="87">
        <f t="shared" si="61"/>
        <v>0</v>
      </c>
      <c r="BT62" s="96">
        <f t="shared" si="57"/>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8"/>
        <v>0</v>
      </c>
      <c r="BQ63" s="87">
        <f t="shared" si="59"/>
        <v>0</v>
      </c>
      <c r="BR63" s="87">
        <f t="shared" si="60"/>
        <v>0</v>
      </c>
      <c r="BS63" s="87">
        <f t="shared" si="61"/>
        <v>0</v>
      </c>
      <c r="BT63" s="96">
        <f t="shared" si="57"/>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8"/>
        <v>0</v>
      </c>
      <c r="BQ64" s="87">
        <f t="shared" si="59"/>
        <v>0</v>
      </c>
      <c r="BR64" s="87">
        <f t="shared" si="60"/>
        <v>0</v>
      </c>
      <c r="BS64" s="87">
        <f t="shared" si="61"/>
        <v>0</v>
      </c>
      <c r="BT64" s="96">
        <f t="shared" si="57"/>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8"/>
        <v>0</v>
      </c>
      <c r="BQ65" s="87">
        <f t="shared" si="59"/>
        <v>0</v>
      </c>
      <c r="BR65" s="87">
        <f t="shared" si="60"/>
        <v>0</v>
      </c>
      <c r="BS65" s="87">
        <f t="shared" si="61"/>
        <v>0</v>
      </c>
      <c r="BT65" s="96">
        <f t="shared" si="57"/>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8"/>
        <v>0</v>
      </c>
      <c r="BQ66" s="87">
        <f t="shared" si="59"/>
        <v>0</v>
      </c>
      <c r="BR66" s="87">
        <f t="shared" si="60"/>
        <v>0</v>
      </c>
      <c r="BS66" s="87">
        <f t="shared" si="61"/>
        <v>0</v>
      </c>
      <c r="BT66" s="96">
        <f t="shared" si="57"/>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8"/>
        <v>0</v>
      </c>
      <c r="BQ67" s="87">
        <f t="shared" si="59"/>
        <v>0</v>
      </c>
      <c r="BR67" s="87">
        <f t="shared" si="60"/>
        <v>0</v>
      </c>
      <c r="BS67" s="87">
        <f t="shared" si="61"/>
        <v>0</v>
      </c>
      <c r="BT67" s="96">
        <f t="shared" si="57"/>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8"/>
        <v>0</v>
      </c>
      <c r="BQ68" s="87">
        <f t="shared" si="59"/>
        <v>0</v>
      </c>
      <c r="BR68" s="87">
        <f t="shared" si="60"/>
        <v>0</v>
      </c>
      <c r="BS68" s="87">
        <f t="shared" si="61"/>
        <v>0</v>
      </c>
      <c r="BT68" s="96">
        <f t="shared" si="57"/>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8"/>
        <v>0</v>
      </c>
      <c r="BQ69" s="87">
        <f t="shared" si="59"/>
        <v>0</v>
      </c>
      <c r="BR69" s="87">
        <f t="shared" si="60"/>
        <v>0</v>
      </c>
      <c r="BS69" s="87">
        <f t="shared" si="61"/>
        <v>0</v>
      </c>
      <c r="BT69" s="96">
        <f t="shared" si="57"/>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8"/>
        <v>0</v>
      </c>
      <c r="BQ70" s="87">
        <f t="shared" si="59"/>
        <v>0</v>
      </c>
      <c r="BR70" s="87">
        <f t="shared" si="60"/>
        <v>0</v>
      </c>
      <c r="BS70" s="87">
        <f t="shared" si="61"/>
        <v>0</v>
      </c>
      <c r="BT70" s="96">
        <f t="shared" si="57"/>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8"/>
        <v>0</v>
      </c>
      <c r="BQ71" s="87">
        <f t="shared" si="59"/>
        <v>0</v>
      </c>
      <c r="BR71" s="87">
        <f t="shared" si="60"/>
        <v>0</v>
      </c>
      <c r="BS71" s="87">
        <f t="shared" si="61"/>
        <v>0</v>
      </c>
      <c r="BT71" s="96">
        <f t="shared" si="57"/>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8"/>
        <v>0</v>
      </c>
      <c r="BQ72" s="87">
        <f t="shared" si="59"/>
        <v>0</v>
      </c>
      <c r="BR72" s="87">
        <f t="shared" si="60"/>
        <v>0</v>
      </c>
      <c r="BS72" s="87">
        <f t="shared" si="61"/>
        <v>0</v>
      </c>
      <c r="BT72" s="96">
        <f t="shared" si="57"/>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8"/>
        <v>0</v>
      </c>
      <c r="BQ73" s="87">
        <f t="shared" si="59"/>
        <v>0</v>
      </c>
      <c r="BR73" s="87">
        <f t="shared" si="60"/>
        <v>0</v>
      </c>
      <c r="BS73" s="87">
        <f t="shared" si="61"/>
        <v>0</v>
      </c>
      <c r="BT73" s="96">
        <f t="shared" si="57"/>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8"/>
        <v>0</v>
      </c>
      <c r="BQ74" s="87">
        <f t="shared" si="59"/>
        <v>0</v>
      </c>
      <c r="BR74" s="87">
        <f t="shared" si="60"/>
        <v>0</v>
      </c>
      <c r="BS74" s="87">
        <f t="shared" si="61"/>
        <v>0</v>
      </c>
      <c r="BT74" s="96">
        <f t="shared" si="57"/>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8"/>
        <v>0</v>
      </c>
      <c r="BQ75" s="87">
        <f t="shared" si="59"/>
        <v>0</v>
      </c>
      <c r="BR75" s="87">
        <f t="shared" si="60"/>
        <v>0</v>
      </c>
      <c r="BS75" s="87">
        <f t="shared" si="61"/>
        <v>0</v>
      </c>
      <c r="BT75" s="96">
        <f t="shared" si="57"/>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8"/>
        <v>0</v>
      </c>
      <c r="BQ76" s="87">
        <f t="shared" si="59"/>
        <v>0</v>
      </c>
      <c r="BR76" s="87">
        <f t="shared" si="60"/>
        <v>0</v>
      </c>
      <c r="BS76" s="87">
        <f t="shared" si="61"/>
        <v>0</v>
      </c>
      <c r="BT76" s="96">
        <f t="shared" si="57"/>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8"/>
        <v>0</v>
      </c>
      <c r="BQ77" s="87">
        <f t="shared" si="59"/>
        <v>0</v>
      </c>
      <c r="BR77" s="87">
        <f t="shared" si="60"/>
        <v>0</v>
      </c>
      <c r="BS77" s="87">
        <f t="shared" si="61"/>
        <v>0</v>
      </c>
      <c r="BT77" s="96">
        <f t="shared" si="57"/>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8"/>
        <v>0</v>
      </c>
      <c r="BQ78" s="87">
        <f t="shared" si="59"/>
        <v>0</v>
      </c>
      <c r="BR78" s="87">
        <f t="shared" si="60"/>
        <v>0</v>
      </c>
      <c r="BS78" s="87">
        <f t="shared" si="61"/>
        <v>0</v>
      </c>
      <c r="BT78" s="96">
        <f t="shared" si="57"/>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8"/>
        <v>0</v>
      </c>
      <c r="BQ79" s="87">
        <f t="shared" si="59"/>
        <v>0</v>
      </c>
      <c r="BR79" s="87">
        <f t="shared" si="60"/>
        <v>0</v>
      </c>
      <c r="BS79" s="87">
        <f t="shared" si="61"/>
        <v>0</v>
      </c>
      <c r="BT79" s="96">
        <f t="shared" si="57"/>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8"/>
        <v>0</v>
      </c>
      <c r="BQ80" s="87">
        <f t="shared" si="59"/>
        <v>0</v>
      </c>
      <c r="BR80" s="87">
        <f t="shared" si="60"/>
        <v>0</v>
      </c>
      <c r="BS80" s="87">
        <f t="shared" si="61"/>
        <v>0</v>
      </c>
      <c r="BT80" s="96">
        <f t="shared" si="57"/>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8"/>
        <v>0</v>
      </c>
      <c r="BQ81" s="87">
        <f t="shared" si="59"/>
        <v>0</v>
      </c>
      <c r="BR81" s="87">
        <f t="shared" si="60"/>
        <v>0</v>
      </c>
      <c r="BS81" s="87">
        <f t="shared" si="61"/>
        <v>0</v>
      </c>
      <c r="BT81" s="96">
        <f t="shared" si="57"/>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8"/>
        <v>0</v>
      </c>
      <c r="BQ82" s="87">
        <f t="shared" si="59"/>
        <v>0</v>
      </c>
      <c r="BR82" s="87">
        <f t="shared" si="60"/>
        <v>0</v>
      </c>
      <c r="BS82" s="87">
        <f t="shared" si="61"/>
        <v>0</v>
      </c>
      <c r="BT82" s="96">
        <f t="shared" si="57"/>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8"/>
        <v>0</v>
      </c>
      <c r="BQ83" s="87">
        <f t="shared" si="59"/>
        <v>0</v>
      </c>
      <c r="BR83" s="87">
        <f t="shared" si="60"/>
        <v>0</v>
      </c>
      <c r="BS83" s="87">
        <f t="shared" si="61"/>
        <v>0</v>
      </c>
      <c r="BT83" s="96">
        <f t="shared" si="57"/>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8"/>
        <v>0</v>
      </c>
      <c r="BQ84" s="87">
        <f t="shared" si="59"/>
        <v>0</v>
      </c>
      <c r="BR84" s="87">
        <f t="shared" si="60"/>
        <v>0</v>
      </c>
      <c r="BS84" s="87">
        <f t="shared" si="61"/>
        <v>0</v>
      </c>
      <c r="BT84" s="96">
        <f t="shared" si="57"/>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8"/>
        <v>0</v>
      </c>
      <c r="BQ85" s="87">
        <f t="shared" si="59"/>
        <v>0</v>
      </c>
      <c r="BR85" s="87">
        <f t="shared" si="60"/>
        <v>0</v>
      </c>
      <c r="BS85" s="87">
        <f t="shared" si="61"/>
        <v>0</v>
      </c>
      <c r="BT85" s="96">
        <f t="shared" si="57"/>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8"/>
        <v>0</v>
      </c>
      <c r="BQ86" s="87">
        <f t="shared" si="59"/>
        <v>0</v>
      </c>
      <c r="BR86" s="87">
        <f t="shared" si="60"/>
        <v>0</v>
      </c>
      <c r="BS86" s="87">
        <f t="shared" si="61"/>
        <v>0</v>
      </c>
      <c r="BT86" s="96">
        <f t="shared" si="57"/>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8"/>
        <v>0</v>
      </c>
      <c r="BQ87" s="87">
        <f t="shared" si="59"/>
        <v>0</v>
      </c>
      <c r="BR87" s="87">
        <f t="shared" si="60"/>
        <v>0</v>
      </c>
      <c r="BS87" s="87">
        <f t="shared" si="61"/>
        <v>0</v>
      </c>
      <c r="BT87" s="96">
        <f t="shared" si="57"/>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8"/>
        <v>0</v>
      </c>
      <c r="BQ88" s="87">
        <f t="shared" si="59"/>
        <v>0</v>
      </c>
      <c r="BR88" s="87">
        <f t="shared" si="60"/>
        <v>0</v>
      </c>
      <c r="BS88" s="87">
        <f t="shared" si="61"/>
        <v>0</v>
      </c>
      <c r="BT88" s="96">
        <f t="shared" si="57"/>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8"/>
        <v>0</v>
      </c>
      <c r="BQ89" s="87">
        <f t="shared" si="59"/>
        <v>0</v>
      </c>
      <c r="BR89" s="87">
        <f t="shared" si="60"/>
        <v>0</v>
      </c>
      <c r="BS89" s="87">
        <f t="shared" si="61"/>
        <v>0</v>
      </c>
      <c r="BT89" s="96">
        <f t="shared" si="57"/>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8"/>
        <v>0</v>
      </c>
      <c r="BQ90" s="87">
        <f t="shared" si="59"/>
        <v>0</v>
      </c>
      <c r="BR90" s="87">
        <f t="shared" si="60"/>
        <v>0</v>
      </c>
      <c r="BS90" s="87">
        <f t="shared" si="61"/>
        <v>0</v>
      </c>
      <c r="BT90" s="96">
        <f t="shared" si="57"/>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8"/>
        <v>0</v>
      </c>
      <c r="BQ91" s="87">
        <f t="shared" si="59"/>
        <v>0</v>
      </c>
      <c r="BR91" s="87">
        <f t="shared" si="60"/>
        <v>0</v>
      </c>
      <c r="BS91" s="87">
        <f t="shared" si="61"/>
        <v>0</v>
      </c>
      <c r="BT91" s="96">
        <f t="shared" si="57"/>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8"/>
        <v>0</v>
      </c>
      <c r="BQ92" s="87">
        <f t="shared" si="59"/>
        <v>0</v>
      </c>
      <c r="BR92" s="87">
        <f t="shared" si="60"/>
        <v>0</v>
      </c>
      <c r="BS92" s="87">
        <f t="shared" si="61"/>
        <v>0</v>
      </c>
      <c r="BT92" s="96">
        <f t="shared" si="57"/>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8"/>
        <v>0</v>
      </c>
      <c r="BQ93" s="87">
        <f t="shared" si="59"/>
        <v>0</v>
      </c>
      <c r="BR93" s="87">
        <f t="shared" si="60"/>
        <v>0</v>
      </c>
      <c r="BS93" s="87">
        <f t="shared" si="61"/>
        <v>0</v>
      </c>
      <c r="BT93" s="96">
        <f t="shared" si="57"/>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8"/>
        <v>0</v>
      </c>
      <c r="BQ94" s="87">
        <f t="shared" si="59"/>
        <v>0</v>
      </c>
      <c r="BR94" s="87">
        <f t="shared" si="60"/>
        <v>0</v>
      </c>
      <c r="BS94" s="87">
        <f t="shared" si="61"/>
        <v>0</v>
      </c>
      <c r="BT94" s="96">
        <f t="shared" si="57"/>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8"/>
        <v>0</v>
      </c>
      <c r="BQ95" s="87">
        <f t="shared" si="59"/>
        <v>0</v>
      </c>
      <c r="BR95" s="87">
        <f t="shared" si="60"/>
        <v>0</v>
      </c>
      <c r="BS95" s="87">
        <f t="shared" si="61"/>
        <v>0</v>
      </c>
      <c r="BT95" s="96">
        <f t="shared" si="57"/>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8"/>
        <v>0</v>
      </c>
      <c r="BQ96" s="87">
        <f t="shared" si="59"/>
        <v>0</v>
      </c>
      <c r="BR96" s="87">
        <f t="shared" si="60"/>
        <v>0</v>
      </c>
      <c r="BS96" s="87">
        <f t="shared" si="61"/>
        <v>0</v>
      </c>
      <c r="BT96" s="96">
        <f t="shared" si="57"/>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8"/>
        <v>0</v>
      </c>
      <c r="BQ97" s="87">
        <f t="shared" si="59"/>
        <v>0</v>
      </c>
      <c r="BR97" s="87">
        <f t="shared" si="60"/>
        <v>0</v>
      </c>
      <c r="BS97" s="87">
        <f t="shared" si="61"/>
        <v>0</v>
      </c>
      <c r="BT97" s="96">
        <f t="shared" si="57"/>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8"/>
        <v>0</v>
      </c>
      <c r="BQ98" s="87">
        <f t="shared" si="59"/>
        <v>0</v>
      </c>
      <c r="BR98" s="87">
        <f t="shared" si="60"/>
        <v>0</v>
      </c>
      <c r="BS98" s="87">
        <f t="shared" si="61"/>
        <v>0</v>
      </c>
      <c r="BT98" s="96">
        <f t="shared" si="57"/>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8"/>
        <v>0</v>
      </c>
      <c r="BQ99" s="87">
        <f t="shared" si="59"/>
        <v>0</v>
      </c>
      <c r="BR99" s="87">
        <f t="shared" si="60"/>
        <v>0</v>
      </c>
      <c r="BS99" s="87">
        <f t="shared" si="61"/>
        <v>0</v>
      </c>
      <c r="BT99" s="96">
        <f t="shared" si="57"/>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8"/>
        <v>0</v>
      </c>
      <c r="BQ100" s="87">
        <f t="shared" si="59"/>
        <v>0</v>
      </c>
      <c r="BR100" s="87">
        <f t="shared" si="60"/>
        <v>0</v>
      </c>
      <c r="BS100" s="87">
        <f t="shared" si="61"/>
        <v>0</v>
      </c>
      <c r="BT100" s="96">
        <f t="shared" si="57"/>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8"/>
        <v>0</v>
      </c>
      <c r="BQ101" s="87">
        <f t="shared" si="59"/>
        <v>0</v>
      </c>
      <c r="BR101" s="87">
        <f t="shared" si="60"/>
        <v>0</v>
      </c>
      <c r="BS101" s="87">
        <f t="shared" si="61"/>
        <v>0</v>
      </c>
      <c r="BT101" s="96">
        <f t="shared" si="57"/>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8"/>
        <v>0</v>
      </c>
      <c r="BQ102" s="87">
        <f t="shared" si="59"/>
        <v>0</v>
      </c>
      <c r="BR102" s="87">
        <f t="shared" si="60"/>
        <v>0</v>
      </c>
      <c r="BS102" s="87">
        <f t="shared" si="61"/>
        <v>0</v>
      </c>
      <c r="BT102" s="96">
        <f t="shared" si="57"/>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8"/>
        <v>0</v>
      </c>
      <c r="BQ103" s="87">
        <f t="shared" si="59"/>
        <v>0</v>
      </c>
      <c r="BR103" s="87">
        <f t="shared" si="60"/>
        <v>0</v>
      </c>
      <c r="BS103" s="87">
        <f t="shared" si="61"/>
        <v>0</v>
      </c>
      <c r="BT103" s="96">
        <f t="shared" si="57"/>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8"/>
        <v>0</v>
      </c>
      <c r="BQ104" s="87">
        <f t="shared" si="59"/>
        <v>0</v>
      </c>
      <c r="BR104" s="87">
        <f t="shared" si="60"/>
        <v>0</v>
      </c>
      <c r="BS104" s="87">
        <f t="shared" si="61"/>
        <v>0</v>
      </c>
      <c r="BT104" s="96">
        <f t="shared" si="57"/>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8"/>
        <v>0</v>
      </c>
      <c r="BQ105" s="87">
        <f t="shared" si="59"/>
        <v>0</v>
      </c>
      <c r="BR105" s="87">
        <f t="shared" si="60"/>
        <v>0</v>
      </c>
      <c r="BS105" s="87">
        <f t="shared" si="61"/>
        <v>0</v>
      </c>
      <c r="BT105" s="96">
        <f t="shared" si="57"/>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8"/>
        <v>0</v>
      </c>
      <c r="BQ106" s="87">
        <f t="shared" si="59"/>
        <v>0</v>
      </c>
      <c r="BR106" s="87">
        <f t="shared" si="60"/>
        <v>0</v>
      </c>
      <c r="BS106" s="87">
        <f t="shared" si="61"/>
        <v>0</v>
      </c>
      <c r="BT106" s="96">
        <f t="shared" si="57"/>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8"/>
        <v>0</v>
      </c>
      <c r="BQ107" s="87">
        <f t="shared" si="59"/>
        <v>0</v>
      </c>
      <c r="BR107" s="87">
        <f t="shared" si="60"/>
        <v>0</v>
      </c>
      <c r="BS107" s="87">
        <f t="shared" si="61"/>
        <v>0</v>
      </c>
      <c r="BT107" s="96">
        <f t="shared" si="57"/>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8"/>
        <v>0</v>
      </c>
      <c r="BQ108" s="87">
        <f t="shared" si="59"/>
        <v>0</v>
      </c>
      <c r="BR108" s="87">
        <f t="shared" si="60"/>
        <v>0</v>
      </c>
      <c r="BS108" s="87">
        <f t="shared" si="61"/>
        <v>0</v>
      </c>
      <c r="BT108" s="96">
        <f t="shared" si="57"/>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8"/>
        <v>0</v>
      </c>
      <c r="BQ109" s="87">
        <f t="shared" si="59"/>
        <v>0</v>
      </c>
      <c r="BR109" s="87">
        <f t="shared" si="60"/>
        <v>0</v>
      </c>
      <c r="BS109" s="87">
        <f t="shared" si="61"/>
        <v>0</v>
      </c>
      <c r="BT109" s="96">
        <f t="shared" si="57"/>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2" sqref="K32"/>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7" t="s">
        <v>203</v>
      </c>
      <c r="B2" s="3287"/>
      <c r="C2" s="3287"/>
      <c r="D2" s="1972" t="s">
        <v>204</v>
      </c>
      <c r="E2" s="106" t="s">
        <v>205</v>
      </c>
      <c r="F2" s="1981"/>
      <c r="G2" s="1195"/>
      <c r="H2" s="1196"/>
      <c r="I2" s="1197" t="s">
        <v>856</v>
      </c>
      <c r="J2" s="1981"/>
      <c r="K2" s="1981"/>
      <c r="L2" s="1981"/>
    </row>
    <row r="3" spans="1:16" ht="15.75" thickBot="1">
      <c r="A3" s="3288" t="s">
        <v>206</v>
      </c>
      <c r="B3" s="3288"/>
      <c r="C3" s="3288"/>
      <c r="D3" s="107">
        <f>'数据-基础表'!AY6</f>
        <v>74959</v>
      </c>
      <c r="E3" s="107">
        <f>'数据-基础表'!AZ5</f>
        <v>191725</v>
      </c>
      <c r="F3" s="1981"/>
      <c r="G3" s="278" t="s">
        <v>857</v>
      </c>
      <c r="H3" s="273" t="s">
        <v>858</v>
      </c>
      <c r="I3" s="1973">
        <f>ROUND('数据-基础表'!B3/'数据-基础表'!A3,2)</f>
        <v>2.56</v>
      </c>
      <c r="J3" s="1981"/>
      <c r="K3" s="1981"/>
      <c r="L3" s="1981"/>
    </row>
    <row r="4" spans="1:16" ht="15">
      <c r="A4" s="3289"/>
      <c r="B4" s="3290"/>
      <c r="C4" s="3291"/>
      <c r="D4" s="108" t="s">
        <v>204</v>
      </c>
      <c r="E4" s="109" t="s">
        <v>205</v>
      </c>
      <c r="F4" s="1981"/>
      <c r="G4" s="1198"/>
      <c r="H4" s="273" t="s">
        <v>859</v>
      </c>
      <c r="I4" s="1973">
        <f>ROUND(SUMIF('数据-基础表'!I9:AS9,"地上",'数据-基础表'!I5:AS5)/'数据-基础表'!A3,2)</f>
        <v>2.0299999999999998</v>
      </c>
      <c r="J4" s="1981"/>
      <c r="K4" s="1981"/>
      <c r="L4" s="1981"/>
    </row>
    <row r="5" spans="1:16">
      <c r="A5" s="110" t="s">
        <v>207</v>
      </c>
      <c r="B5" s="3292" t="s">
        <v>230</v>
      </c>
      <c r="C5" s="3292"/>
      <c r="D5" s="111">
        <f>ROUND($D$3*E5/$E$3,2)</f>
        <v>57690.34</v>
      </c>
      <c r="E5" s="112">
        <f>SUMIF('数据-基础表'!$11:$11,"住宅",'数据-基础表'!$5:$5)</f>
        <v>147556.4</v>
      </c>
      <c r="F5" s="1981"/>
      <c r="G5" s="278" t="s">
        <v>860</v>
      </c>
      <c r="H5" s="273" t="s">
        <v>858</v>
      </c>
      <c r="I5" s="1973">
        <f>ROUND(E31/D31,2)</f>
        <v>2.56</v>
      </c>
      <c r="J5" s="1981"/>
      <c r="K5" s="1981"/>
      <c r="L5" s="1981"/>
    </row>
    <row r="6" spans="1:16" ht="15" thickBot="1">
      <c r="A6" s="113"/>
      <c r="B6" s="3292" t="s">
        <v>208</v>
      </c>
      <c r="C6" s="3292"/>
      <c r="D6" s="111">
        <f>ROUND($D$3*E6/$E$3,2)</f>
        <v>17268.66</v>
      </c>
      <c r="E6" s="112">
        <f>E3-E5</f>
        <v>44168.600000000006</v>
      </c>
      <c r="F6" s="1981"/>
      <c r="G6" s="1198"/>
      <c r="H6" s="273" t="s">
        <v>859</v>
      </c>
      <c r="I6" s="1973">
        <f>ROUND(F31/D31,2)</f>
        <v>2.0299999999999998</v>
      </c>
      <c r="J6" s="1981"/>
      <c r="K6" s="1981"/>
      <c r="L6" s="1981"/>
    </row>
    <row r="7" spans="1:16" ht="15">
      <c r="A7" s="3284"/>
      <c r="B7" s="3285"/>
      <c r="C7" s="3286"/>
      <c r="D7" s="108" t="s">
        <v>204</v>
      </c>
      <c r="E7" s="114" t="s">
        <v>231</v>
      </c>
      <c r="F7" s="1981"/>
      <c r="G7" s="1153" t="s">
        <v>1645</v>
      </c>
      <c r="H7" s="1154"/>
      <c r="I7" s="1843">
        <v>2</v>
      </c>
      <c r="J7" s="1981"/>
      <c r="K7" s="1981"/>
      <c r="L7" s="1981"/>
    </row>
    <row r="8" spans="1:16">
      <c r="A8" s="110" t="s">
        <v>209</v>
      </c>
      <c r="B8" s="115" t="s">
        <v>210</v>
      </c>
      <c r="C8" s="111" t="s">
        <v>211</v>
      </c>
      <c r="D8" s="111">
        <f t="shared" ref="D8:D15" si="0">ROUND($D$3*E8/$E$3,2)</f>
        <v>58613.66</v>
      </c>
      <c r="E8" s="116">
        <f>SUMIF('数据-基础表'!BB10:BK10,"地上",'数据-基础表'!BB5:BK5)</f>
        <v>149918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9843.1</v>
      </c>
      <c r="E13" s="116">
        <f>SUMPRODUCT(('数据-基础表'!BB10:BK10="地下")*('数据-基础表'!BB11:BK11="车库")*('数据-基础表'!BB5:BK5))</f>
        <v>25176</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68456.760000000009</v>
      </c>
      <c r="E16" s="120">
        <f>SUM(E8:E15)</f>
        <v>175094</v>
      </c>
      <c r="F16" s="1981"/>
      <c r="G16" s="1983"/>
      <c r="H16" s="965" t="s">
        <v>219</v>
      </c>
      <c r="I16" s="966"/>
      <c r="J16" s="1981"/>
      <c r="K16" s="3278" t="s">
        <v>2567</v>
      </c>
      <c r="L16" s="3279"/>
      <c r="M16" s="3279"/>
      <c r="N16" s="3279"/>
      <c r="O16" s="3279"/>
      <c r="P16" s="3280"/>
    </row>
    <row r="17" spans="1:19" ht="15">
      <c r="A17" s="121" t="s">
        <v>216</v>
      </c>
      <c r="B17" s="122" t="s">
        <v>217</v>
      </c>
      <c r="C17" s="2295" t="s">
        <v>2313</v>
      </c>
      <c r="D17" s="108" t="s">
        <v>204</v>
      </c>
      <c r="E17" s="124" t="s">
        <v>205</v>
      </c>
      <c r="F17" s="125"/>
      <c r="G17" s="1363"/>
      <c r="H17" s="967" t="s">
        <v>218</v>
      </c>
      <c r="I17" s="968" t="s">
        <v>2312</v>
      </c>
      <c r="J17" s="1981"/>
      <c r="K17" s="3281" t="s">
        <v>2568</v>
      </c>
      <c r="L17" s="3282"/>
      <c r="M17" s="3283"/>
      <c r="N17" s="3281" t="s">
        <v>2569</v>
      </c>
      <c r="O17" s="3282"/>
      <c r="P17" s="3283"/>
      <c r="R17" s="2296" t="s">
        <v>2311</v>
      </c>
      <c r="S17" s="144"/>
    </row>
    <row r="18" spans="1:19" ht="15">
      <c r="A18" s="117"/>
      <c r="B18" s="128"/>
      <c r="C18" s="129"/>
      <c r="D18" s="2663"/>
      <c r="E18" s="130" t="s">
        <v>220</v>
      </c>
      <c r="F18" s="131" t="s">
        <v>221</v>
      </c>
      <c r="G18" s="1364" t="s">
        <v>222</v>
      </c>
      <c r="H18" s="969" t="s">
        <v>223</v>
      </c>
      <c r="I18" s="970" t="s">
        <v>224</v>
      </c>
      <c r="J18" s="1981"/>
      <c r="K18" s="2626" t="s">
        <v>2570</v>
      </c>
      <c r="L18" s="2627" t="s">
        <v>2571</v>
      </c>
      <c r="M18" s="2628" t="s">
        <v>2572</v>
      </c>
      <c r="N18" s="2626" t="s">
        <v>2570</v>
      </c>
      <c r="O18" s="2627" t="s">
        <v>2571</v>
      </c>
      <c r="P18" s="2628" t="s">
        <v>2572</v>
      </c>
      <c r="R18" s="2297" t="s">
        <v>2309</v>
      </c>
      <c r="S18" s="2297" t="s">
        <v>2310</v>
      </c>
    </row>
    <row r="19" spans="1:19">
      <c r="A19" s="133"/>
      <c r="B19" s="115" t="s">
        <v>225</v>
      </c>
      <c r="C19" s="3046" t="str">
        <f>'数据-基础表'!C13</f>
        <v>高层住宅</v>
      </c>
      <c r="D19" s="111">
        <f t="shared" ref="D19:D26" si="1">ROUND($D$3*E19/$E$3,2)</f>
        <v>48576.84</v>
      </c>
      <c r="E19" s="134">
        <f t="shared" ref="E19:E26" si="2">SUM(F19:G19)</f>
        <v>124246.52</v>
      </c>
      <c r="F19" s="135">
        <f>'数据-基础表'!I13</f>
        <v>124246.52</v>
      </c>
      <c r="G19" s="1365"/>
      <c r="H19" s="971">
        <f>ROUND($D$3*I19/$E$3,2)</f>
        <v>4670.78</v>
      </c>
      <c r="I19" s="116">
        <f>IF($I$17="自定义",P19,M19)</f>
        <v>11946.61</v>
      </c>
      <c r="J19" s="1981"/>
      <c r="K19" s="2629">
        <f t="shared" ref="K19:K26" si="3">ROUND(E$28*E19/E$27,2)</f>
        <v>11022.91</v>
      </c>
      <c r="L19" s="273">
        <f t="shared" ref="L19:L26" si="4">ROUND(IF(COUNTIF(C19,"*住宅*")&gt;0,E$29*E19/E$32,0),2)</f>
        <v>923.7</v>
      </c>
      <c r="M19" s="2630">
        <f>K19+L19</f>
        <v>11946.61</v>
      </c>
      <c r="N19" s="2631"/>
      <c r="O19" s="2632"/>
      <c r="P19" s="2633">
        <f>N19+O19</f>
        <v>0</v>
      </c>
      <c r="R19" s="273">
        <f t="shared" ref="R19:S26" si="5">D19+H19</f>
        <v>53247.619999999995</v>
      </c>
      <c r="S19" s="2298">
        <f t="shared" si="5"/>
        <v>136193.13</v>
      </c>
    </row>
    <row r="20" spans="1:19">
      <c r="A20" s="138"/>
      <c r="B20" s="115" t="s">
        <v>226</v>
      </c>
      <c r="C20" s="3046" t="str">
        <f>'数据-基础表'!C14</f>
        <v>合院住宅</v>
      </c>
      <c r="D20" s="111">
        <f t="shared" si="1"/>
        <v>9113.5</v>
      </c>
      <c r="E20" s="134">
        <f t="shared" si="2"/>
        <v>23309.88</v>
      </c>
      <c r="F20" s="135">
        <f>'数据-基础表'!K14</f>
        <v>23309.88</v>
      </c>
      <c r="G20" s="1365"/>
      <c r="H20" s="971">
        <f t="shared" ref="H20:H26" si="6">ROUND($D$3*I20/$E$3,2)</f>
        <v>876.29</v>
      </c>
      <c r="I20" s="116">
        <f t="shared" ref="I20:I26" si="7">IF($I$17="自定义",P20,M20)</f>
        <v>2241.3100000000004</v>
      </c>
      <c r="J20" s="1981"/>
      <c r="K20" s="2629">
        <f t="shared" si="3"/>
        <v>2068.0100000000002</v>
      </c>
      <c r="L20" s="273">
        <f t="shared" si="4"/>
        <v>173.3</v>
      </c>
      <c r="M20" s="2630">
        <f t="shared" ref="M20:M26" si="8">K20+L20</f>
        <v>2241.3100000000004</v>
      </c>
      <c r="N20" s="2631"/>
      <c r="O20" s="2632"/>
      <c r="P20" s="2633">
        <f t="shared" ref="P20:P26" si="9">N20+O20</f>
        <v>0</v>
      </c>
      <c r="R20" s="273">
        <f t="shared" si="5"/>
        <v>9989.7900000000009</v>
      </c>
      <c r="S20" s="2298">
        <f t="shared" si="5"/>
        <v>25551.190000000002</v>
      </c>
    </row>
    <row r="21" spans="1:19">
      <c r="A21" s="138"/>
      <c r="B21" s="115" t="s">
        <v>226</v>
      </c>
      <c r="C21" s="3046" t="str">
        <f>'数据-基础表'!C15</f>
        <v>商业</v>
      </c>
      <c r="D21" s="111">
        <f t="shared" si="1"/>
        <v>923.32</v>
      </c>
      <c r="E21" s="134">
        <f t="shared" si="2"/>
        <v>2361.6</v>
      </c>
      <c r="F21" s="135">
        <f>'数据-基础表'!M15</f>
        <v>2361.6</v>
      </c>
      <c r="G21" s="1365"/>
      <c r="H21" s="971">
        <f t="shared" si="6"/>
        <v>81.92</v>
      </c>
      <c r="I21" s="116">
        <f t="shared" si="7"/>
        <v>209.52</v>
      </c>
      <c r="J21" s="1981"/>
      <c r="K21" s="2629">
        <f t="shared" si="3"/>
        <v>209.52</v>
      </c>
      <c r="L21" s="273">
        <f t="shared" si="4"/>
        <v>0</v>
      </c>
      <c r="M21" s="2630">
        <f t="shared" si="8"/>
        <v>209.52</v>
      </c>
      <c r="N21" s="2631"/>
      <c r="O21" s="2632"/>
      <c r="P21" s="2633">
        <f t="shared" si="9"/>
        <v>0</v>
      </c>
      <c r="R21" s="273">
        <f t="shared" si="5"/>
        <v>1005.24</v>
      </c>
      <c r="S21" s="2298">
        <f t="shared" si="5"/>
        <v>2571.12</v>
      </c>
    </row>
    <row r="22" spans="1:19">
      <c r="A22" s="138"/>
      <c r="B22" s="115" t="s">
        <v>226</v>
      </c>
      <c r="C22" s="1362" t="str">
        <f>'数据-基础表'!C16</f>
        <v>地下车库</v>
      </c>
      <c r="D22" s="111">
        <f t="shared" si="1"/>
        <v>9843.1</v>
      </c>
      <c r="E22" s="134">
        <f t="shared" si="2"/>
        <v>25176</v>
      </c>
      <c r="F22" s="140"/>
      <c r="G22" s="1366">
        <f>'数据-基础表'!O16</f>
        <v>25176</v>
      </c>
      <c r="H22" s="971">
        <f t="shared" si="6"/>
        <v>873.26</v>
      </c>
      <c r="I22" s="116">
        <f t="shared" si="7"/>
        <v>2233.5700000000002</v>
      </c>
      <c r="J22" s="1981"/>
      <c r="K22" s="2629">
        <f t="shared" si="3"/>
        <v>2233.5700000000002</v>
      </c>
      <c r="L22" s="273">
        <f t="shared" si="4"/>
        <v>0</v>
      </c>
      <c r="M22" s="2630">
        <f t="shared" si="8"/>
        <v>2233.5700000000002</v>
      </c>
      <c r="N22" s="2631"/>
      <c r="O22" s="2632"/>
      <c r="P22" s="2633">
        <f t="shared" si="9"/>
        <v>0</v>
      </c>
      <c r="R22" s="273">
        <f t="shared" si="5"/>
        <v>10716.36</v>
      </c>
      <c r="S22" s="2298">
        <f t="shared" si="5"/>
        <v>27409.57</v>
      </c>
    </row>
    <row r="23" spans="1:19">
      <c r="A23" s="138"/>
      <c r="B23" s="115" t="s">
        <v>226</v>
      </c>
      <c r="C23" s="139"/>
      <c r="D23" s="111">
        <f>ROUND($D$3*E23/$E$3,2)</f>
        <v>0</v>
      </c>
      <c r="E23" s="134">
        <f>SUM(F23:G23)</f>
        <v>0</v>
      </c>
      <c r="F23" s="140"/>
      <c r="G23" s="1366"/>
      <c r="H23" s="971">
        <f>ROUND($D$3*I23/$E$3,2)</f>
        <v>0</v>
      </c>
      <c r="I23" s="116">
        <f t="shared" si="7"/>
        <v>0</v>
      </c>
      <c r="J23" s="1981"/>
      <c r="K23" s="2629">
        <f t="shared" si="3"/>
        <v>0</v>
      </c>
      <c r="L23" s="273">
        <f t="shared" si="4"/>
        <v>0</v>
      </c>
      <c r="M23" s="2630">
        <f t="shared" si="8"/>
        <v>0</v>
      </c>
      <c r="N23" s="2631"/>
      <c r="O23" s="2632"/>
      <c r="P23" s="2633">
        <f t="shared" si="9"/>
        <v>0</v>
      </c>
      <c r="R23" s="273">
        <f t="shared" si="5"/>
        <v>0</v>
      </c>
      <c r="S23" s="2298">
        <f t="shared" si="5"/>
        <v>0</v>
      </c>
    </row>
    <row r="24" spans="1:19">
      <c r="A24" s="138"/>
      <c r="B24" s="115" t="s">
        <v>226</v>
      </c>
      <c r="C24" s="139"/>
      <c r="D24" s="111">
        <f>ROUND($D$3*E24/$E$3,2)</f>
        <v>0</v>
      </c>
      <c r="E24" s="134">
        <f>SUM(F24:G24)</f>
        <v>0</v>
      </c>
      <c r="F24" s="140"/>
      <c r="G24" s="1366"/>
      <c r="H24" s="971">
        <f>ROUND($D$3*I24/$E$3,2)</f>
        <v>0</v>
      </c>
      <c r="I24" s="116">
        <f t="shared" si="7"/>
        <v>0</v>
      </c>
      <c r="J24" s="1981"/>
      <c r="K24" s="2629">
        <f t="shared" si="3"/>
        <v>0</v>
      </c>
      <c r="L24" s="273">
        <f t="shared" si="4"/>
        <v>0</v>
      </c>
      <c r="M24" s="2630">
        <f t="shared" si="8"/>
        <v>0</v>
      </c>
      <c r="N24" s="2631"/>
      <c r="O24" s="2632"/>
      <c r="P24" s="2633">
        <f t="shared" si="9"/>
        <v>0</v>
      </c>
      <c r="R24" s="273">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629">
        <f t="shared" si="3"/>
        <v>0</v>
      </c>
      <c r="L25" s="273">
        <f t="shared" si="4"/>
        <v>0</v>
      </c>
      <c r="M25" s="2630">
        <f t="shared" si="8"/>
        <v>0</v>
      </c>
      <c r="N25" s="2631"/>
      <c r="O25" s="2632"/>
      <c r="P25" s="2633">
        <f t="shared" si="9"/>
        <v>0</v>
      </c>
      <c r="R25" s="273">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634">
        <f t="shared" si="3"/>
        <v>0</v>
      </c>
      <c r="L26" s="278">
        <f t="shared" si="4"/>
        <v>0</v>
      </c>
      <c r="M26" s="146">
        <f t="shared" si="8"/>
        <v>0</v>
      </c>
      <c r="N26" s="2635"/>
      <c r="O26" s="2636"/>
      <c r="P26" s="2637">
        <f t="shared" si="9"/>
        <v>0</v>
      </c>
      <c r="R26" s="273">
        <f t="shared" si="5"/>
        <v>0</v>
      </c>
      <c r="S26" s="2298">
        <f t="shared" si="5"/>
        <v>0</v>
      </c>
    </row>
    <row r="27" spans="1:19" ht="29.25" thickBot="1">
      <c r="A27" s="138"/>
      <c r="B27" s="111"/>
      <c r="C27" s="127" t="s">
        <v>215</v>
      </c>
      <c r="D27" s="134">
        <f>SUM(D19:D26)</f>
        <v>68456.759999999995</v>
      </c>
      <c r="E27" s="143">
        <f>IF(SUM(E19:E26)='数据-基础表'!BA5,SUM(E19:E26),IF(F27="地上面积有误","面积有误","地下面积有误"))</f>
        <v>175094</v>
      </c>
      <c r="F27" s="134">
        <f>IF(SUM(F19:F26)=E8,SUM(F19:F26),"地上面积有误")</f>
        <v>149918</v>
      </c>
      <c r="G27" s="112">
        <f>SUM(G19:G26)</f>
        <v>25176</v>
      </c>
      <c r="H27" s="972">
        <f>SUM(H19:H26)</f>
        <v>6502.25</v>
      </c>
      <c r="I27" s="973">
        <f>SUM(I19:I26)</f>
        <v>16631.010000000002</v>
      </c>
      <c r="J27" s="1981"/>
      <c r="K27" s="2638">
        <f>SUM(K19:K26)</f>
        <v>15534.01</v>
      </c>
      <c r="L27" s="2639">
        <f>SUM(L19:L26)</f>
        <v>1097</v>
      </c>
      <c r="M27" s="2640">
        <f>SUM(M19:M26)</f>
        <v>16631.010000000002</v>
      </c>
      <c r="N27" s="2638">
        <f t="shared" ref="N27:O27" si="10">SUM(N19:N26)</f>
        <v>0</v>
      </c>
      <c r="O27" s="2639">
        <f t="shared" si="10"/>
        <v>0</v>
      </c>
      <c r="P27" s="2641">
        <f>SUM(P19:P26)</f>
        <v>0</v>
      </c>
      <c r="R27" s="2302" t="str">
        <f>IF(SUM(R19:R26)=$D$3,SUM(R19:R26),SUM(R19:R26)&amp;"误差"&amp;ROUND(SUM(R19:R26)-$D$3,2))</f>
        <v>74959.01误差0.01</v>
      </c>
      <c r="S27" s="273" t="str">
        <f>IF(SUM(S19:S26)=$E$3,SUM(S19:S26),SUM(S19:S26)&amp;"误差"&amp;ROUND(SUM(S19:S26)-E3,2))</f>
        <v>191725.01误差0.01</v>
      </c>
    </row>
    <row r="28" spans="1:19">
      <c r="A28" s="138"/>
      <c r="B28" s="115" t="s">
        <v>227</v>
      </c>
      <c r="C28" s="136" t="s">
        <v>228</v>
      </c>
      <c r="D28" s="111">
        <f>ROUND($D$3*E28/$E$3,2)</f>
        <v>6073.35</v>
      </c>
      <c r="E28" s="134">
        <f>SUM(F28:G28)</f>
        <v>15534</v>
      </c>
      <c r="F28" s="144">
        <f>'数据-基础表'!BQ5+'数据-基础表'!BS5</f>
        <v>870</v>
      </c>
      <c r="G28" s="145">
        <f>'数据-基础表'!BR5+'数据-基础表'!BT5</f>
        <v>14664</v>
      </c>
      <c r="H28" s="1981"/>
      <c r="I28" s="1981"/>
      <c r="J28" s="1981"/>
      <c r="K28" s="1981"/>
      <c r="L28" s="1981"/>
    </row>
    <row r="29" spans="1:19">
      <c r="A29" s="138"/>
      <c r="B29" s="115" t="s">
        <v>227</v>
      </c>
      <c r="C29" s="2310" t="s">
        <v>2320</v>
      </c>
      <c r="D29" s="111">
        <f>ROUND($D$3*E29/$E$3,2)</f>
        <v>428.9</v>
      </c>
      <c r="E29" s="134">
        <f>SUM(F29:G29)</f>
        <v>1097</v>
      </c>
      <c r="F29" s="144">
        <f>'数据-基础表'!BM5+'数据-基础表'!BO5</f>
        <v>1097</v>
      </c>
      <c r="G29" s="146">
        <f>'数据-基础表'!BN5+'数据-基础表'!BP5</f>
        <v>0</v>
      </c>
      <c r="H29" s="1981"/>
      <c r="I29" s="1981"/>
      <c r="J29" s="1981"/>
      <c r="K29" s="1981"/>
      <c r="L29" s="1981"/>
    </row>
    <row r="30" spans="1:19">
      <c r="A30" s="138"/>
      <c r="B30" s="111"/>
      <c r="C30" s="147" t="s">
        <v>215</v>
      </c>
      <c r="D30" s="134">
        <f>SUM(D28:D29)</f>
        <v>6502.25</v>
      </c>
      <c r="E30" s="134">
        <f>SUM(E28:E29)</f>
        <v>16631</v>
      </c>
      <c r="F30" s="134">
        <f>SUM(F28:F29)</f>
        <v>1967</v>
      </c>
      <c r="G30" s="112">
        <f>SUM(G28:G29)</f>
        <v>14664</v>
      </c>
      <c r="H30" s="1981"/>
      <c r="I30" s="1981"/>
      <c r="J30" s="1981"/>
      <c r="K30" s="1981"/>
      <c r="L30" s="1981"/>
    </row>
    <row r="31" spans="1:19" ht="32.25" customHeight="1" thickBot="1">
      <c r="A31" s="1367"/>
      <c r="B31" s="1368" t="s">
        <v>229</v>
      </c>
      <c r="C31" s="2327" t="s">
        <v>2322</v>
      </c>
      <c r="D31" s="1369">
        <f>D27+D30</f>
        <v>74959.009999999995</v>
      </c>
      <c r="E31" s="1369">
        <f>E27+E30</f>
        <v>191725</v>
      </c>
      <c r="F31" s="1370">
        <f>F27+F30</f>
        <v>151885</v>
      </c>
      <c r="G31" s="1371">
        <f>G27+G30</f>
        <v>39840</v>
      </c>
      <c r="H31" s="1981"/>
      <c r="I31" s="1981"/>
      <c r="J31" s="1981"/>
      <c r="K31" s="1981"/>
      <c r="L31" s="1981"/>
    </row>
    <row r="32" spans="1:19">
      <c r="A32" s="1981"/>
      <c r="B32" s="2360" t="s">
        <v>2321</v>
      </c>
      <c r="C32" s="2668"/>
      <c r="D32" s="1198"/>
      <c r="E32" s="1198">
        <f>SUMIF(C19:C26,"*住宅*",E19:E26)</f>
        <v>147556.4</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X28" sqref="X28"/>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hidden="1" customWidth="1"/>
    <col min="32" max="33" width="7.25" style="1200" hidden="1" customWidth="1"/>
    <col min="34"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235</v>
      </c>
      <c r="B2" s="2335">
        <f>项目基本情况!D3</f>
        <v>43239</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863</v>
      </c>
      <c r="B4" s="152"/>
      <c r="C4" s="153"/>
      <c r="D4" s="1205"/>
      <c r="E4" s="1206" t="s">
        <v>864</v>
      </c>
      <c r="F4" s="153"/>
      <c r="G4" s="153"/>
      <c r="H4" s="153"/>
      <c r="I4" s="153"/>
      <c r="J4" s="154"/>
      <c r="K4" s="1207"/>
      <c r="L4" s="1208"/>
      <c r="M4" s="153"/>
      <c r="N4" s="1206"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6" t="s">
        <v>2829</v>
      </c>
      <c r="O5" s="163" t="s">
        <v>246</v>
      </c>
      <c r="P5" s="165" t="s">
        <v>247</v>
      </c>
      <c r="Q5" s="166" t="s">
        <v>248</v>
      </c>
      <c r="R5" s="167" t="s">
        <v>249</v>
      </c>
      <c r="S5" s="2642" t="s">
        <v>2573</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2323</v>
      </c>
      <c r="AI5" s="171" t="s">
        <v>2292</v>
      </c>
      <c r="AJ5" s="171" t="s">
        <v>258</v>
      </c>
      <c r="AK5" s="159" t="s">
        <v>259</v>
      </c>
      <c r="AL5" s="159" t="s">
        <v>260</v>
      </c>
      <c r="AM5" s="172" t="s">
        <v>261</v>
      </c>
      <c r="AN5" s="2412"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高层住宅</v>
      </c>
      <c r="B6" s="2334" t="str">
        <f>IF(A6=0,"","经营性")</f>
        <v>经营性</v>
      </c>
      <c r="C6" s="173" t="s">
        <v>922</v>
      </c>
      <c r="D6" s="2305">
        <f>SUMIF(项目基本情况!D$15:I$15,C6,项目基本情况!D$18:I$18)</f>
        <v>70</v>
      </c>
      <c r="E6" s="2306">
        <f>IF(B6="","",SUMIF(项目基本情况!D$15:I$15,C6,项目基本情况!D$17:I$17))</f>
        <v>68660</v>
      </c>
      <c r="F6" s="174">
        <f>SUMIF(项目基本情况!D$15:I$15,C6,项目基本情况!D$19:I$19)</f>
        <v>69.64</v>
      </c>
      <c r="G6" s="175">
        <f>IF(ISERROR(ROUND(POWER(1+H6,D6-F6)*(POWER(1+H6,F6)-1)/(POWER(1+H6,D6)-1),3)),0,ROUND(POWER(1+H6,D6-F6)*(POWER(1+H6,F6)-1)/(POWER(1+H6,D6)-1),3))</f>
        <v>0.999</v>
      </c>
      <c r="H6" s="3047">
        <v>4.4999999999999998E-2</v>
      </c>
      <c r="I6" s="3047">
        <v>0.05</v>
      </c>
      <c r="J6" s="3047">
        <v>8.5000000000000006E-2</v>
      </c>
      <c r="K6" s="179">
        <f>SUMIF('数据-汇总表'!C$19:C$33,'数据-取费表'!A6,'数据-汇总表'!E$19:E$33)</f>
        <v>124246.52</v>
      </c>
      <c r="L6" s="3048">
        <v>1800</v>
      </c>
      <c r="M6" s="177">
        <f t="shared" ref="M6:M14" si="0">ROUND(K6*L6/10000,0)</f>
        <v>22364</v>
      </c>
      <c r="N6" s="3049">
        <v>0</v>
      </c>
      <c r="O6" s="177">
        <f>IF($N$5="成新度","——",ROUND(M6*N6,0))</f>
        <v>0</v>
      </c>
      <c r="P6" s="178">
        <f>IF($N$5="成新度","——",M6-O6)</f>
        <v>22364</v>
      </c>
      <c r="Q6" s="3050">
        <v>0.1</v>
      </c>
      <c r="R6" s="179">
        <f>SUMIF('数据-汇总表'!C$19:C$33,A6,'数据-汇总表'!R$19:R$33)</f>
        <v>53247.619999999995</v>
      </c>
      <c r="S6" s="132">
        <f>IF('数据-汇总表'!$I$17="按面积比例",SUMIF('数据-汇总表'!C$19:C$33,A6,'数据-汇总表'!K$19:K$33),SUMIF('数据-汇总表'!C$19:C$33,A6,'数据-汇总表'!N$19:N$33))</f>
        <v>11022.91</v>
      </c>
      <c r="T6" s="2231">
        <f>IF($T$4="按面积比例",IF(ISERROR(ROUND($M$14*S6/S$16,0)),"0",ROUND($M$14*S6/S$16,0)),"需自行计算录入")</f>
        <v>1984</v>
      </c>
      <c r="U6" s="180"/>
      <c r="V6" s="181"/>
      <c r="W6" s="181"/>
      <c r="X6" s="2318"/>
      <c r="Y6" s="182"/>
      <c r="Z6" s="183"/>
      <c r="AA6" s="176"/>
      <c r="AB6" s="176"/>
      <c r="AC6" s="2321"/>
      <c r="AD6" s="184"/>
      <c r="AE6" s="969">
        <f ca="1">IF(AN6="",0,SUMIF(INDIRECT("'"&amp;AN6&amp;"'"&amp;"!E:E"),$AE$5,INDIRECT("'"&amp;AN6&amp;"'"&amp;"!F:F")))</f>
        <v>0</v>
      </c>
      <c r="AF6" s="141"/>
      <c r="AG6" s="1210">
        <f>IF(AF6="",0,AE6-AF6)</f>
        <v>0</v>
      </c>
      <c r="AH6" s="141"/>
      <c r="AI6" s="187"/>
      <c r="AJ6" s="188"/>
      <c r="AK6" s="189"/>
      <c r="AL6" s="190"/>
      <c r="AM6" s="2411"/>
      <c r="AN6" s="2413"/>
      <c r="AO6" s="1997"/>
      <c r="AP6" s="1201">
        <f>ROUND(1-1/(1+H6)^F6,3)</f>
        <v>0.95299999999999996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合院住宅</v>
      </c>
      <c r="B7" s="2334" t="str">
        <f t="shared" ref="B7:B13" si="1">IF(A7=0,"","经营性")</f>
        <v>经营性</v>
      </c>
      <c r="C7" s="173" t="s">
        <v>922</v>
      </c>
      <c r="D7" s="2305">
        <f>SUMIF(项目基本情况!D$15:I$15,C7,项目基本情况!D$18:I$18)</f>
        <v>70</v>
      </c>
      <c r="E7" s="2306">
        <f>IF(B7="","",SUMIF(项目基本情况!D$15:I$15,C7,项目基本情况!D$17:I$17))</f>
        <v>68660</v>
      </c>
      <c r="F7" s="174">
        <f>SUMIF(项目基本情况!D$15:I$15,C7,项目基本情况!D$19:I$19)</f>
        <v>69.64</v>
      </c>
      <c r="G7" s="175">
        <f t="shared" ref="G7:G11" si="2">IF(ISERROR(ROUND(POWER(1+H7,D7-F7)*(POWER(1+H7,F7)-1)/(POWER(1+H7,D7)-1),3)),0,ROUND(POWER(1+H7,D7-F7)*(POWER(1+H7,F7)-1)/(POWER(1+H7,D7)-1),3))</f>
        <v>0.999</v>
      </c>
      <c r="H7" s="3047">
        <v>4.4999999999999998E-2</v>
      </c>
      <c r="I7" s="3047">
        <v>0.05</v>
      </c>
      <c r="J7" s="3047">
        <v>8.5000000000000006E-2</v>
      </c>
      <c r="K7" s="179">
        <f>SUMIF('数据-汇总表'!C$19:C$33,'数据-取费表'!A7,'数据-汇总表'!E$19:E$33)</f>
        <v>23309.88</v>
      </c>
      <c r="L7" s="3048">
        <v>1800</v>
      </c>
      <c r="M7" s="177">
        <f t="shared" si="0"/>
        <v>4196</v>
      </c>
      <c r="N7" s="3049">
        <v>0</v>
      </c>
      <c r="O7" s="177">
        <f t="shared" ref="O7:O14" si="3">IF($N$5="成新度","——",ROUND(M7*N7,0))</f>
        <v>0</v>
      </c>
      <c r="P7" s="178">
        <f t="shared" ref="P7:P14" si="4">IF($N$5="成新度","——",M7-O7)</f>
        <v>4196</v>
      </c>
      <c r="Q7" s="3050">
        <v>0.15</v>
      </c>
      <c r="R7" s="179">
        <f>SUMIF('数据-汇总表'!C$19:C$33,A7,'数据-汇总表'!R$19:R$33)</f>
        <v>9989.7900000000009</v>
      </c>
      <c r="S7" s="132">
        <f>IF('数据-汇总表'!$I$17="按面积比例",SUMIF('数据-汇总表'!C$19:C$33,A7,'数据-汇总表'!K$19:K$33),SUMIF('数据-汇总表'!C$19:C$33,A7,'数据-汇总表'!N$19:N$33))</f>
        <v>2068.0100000000002</v>
      </c>
      <c r="T7" s="2231">
        <f t="shared" ref="T7:T13" si="5">IF($T$4="按面积比例",IF(ISERROR(ROUND($M$14*S7/S$16,0)),"0",ROUND($M$14*S7/S$16,0)),"需自行计算录入")</f>
        <v>372</v>
      </c>
      <c r="U7" s="180"/>
      <c r="V7" s="181"/>
      <c r="W7" s="181"/>
      <c r="X7" s="2318"/>
      <c r="Y7" s="182"/>
      <c r="Z7" s="183"/>
      <c r="AA7" s="176"/>
      <c r="AB7" s="176"/>
      <c r="AC7" s="2321"/>
      <c r="AD7" s="184"/>
      <c r="AE7" s="969">
        <f t="shared" ref="AE7:AE13" ca="1" si="6">IF(AN7="",0,SUMIF(INDIRECT("'"&amp;AN7&amp;"'"&amp;"!E:E"),$AE$5,INDIRECT("'"&amp;AN7&amp;"'"&amp;"!F:F")))</f>
        <v>0</v>
      </c>
      <c r="AF7" s="141"/>
      <c r="AG7" s="1210">
        <f t="shared" ref="AG7:AG13" si="7">IF(AF7="",0,AE7-AF7)</f>
        <v>0</v>
      </c>
      <c r="AH7" s="141"/>
      <c r="AI7" s="187"/>
      <c r="AJ7" s="188"/>
      <c r="AK7" s="189"/>
      <c r="AL7" s="190"/>
      <c r="AM7" s="2411"/>
      <c r="AN7" s="2413"/>
      <c r="AO7" s="1997"/>
      <c r="AP7" s="1201">
        <f t="shared" ref="AP7:AP13" si="8">ROUND(1-1/(1+H7)^F7,3)</f>
        <v>0.95299999999999996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c r="A8" s="2299" t="str">
        <f>'数据-汇总表'!C21</f>
        <v>商业</v>
      </c>
      <c r="B8" s="2334" t="str">
        <f t="shared" si="1"/>
        <v>经营性</v>
      </c>
      <c r="C8" s="173" t="s">
        <v>2991</v>
      </c>
      <c r="D8" s="2305">
        <f>SUMIF(项目基本情况!D$15:I$15,C8,项目基本情况!D$18:I$18)</f>
        <v>40</v>
      </c>
      <c r="E8" s="2306">
        <f>IF(B8="","",SUMIF(项目基本情况!D$15:I$15,C8,项目基本情况!D$17:I$17))</f>
        <v>57703</v>
      </c>
      <c r="F8" s="174">
        <f>SUMIF(项目基本情况!D$15:I$15,C8,项目基本情况!D$19:I$19)</f>
        <v>39.619999999999997</v>
      </c>
      <c r="G8" s="175">
        <f t="shared" si="2"/>
        <v>0.997</v>
      </c>
      <c r="H8" s="3047">
        <v>0.05</v>
      </c>
      <c r="I8" s="3047">
        <v>5.5E-2</v>
      </c>
      <c r="J8" s="3047">
        <v>8.5000000000000006E-2</v>
      </c>
      <c r="K8" s="179">
        <f>SUMIF('数据-汇总表'!C$19:C$33,'数据-取费表'!A8,'数据-汇总表'!E$19:E$33)</f>
        <v>2361.6</v>
      </c>
      <c r="L8" s="3048">
        <v>2000</v>
      </c>
      <c r="M8" s="177">
        <f>ROUND(K8*L8/10000,0)</f>
        <v>472</v>
      </c>
      <c r="N8" s="3049">
        <v>0</v>
      </c>
      <c r="O8" s="177">
        <f t="shared" si="3"/>
        <v>0</v>
      </c>
      <c r="P8" s="178">
        <f t="shared" si="4"/>
        <v>472</v>
      </c>
      <c r="Q8" s="3050">
        <v>0.2</v>
      </c>
      <c r="R8" s="179">
        <f>SUMIF('数据-汇总表'!C$19:C$33,A8,'数据-汇总表'!R$19:R$33)</f>
        <v>1005.24</v>
      </c>
      <c r="S8" s="132">
        <f>IF('数据-汇总表'!$I$17="按面积比例",SUMIF('数据-汇总表'!C$19:C$33,A8,'数据-汇总表'!K$19:K$33),SUMIF('数据-汇总表'!C$19:C$33,A8,'数据-汇总表'!N$19:N$33))</f>
        <v>209.52</v>
      </c>
      <c r="T8" s="2231">
        <f t="shared" si="5"/>
        <v>38</v>
      </c>
      <c r="U8" s="180">
        <f>V25</f>
        <v>1.6500000000000001</v>
      </c>
      <c r="V8" s="181">
        <v>2.5000000000000001E-2</v>
      </c>
      <c r="W8" s="181">
        <v>0.15</v>
      </c>
      <c r="X8" s="2318"/>
      <c r="Y8" s="182">
        <v>1</v>
      </c>
      <c r="Z8" s="183"/>
      <c r="AA8" s="176"/>
      <c r="AB8" s="176"/>
      <c r="AC8" s="2321"/>
      <c r="AD8" s="184"/>
      <c r="AE8" s="969">
        <f t="shared" ca="1" si="6"/>
        <v>37.119999999999997</v>
      </c>
      <c r="AF8" s="141"/>
      <c r="AG8" s="1210">
        <f t="shared" si="7"/>
        <v>0</v>
      </c>
      <c r="AH8" s="141"/>
      <c r="AI8" s="187">
        <v>365</v>
      </c>
      <c r="AJ8" s="188"/>
      <c r="AK8" s="189">
        <v>1.4999999999999999E-2</v>
      </c>
      <c r="AL8" s="190">
        <v>1.5E-3</v>
      </c>
      <c r="AM8" s="2411">
        <v>0.01</v>
      </c>
      <c r="AN8" s="2413" t="s">
        <v>3056</v>
      </c>
      <c r="AO8" s="1997"/>
      <c r="AP8" s="1201">
        <f t="shared" si="8"/>
        <v>0.85499999999999998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9" t="str">
        <f>'数据-汇总表'!C22</f>
        <v>地下车库</v>
      </c>
      <c r="B9" s="2334" t="str">
        <f t="shared" si="1"/>
        <v>经营性</v>
      </c>
      <c r="C9" s="173" t="s">
        <v>3003</v>
      </c>
      <c r="D9" s="2305">
        <f>SUMIF(项目基本情况!D$15:I$15,C9,项目基本情况!D$18:I$18)</f>
        <v>50</v>
      </c>
      <c r="E9" s="2306">
        <f>IF(B9="","",SUMIF(项目基本情况!D$15:I$15,C9,项目基本情况!D$17:I$17))</f>
        <v>61355</v>
      </c>
      <c r="F9" s="174">
        <f>SUMIF(项目基本情况!D$15:I$15,C9,项目基本情况!D$19:I$19)</f>
        <v>49.63</v>
      </c>
      <c r="G9" s="175">
        <f t="shared" si="2"/>
        <v>0.998</v>
      </c>
      <c r="H9" s="3047">
        <v>0.04</v>
      </c>
      <c r="I9" s="3047">
        <v>4.4999999999999998E-2</v>
      </c>
      <c r="J9" s="3047">
        <v>8.5000000000000006E-2</v>
      </c>
      <c r="K9" s="179">
        <f>SUMIF('数据-汇总表'!C$19:C$33,'数据-取费表'!A9,'数据-汇总表'!E$19:E$33)</f>
        <v>25176</v>
      </c>
      <c r="L9" s="3201">
        <v>1800</v>
      </c>
      <c r="M9" s="177">
        <f t="shared" si="0"/>
        <v>4532</v>
      </c>
      <c r="N9" s="3049">
        <v>0</v>
      </c>
      <c r="O9" s="177">
        <f t="shared" si="3"/>
        <v>0</v>
      </c>
      <c r="P9" s="178">
        <f t="shared" si="4"/>
        <v>4532</v>
      </c>
      <c r="Q9" s="192">
        <v>0.03</v>
      </c>
      <c r="R9" s="179">
        <f>SUMIF('数据-汇总表'!C$19:C$33,A9,'数据-汇总表'!R$19:R$33)</f>
        <v>10716.36</v>
      </c>
      <c r="S9" s="132">
        <f>IF('数据-汇总表'!$I$17="按面积比例",SUMIF('数据-汇总表'!C$19:C$33,A9,'数据-汇总表'!K$19:K$33),SUMIF('数据-汇总表'!C$19:C$33,A9,'数据-汇总表'!N$19:N$33))</f>
        <v>2233.5700000000002</v>
      </c>
      <c r="T9" s="2231">
        <f t="shared" si="5"/>
        <v>402</v>
      </c>
      <c r="U9" s="180">
        <v>450</v>
      </c>
      <c r="V9" s="181">
        <v>0.03</v>
      </c>
      <c r="W9" s="181">
        <v>0.05</v>
      </c>
      <c r="X9" s="2318"/>
      <c r="Y9" s="182">
        <v>1</v>
      </c>
      <c r="Z9" s="183"/>
      <c r="AA9" s="176"/>
      <c r="AB9" s="176"/>
      <c r="AC9" s="2321"/>
      <c r="AD9" s="184"/>
      <c r="AE9" s="969">
        <f t="shared" ca="1" si="6"/>
        <v>47.13</v>
      </c>
      <c r="AF9" s="141"/>
      <c r="AG9" s="1210">
        <f t="shared" si="7"/>
        <v>0</v>
      </c>
      <c r="AH9" s="3203">
        <f>AH21</f>
        <v>786</v>
      </c>
      <c r="AI9" s="187">
        <v>12</v>
      </c>
      <c r="AJ9" s="188"/>
      <c r="AK9" s="189">
        <v>1.4999999999999999E-2</v>
      </c>
      <c r="AL9" s="190">
        <v>1.5E-3</v>
      </c>
      <c r="AM9" s="2411">
        <v>0.01</v>
      </c>
      <c r="AN9" s="2413" t="s">
        <v>3054</v>
      </c>
      <c r="AO9" s="1997"/>
      <c r="AP9" s="1201">
        <f t="shared" si="8"/>
        <v>0.85699999999999998</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48"/>
      <c r="M10" s="177">
        <f t="shared" si="0"/>
        <v>0</v>
      </c>
      <c r="N10" s="3049">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9">
        <f t="shared" ca="1" si="6"/>
        <v>0</v>
      </c>
      <c r="AF10" s="141"/>
      <c r="AG10" s="1210">
        <f t="shared" si="7"/>
        <v>0</v>
      </c>
      <c r="AH10" s="141"/>
      <c r="AI10" s="187"/>
      <c r="AJ10" s="188"/>
      <c r="AK10" s="189"/>
      <c r="AL10" s="190"/>
      <c r="AM10" s="2411"/>
      <c r="AN10" s="2413"/>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48"/>
      <c r="M11" s="177">
        <f t="shared" si="0"/>
        <v>0</v>
      </c>
      <c r="N11" s="3049">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3"/>
      <c r="AA11" s="176"/>
      <c r="AB11" s="176"/>
      <c r="AC11" s="2321"/>
      <c r="AD11" s="184"/>
      <c r="AE11" s="969">
        <f t="shared" ca="1" si="6"/>
        <v>0</v>
      </c>
      <c r="AF11" s="141"/>
      <c r="AG11" s="1210">
        <f t="shared" si="7"/>
        <v>0</v>
      </c>
      <c r="AH11" s="141"/>
      <c r="AI11" s="187"/>
      <c r="AJ11" s="188"/>
      <c r="AK11" s="194"/>
      <c r="AL11" s="195"/>
      <c r="AM11" s="1814"/>
      <c r="AN11" s="2413"/>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48"/>
      <c r="M12" s="177">
        <f>ROUND(K12*L12/10000,0)</f>
        <v>0</v>
      </c>
      <c r="N12" s="3049">
        <v>0</v>
      </c>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3"/>
      <c r="AA12" s="176"/>
      <c r="AB12" s="176"/>
      <c r="AC12" s="2321"/>
      <c r="AD12" s="184"/>
      <c r="AE12" s="969">
        <f t="shared" ca="1" si="6"/>
        <v>0</v>
      </c>
      <c r="AF12" s="141"/>
      <c r="AG12" s="1210">
        <f t="shared" si="7"/>
        <v>0</v>
      </c>
      <c r="AH12" s="141"/>
      <c r="AI12" s="187"/>
      <c r="AJ12" s="188"/>
      <c r="AK12" s="194"/>
      <c r="AL12" s="195"/>
      <c r="AM12" s="1814"/>
      <c r="AN12" s="2413"/>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48"/>
      <c r="M13" s="177">
        <f>ROUND(K13*L13/10000,0)</f>
        <v>0</v>
      </c>
      <c r="N13" s="3049">
        <v>0</v>
      </c>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9">
        <f t="shared" ca="1" si="6"/>
        <v>0</v>
      </c>
      <c r="AF13" s="141"/>
      <c r="AG13" s="1210">
        <f t="shared" si="7"/>
        <v>0</v>
      </c>
      <c r="AH13" s="141"/>
      <c r="AI13" s="187"/>
      <c r="AJ13" s="188"/>
      <c r="AK13" s="189"/>
      <c r="AL13" s="190"/>
      <c r="AM13" s="2411"/>
      <c r="AN13" s="2413"/>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2314</v>
      </c>
      <c r="B14" s="2303" t="s">
        <v>1679</v>
      </c>
      <c r="C14" s="2304" t="s">
        <v>2314</v>
      </c>
      <c r="D14" s="2305"/>
      <c r="E14" s="2306"/>
      <c r="F14" s="174"/>
      <c r="G14" s="175"/>
      <c r="H14" s="2307"/>
      <c r="I14" s="2307"/>
      <c r="J14" s="2307"/>
      <c r="K14" s="179">
        <f>SUMIF('数据-汇总表'!C$19:C$33,'数据-取费表'!A14,'数据-汇总表'!E$19:E$33)</f>
        <v>15534</v>
      </c>
      <c r="L14" s="3048">
        <v>1800</v>
      </c>
      <c r="M14" s="177">
        <f t="shared" si="0"/>
        <v>2796</v>
      </c>
      <c r="N14" s="3049">
        <v>0</v>
      </c>
      <c r="O14" s="177">
        <f t="shared" si="3"/>
        <v>0</v>
      </c>
      <c r="P14" s="178">
        <f t="shared" si="4"/>
        <v>2796</v>
      </c>
      <c r="Q14" s="2315"/>
      <c r="R14" s="179"/>
      <c r="S14" s="132"/>
      <c r="T14" s="2314"/>
      <c r="U14" s="971"/>
      <c r="V14" s="2317"/>
      <c r="W14" s="2317"/>
      <c r="X14" s="2318"/>
      <c r="Y14" s="2319"/>
      <c r="Z14" s="136"/>
      <c r="AA14" s="2320"/>
      <c r="AB14" s="2320"/>
      <c r="AC14" s="2321"/>
      <c r="AD14" s="2318"/>
      <c r="AE14" s="969"/>
      <c r="AF14" s="2293"/>
      <c r="AG14" s="1210"/>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2316</v>
      </c>
      <c r="B15" s="2303" t="s">
        <v>1679</v>
      </c>
      <c r="C15" s="2304" t="s">
        <v>2315</v>
      </c>
      <c r="D15" s="2305"/>
      <c r="E15" s="2306"/>
      <c r="F15" s="174"/>
      <c r="G15" s="175"/>
      <c r="H15" s="2307"/>
      <c r="I15" s="2307"/>
      <c r="J15" s="2307"/>
      <c r="K15" s="179">
        <f>SUMIF('数据-汇总表'!C$19:C$33,'数据-取费表'!A15,'数据-汇总表'!E$19:E$33)</f>
        <v>1097</v>
      </c>
      <c r="L15" s="2313"/>
      <c r="M15" s="177"/>
      <c r="N15" s="2316"/>
      <c r="O15" s="177"/>
      <c r="P15" s="178"/>
      <c r="Q15" s="2315"/>
      <c r="R15" s="179"/>
      <c r="S15" s="132"/>
      <c r="T15" s="2314"/>
      <c r="U15" s="971"/>
      <c r="V15" s="2317"/>
      <c r="W15" s="2317"/>
      <c r="X15" s="2318"/>
      <c r="Y15" s="2319"/>
      <c r="Z15" s="136"/>
      <c r="AA15" s="2320"/>
      <c r="AB15" s="2320"/>
      <c r="AC15" s="2321"/>
      <c r="AD15" s="2318"/>
      <c r="AE15" s="969"/>
      <c r="AF15" s="2293"/>
      <c r="AG15" s="1210"/>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6" t="s">
        <v>262</v>
      </c>
      <c r="B16" s="197"/>
      <c r="C16" s="198"/>
      <c r="D16" s="199"/>
      <c r="E16" s="197"/>
      <c r="F16" s="197"/>
      <c r="G16" s="200">
        <f>ROUND(SUMPRODUCT(G6:G13,K6:K13)/SUMPRODUCT((G6:G13&gt;0)*(K6:K13)),3)</f>
        <v>0.999</v>
      </c>
      <c r="H16" s="201">
        <f>ROUND(SUMPRODUCT(H6:H13,K6:K13)/SUMPRODUCT((H6:H13&gt;0)*(K6:K13)),3)</f>
        <v>4.3999999999999997E-2</v>
      </c>
      <c r="I16" s="202"/>
      <c r="J16" s="202"/>
      <c r="K16" s="203">
        <f>SUM(K6:K15)</f>
        <v>191725</v>
      </c>
      <c r="L16" s="204">
        <f>ROUND(M16*10000/SUM(K6:K14),0)</f>
        <v>1802</v>
      </c>
      <c r="M16" s="204">
        <f>SUM(M6:M14)</f>
        <v>34360</v>
      </c>
      <c r="N16" s="205">
        <f>ROUND(SUMPRODUCT(M6:M14,N6:N14)/M16,3)</f>
        <v>0</v>
      </c>
      <c r="O16" s="204">
        <f>SUM(O6:O14)</f>
        <v>0</v>
      </c>
      <c r="P16" s="204">
        <f>SUM(P6:P14)</f>
        <v>34360</v>
      </c>
      <c r="Q16" s="206">
        <f>ROUND(SUMPRODUCT(Q6:Q13,K6:K13)/SUMPRODUCT((Q6:Q13&gt;0)*(K6:K13)),2)</f>
        <v>0.1</v>
      </c>
      <c r="R16" s="2308">
        <f>SUM(R6:R13)</f>
        <v>74959.009999999995</v>
      </c>
      <c r="S16" s="207">
        <f>SUM(S6:S13)</f>
        <v>15534.01</v>
      </c>
      <c r="T16" s="208">
        <f>IF(SUMIF(T6:T13,"&lt;9E307")=M14,SUMIF(T6:T13,"&lt;9E307"),"有误，请检查")</f>
        <v>2796</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1">
        <f>ROUND(SUMPRODUCT(AP6:AP13,K6:K13)/SUMPRODUCT((AP6:AP13&gt;0)*(K6:K13)),3)</f>
        <v>0.93799999999999994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1"/>
      <c r="C18" s="1989"/>
      <c r="D18" s="1990"/>
      <c r="E18" s="1989"/>
      <c r="F18" s="1989"/>
      <c r="G18" s="1989"/>
      <c r="H18" s="1989"/>
      <c r="I18" s="1989"/>
      <c r="J18" s="1989"/>
      <c r="K18" s="3293" t="s">
        <v>3096</v>
      </c>
      <c r="L18" s="3294" t="s">
        <v>3097</v>
      </c>
      <c r="M18" s="3295"/>
      <c r="N18" s="3296"/>
      <c r="O18" s="1986"/>
      <c r="P18" s="1986"/>
      <c r="Q18" s="1986"/>
      <c r="R18" s="1986"/>
      <c r="S18" s="1986"/>
      <c r="T18" s="1986"/>
      <c r="U18" s="1986"/>
      <c r="V18" s="1986"/>
      <c r="W18" s="1986"/>
      <c r="X18" s="1986"/>
      <c r="Y18" s="3202" t="s">
        <v>3102</v>
      </c>
      <c r="Z18" s="1986"/>
      <c r="AA18" s="1986"/>
      <c r="AB18" s="1986"/>
      <c r="AC18" s="1986"/>
      <c r="AD18" s="1986"/>
      <c r="AE18" s="1986"/>
      <c r="AF18" s="1986"/>
      <c r="AG18" s="1986"/>
      <c r="AH18" s="1986">
        <f>703+320</f>
        <v>1023</v>
      </c>
      <c r="AI18" s="1986"/>
      <c r="AJ18" s="1986"/>
      <c r="AK18" s="1986"/>
      <c r="AL18" s="1986"/>
      <c r="AM18" s="1986"/>
    </row>
    <row r="19" spans="1:83" ht="14.25">
      <c r="A19" s="215" t="s">
        <v>264</v>
      </c>
      <c r="B19" s="216">
        <v>0</v>
      </c>
      <c r="C19" s="2361" t="s">
        <v>2336</v>
      </c>
      <c r="D19" s="1990"/>
      <c r="E19" s="1989"/>
      <c r="F19" s="1989"/>
      <c r="G19" s="1989"/>
      <c r="H19" s="1989"/>
      <c r="I19" s="1989"/>
      <c r="J19" s="1989"/>
      <c r="K19" s="3293"/>
      <c r="L19" s="3194" t="s">
        <v>3098</v>
      </c>
      <c r="M19" s="3195" t="s">
        <v>3099</v>
      </c>
      <c r="N19" s="3196" t="s">
        <v>3100</v>
      </c>
      <c r="O19" s="1986"/>
      <c r="P19" s="1986"/>
      <c r="Q19" s="1986"/>
      <c r="R19" s="1986"/>
      <c r="S19" s="1986"/>
      <c r="T19" s="1986"/>
      <c r="U19" s="1986"/>
      <c r="V19" s="1986"/>
      <c r="W19" s="1986"/>
      <c r="X19" s="1986"/>
      <c r="Y19" s="3202" t="s">
        <v>3103</v>
      </c>
      <c r="Z19" s="1986"/>
      <c r="AA19" s="1986"/>
      <c r="AB19" s="1986"/>
      <c r="AC19" s="1986"/>
      <c r="AD19" s="1986"/>
      <c r="AE19" s="1986"/>
      <c r="AF19" s="1986"/>
      <c r="AG19" s="1986"/>
      <c r="AH19" s="1986">
        <f>ROUNDDOWN(32750/1023,2)</f>
        <v>32.01</v>
      </c>
      <c r="AI19" s="1986"/>
      <c r="AJ19" s="1986"/>
      <c r="AK19" s="1986"/>
      <c r="AL19" s="1986"/>
      <c r="AM19" s="1986"/>
    </row>
    <row r="20" spans="1:83" ht="14.25">
      <c r="A20" s="217" t="s">
        <v>265</v>
      </c>
      <c r="B20" s="218">
        <v>2.5</v>
      </c>
      <c r="C20" s="2361" t="s">
        <v>2335</v>
      </c>
      <c r="D20" s="1990"/>
      <c r="E20" s="1989"/>
      <c r="F20" s="1989"/>
      <c r="G20" s="1989"/>
      <c r="H20" s="1989"/>
      <c r="I20" s="1989"/>
      <c r="J20" s="1989"/>
      <c r="K20" s="3197" t="s">
        <v>3101</v>
      </c>
      <c r="L20" s="3198">
        <v>1270</v>
      </c>
      <c r="M20" s="3199">
        <v>1455</v>
      </c>
      <c r="N20" s="3200">
        <v>1660</v>
      </c>
      <c r="O20" s="1986"/>
      <c r="P20" s="1986"/>
      <c r="Q20" s="1986"/>
      <c r="R20" s="1986"/>
      <c r="S20" s="1986"/>
      <c r="T20" s="1986"/>
      <c r="U20" s="1986"/>
      <c r="V20" s="1986"/>
      <c r="W20" s="1986"/>
      <c r="X20" s="1986"/>
      <c r="Y20" s="3202" t="s">
        <v>3104</v>
      </c>
      <c r="Z20" s="1986"/>
      <c r="AA20" s="1986"/>
      <c r="AB20" s="1986"/>
      <c r="AC20" s="1986"/>
      <c r="AD20" s="1986"/>
      <c r="AE20" s="1986"/>
      <c r="AF20" s="1986"/>
      <c r="AG20" s="1986"/>
      <c r="AH20" s="1986">
        <f>ROUNDUP(7574/AH19,0)</f>
        <v>237</v>
      </c>
      <c r="AI20" s="1986"/>
      <c r="AJ20" s="1986"/>
      <c r="AK20" s="1986"/>
      <c r="AL20" s="1986"/>
      <c r="AM20" s="1986"/>
    </row>
    <row r="21" spans="1:83" ht="14.25">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3202" t="s">
        <v>3105</v>
      </c>
      <c r="Z21" s="1986"/>
      <c r="AA21" s="1986"/>
      <c r="AB21" s="1986"/>
      <c r="AC21" s="1986"/>
      <c r="AD21" s="1986"/>
      <c r="AE21" s="1986"/>
      <c r="AF21" s="1986"/>
      <c r="AG21" s="1986"/>
      <c r="AH21" s="1986">
        <f>AH18-AH20</f>
        <v>786</v>
      </c>
      <c r="AI21" s="1986"/>
      <c r="AJ21" s="1986"/>
      <c r="AK21" s="1986"/>
      <c r="AL21" s="1986"/>
      <c r="AM21" s="1986"/>
    </row>
    <row r="22" spans="1:83" ht="14.25">
      <c r="A22" s="217" t="s">
        <v>267</v>
      </c>
      <c r="B22" s="220">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t="s">
        <v>3107</v>
      </c>
      <c r="V23" s="1986">
        <v>2.2000000000000002</v>
      </c>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2.5</v>
      </c>
      <c r="C24" s="1989"/>
      <c r="D24" s="1990"/>
      <c r="E24" s="1989"/>
      <c r="F24" s="1989"/>
      <c r="G24" s="1989"/>
      <c r="H24" s="1989"/>
      <c r="I24" s="1989"/>
      <c r="J24" s="1989"/>
      <c r="K24" s="1988"/>
      <c r="L24" s="1988"/>
      <c r="M24" s="1986"/>
      <c r="N24" s="1986"/>
      <c r="O24" s="1986"/>
      <c r="P24" s="1986"/>
      <c r="Q24" s="1986"/>
      <c r="R24" s="1986"/>
      <c r="S24" s="1986"/>
      <c r="T24" s="1986"/>
      <c r="U24" s="1986" t="s">
        <v>3108</v>
      </c>
      <c r="V24" s="1986">
        <f>V23*0.5</f>
        <v>1.1000000000000001</v>
      </c>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3206" t="s">
        <v>3109</v>
      </c>
      <c r="V25" s="1986">
        <f>(V23+V24)/2</f>
        <v>1.6500000000000001</v>
      </c>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4" t="s">
        <v>2338</v>
      </c>
      <c r="B27" s="225">
        <v>50</v>
      </c>
      <c r="C27" s="2364"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6" t="s">
        <v>2339</v>
      </c>
      <c r="B28" s="227">
        <v>70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29" t="s">
        <v>2337</v>
      </c>
      <c r="B29" s="230">
        <v>0</v>
      </c>
      <c r="C29" s="1550"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3" t="s">
        <v>273</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6" t="s">
        <v>274</v>
      </c>
      <c r="B31" s="228">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5" t="s">
        <v>275</v>
      </c>
      <c r="B32" s="1375">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4" t="s">
        <v>278</v>
      </c>
      <c r="B33" s="1376">
        <v>0.03</v>
      </c>
      <c r="C33" s="2362" t="s">
        <v>2892</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0.03</v>
      </c>
      <c r="C34" s="2362" t="s">
        <v>2893</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227">
        <v>200</v>
      </c>
      <c r="C35" s="2362" t="s">
        <v>2894</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62" t="s">
        <v>2895</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0.02</v>
      </c>
      <c r="C37" s="2362" t="s">
        <v>2896</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3204">
        <v>0.02</v>
      </c>
      <c r="C38" s="2362" t="s">
        <v>2896</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2457</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2458</v>
      </c>
      <c r="B40" s="2502">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8">
        <v>0.05</v>
      </c>
      <c r="C42" s="3121">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39">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0.05</v>
      </c>
      <c r="C44" s="2362" t="s">
        <v>2897</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2898</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2899</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95" t="s">
        <v>2900</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96" t="s">
        <v>2901</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96" t="s">
        <v>2902</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9</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1326</v>
      </c>
      <c r="C53" s="3097" t="s">
        <v>2903</v>
      </c>
      <c r="D53" s="3098" t="s">
        <v>2904</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0" t="s">
        <v>2905</v>
      </c>
      <c r="B54" s="186">
        <v>15</v>
      </c>
      <c r="C54" s="1991">
        <v>30</v>
      </c>
      <c r="D54" s="3099"/>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0" t="s">
        <v>2906</v>
      </c>
      <c r="B55" s="186">
        <v>12</v>
      </c>
      <c r="C55" s="1991">
        <v>24</v>
      </c>
      <c r="D55" s="3099"/>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0" t="s">
        <v>2907</v>
      </c>
      <c r="B56" s="186">
        <v>9</v>
      </c>
      <c r="C56" s="1991">
        <v>18</v>
      </c>
      <c r="D56" s="3099"/>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0" t="s">
        <v>2908</v>
      </c>
      <c r="B57" s="186">
        <v>6</v>
      </c>
      <c r="C57" s="1991">
        <v>12</v>
      </c>
      <c r="D57" s="3099"/>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0" t="s">
        <v>2909</v>
      </c>
      <c r="B58" s="186"/>
      <c r="C58" s="1991">
        <v>3</v>
      </c>
      <c r="D58" s="3099"/>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0" t="s">
        <v>2910</v>
      </c>
      <c r="B59" s="186"/>
      <c r="C59" s="1991">
        <v>1.5</v>
      </c>
      <c r="D59" s="3099"/>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0" t="s">
        <v>2911</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0" t="s">
        <v>2912</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0" t="s">
        <v>2913</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1" t="s">
        <v>2914</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4',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7" t="s">
        <v>1663</v>
      </c>
      <c r="B1" s="3298"/>
      <c r="C1" s="3298"/>
      <c r="D1" s="3298"/>
      <c r="E1" s="3298"/>
      <c r="F1" s="3298"/>
      <c r="G1" s="3298"/>
      <c r="H1" s="1999"/>
      <c r="I1" s="2000"/>
      <c r="J1" s="2001"/>
      <c r="K1" s="1999"/>
      <c r="L1" s="2000"/>
      <c r="M1" s="2001"/>
      <c r="N1" s="1999"/>
      <c r="O1" s="2000"/>
      <c r="P1" s="2001"/>
      <c r="Q1" s="2002"/>
      <c r="R1" s="2003"/>
    </row>
    <row r="2" spans="1:18" ht="14.25" thickBot="1">
      <c r="A2" s="1218"/>
      <c r="B2" s="1219"/>
      <c r="C2" s="1220" t="s">
        <v>1664</v>
      </c>
      <c r="D2" s="1221"/>
      <c r="E2" s="1222"/>
      <c r="F2" s="1223"/>
      <c r="G2" s="1220" t="s">
        <v>1665</v>
      </c>
      <c r="H2" s="2005"/>
      <c r="I2" s="2005"/>
      <c r="J2" s="2005"/>
      <c r="K2" s="2005"/>
      <c r="L2" s="2005"/>
      <c r="M2" s="2005"/>
      <c r="N2" s="2005"/>
      <c r="O2" s="2005"/>
      <c r="P2" s="2005"/>
      <c r="Q2" s="2005"/>
      <c r="R2" s="2005"/>
    </row>
    <row r="3" spans="1:18" ht="54">
      <c r="A3" s="1224" t="s">
        <v>1666</v>
      </c>
      <c r="B3" s="1225" t="s">
        <v>1653</v>
      </c>
      <c r="C3" s="3102" t="s">
        <v>2921</v>
      </c>
      <c r="D3" s="2006"/>
      <c r="E3" s="1226" t="s">
        <v>1666</v>
      </c>
      <c r="F3" s="1227" t="s">
        <v>1654</v>
      </c>
      <c r="G3" s="3106" t="s">
        <v>2920</v>
      </c>
      <c r="H3" s="2005"/>
      <c r="I3" s="2005"/>
      <c r="J3" s="2005"/>
      <c r="K3" s="2005"/>
      <c r="L3" s="2005"/>
      <c r="M3" s="2005"/>
      <c r="N3" s="2005"/>
      <c r="O3" s="2005"/>
      <c r="P3" s="2005"/>
      <c r="Q3" s="2005"/>
      <c r="R3" s="2005"/>
    </row>
    <row r="4" spans="1:18" ht="41.25">
      <c r="A4" s="1226"/>
      <c r="B4" s="1228" t="s">
        <v>1667</v>
      </c>
      <c r="C4" s="3103" t="s">
        <v>2922</v>
      </c>
      <c r="D4" s="2006"/>
      <c r="E4" s="1229"/>
      <c r="F4" s="1230" t="s">
        <v>1668</v>
      </c>
      <c r="G4" s="3104" t="s">
        <v>2917</v>
      </c>
      <c r="H4" s="2005"/>
      <c r="I4" s="2005"/>
      <c r="J4" s="2005"/>
      <c r="K4" s="2005"/>
      <c r="L4" s="2005"/>
      <c r="M4" s="2005"/>
      <c r="N4" s="2005"/>
      <c r="O4" s="2005"/>
      <c r="P4" s="2005"/>
      <c r="Q4" s="2005"/>
      <c r="R4" s="2005"/>
    </row>
    <row r="5" spans="1:18" ht="41.25">
      <c r="A5" s="1226"/>
      <c r="B5" s="1228" t="s">
        <v>1669</v>
      </c>
      <c r="C5" s="3103" t="s">
        <v>2923</v>
      </c>
      <c r="D5" s="2006"/>
      <c r="E5" s="1229"/>
      <c r="F5" s="1228" t="s">
        <v>2547</v>
      </c>
      <c r="G5" s="3104" t="s">
        <v>2918</v>
      </c>
      <c r="H5" s="2005"/>
      <c r="I5" s="2005"/>
      <c r="J5" s="2005"/>
      <c r="K5" s="2005"/>
      <c r="L5" s="2005"/>
      <c r="M5" s="2005"/>
      <c r="N5" s="2005"/>
      <c r="O5" s="2005"/>
      <c r="P5" s="2005"/>
      <c r="Q5" s="2005"/>
      <c r="R5" s="2005"/>
    </row>
    <row r="6" spans="1:18" ht="54">
      <c r="A6" s="1226"/>
      <c r="B6" s="1228" t="s">
        <v>1655</v>
      </c>
      <c r="C6" s="3104" t="s">
        <v>2917</v>
      </c>
      <c r="D6" s="2006"/>
      <c r="E6" s="1229"/>
      <c r="F6" s="1228" t="s">
        <v>2548</v>
      </c>
      <c r="G6" s="3104" t="s">
        <v>2915</v>
      </c>
      <c r="H6" s="2005"/>
      <c r="I6" s="2005"/>
      <c r="J6" s="2005"/>
      <c r="K6" s="2005"/>
      <c r="L6" s="2005"/>
      <c r="M6" s="2005"/>
      <c r="N6" s="2005"/>
      <c r="O6" s="2005"/>
      <c r="P6" s="2005"/>
      <c r="Q6" s="2005"/>
      <c r="R6" s="2005"/>
    </row>
    <row r="7" spans="1:18" ht="41.25" thickBot="1">
      <c r="A7" s="1226"/>
      <c r="B7" s="1228" t="s">
        <v>2547</v>
      </c>
      <c r="C7" s="3104" t="s">
        <v>2918</v>
      </c>
      <c r="D7" s="2007"/>
      <c r="E7" s="1231"/>
      <c r="F7" s="1232" t="s">
        <v>1670</v>
      </c>
      <c r="G7" s="3107" t="s">
        <v>2919</v>
      </c>
      <c r="H7" s="2005"/>
      <c r="I7" s="2005"/>
      <c r="J7" s="2005"/>
      <c r="K7" s="2005"/>
      <c r="L7" s="2005"/>
      <c r="M7" s="2005"/>
      <c r="N7" s="2005"/>
      <c r="O7" s="2005"/>
      <c r="P7" s="2005"/>
      <c r="Q7" s="2005"/>
      <c r="R7" s="2005"/>
    </row>
    <row r="8" spans="1:18" ht="27">
      <c r="A8" s="1226"/>
      <c r="B8" s="1228" t="s">
        <v>2548</v>
      </c>
      <c r="C8" s="3104" t="s">
        <v>2915</v>
      </c>
      <c r="D8" s="2007"/>
      <c r="E8" s="2007"/>
      <c r="F8" s="1551"/>
      <c r="G8" s="1551"/>
      <c r="H8" s="2005"/>
      <c r="I8" s="2005"/>
      <c r="J8" s="2005"/>
      <c r="K8" s="2005"/>
      <c r="L8" s="2005"/>
      <c r="M8" s="2005"/>
      <c r="N8" s="2005"/>
      <c r="O8" s="2005"/>
      <c r="P8" s="2005"/>
      <c r="Q8" s="2005"/>
      <c r="R8" s="2005"/>
    </row>
    <row r="9" spans="1:18" ht="40.5">
      <c r="A9" s="1226"/>
      <c r="B9" s="1228" t="s">
        <v>1656</v>
      </c>
      <c r="C9" s="3103" t="s">
        <v>2916</v>
      </c>
      <c r="D9" s="2006"/>
      <c r="E9" s="2007"/>
      <c r="F9" s="1551"/>
      <c r="G9" s="1551"/>
      <c r="H9" s="2005"/>
      <c r="I9" s="2005"/>
      <c r="J9" s="2005"/>
      <c r="K9" s="2005"/>
      <c r="L9" s="2005"/>
      <c r="M9" s="2005"/>
      <c r="N9" s="2005"/>
      <c r="O9" s="2005"/>
      <c r="P9" s="2005"/>
      <c r="Q9" s="2005"/>
      <c r="R9" s="2005"/>
    </row>
    <row r="10" spans="1:18" s="2013" customFormat="1" ht="15" thickBot="1">
      <c r="A10" s="1233"/>
      <c r="B10" s="1234" t="s">
        <v>1671</v>
      </c>
      <c r="C10" s="3105"/>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1672</v>
      </c>
      <c r="B13" s="2599"/>
      <c r="C13" s="2599"/>
      <c r="D13" s="1221"/>
      <c r="E13" s="2599"/>
      <c r="F13" s="2599"/>
      <c r="G13" s="2599"/>
    </row>
    <row r="14" spans="1:18" ht="14.25" thickBot="1">
      <c r="A14" s="1235"/>
      <c r="B14" s="1236"/>
      <c r="C14" s="1237" t="s">
        <v>1664</v>
      </c>
      <c r="D14" s="2006"/>
      <c r="E14" s="1238"/>
      <c r="F14" s="1238"/>
      <c r="G14" s="1220" t="s">
        <v>1665</v>
      </c>
    </row>
    <row r="15" spans="1:18" ht="54">
      <c r="A15" s="2609" t="s">
        <v>1657</v>
      </c>
      <c r="B15" s="1239" t="s">
        <v>1653</v>
      </c>
      <c r="C15" s="1240" t="str">
        <f>C3</f>
        <v>估价对象周边居住用地比例、居住小区规模和社区发展完善程度，综合评价居住社区成熟度一般</v>
      </c>
      <c r="D15" s="2006"/>
      <c r="E15" s="2606" t="s">
        <v>1658</v>
      </c>
      <c r="F15" s="1239" t="s">
        <v>1673</v>
      </c>
      <c r="G15" s="1241" t="str">
        <f>G3</f>
        <v>估价对象位于XX开发区，园区建设成熟度XX，产业集聚程度XX</v>
      </c>
    </row>
    <row r="16" spans="1:18" ht="40.5">
      <c r="A16" s="2610"/>
      <c r="B16" s="1242" t="s">
        <v>1667</v>
      </c>
      <c r="C16" s="1243" t="str">
        <f>C4</f>
        <v>估价对象位于XX商圈，周边商业氛围成熟，人流量大，商业繁华度好</v>
      </c>
      <c r="D16" s="2006"/>
      <c r="E16" s="2607"/>
      <c r="F16" s="1244" t="s">
        <v>1668</v>
      </c>
      <c r="G16" s="1002" t="str">
        <f>G4</f>
        <v>估价对象周边道路状况、公共交通通达情况、停车便捷程度，综合评价交通便捷度较好</v>
      </c>
    </row>
    <row r="17" spans="1:7" ht="40.5">
      <c r="A17" s="2610"/>
      <c r="B17" s="1242" t="s">
        <v>1669</v>
      </c>
      <c r="C17" s="1243" t="str">
        <f>C5</f>
        <v>估价对象位于XX商圈，周边办公楼项目较多，入驻率高，办公集聚程度较好</v>
      </c>
      <c r="D17" s="2007"/>
      <c r="E17" s="2607"/>
      <c r="F17" s="1244" t="s">
        <v>1674</v>
      </c>
      <c r="G17" s="2815"/>
    </row>
    <row r="18" spans="1:7" ht="54">
      <c r="A18" s="2610"/>
      <c r="B18" s="1244" t="s">
        <v>1655</v>
      </c>
      <c r="C18" s="1002" t="str">
        <f>C6</f>
        <v>估价对象周边道路状况、公共交通通达情况、停车便捷程度，综合评价交通便捷度较好</v>
      </c>
      <c r="D18" s="2007"/>
      <c r="E18" s="2607"/>
      <c r="F18" s="1244" t="s">
        <v>1670</v>
      </c>
      <c r="G18" s="1002" t="str">
        <f>G7</f>
        <v>该园区内是否有污染型企业，绿化情况，卫生条件，整体环境状况判断</v>
      </c>
    </row>
    <row r="19" spans="1:7" ht="27">
      <c r="A19" s="2610"/>
      <c r="B19" s="1244" t="s">
        <v>1659</v>
      </c>
      <c r="C19" s="2815"/>
      <c r="D19" s="2006"/>
      <c r="E19" s="2607"/>
      <c r="F19" s="1228" t="s">
        <v>2547</v>
      </c>
      <c r="G19" s="1002" t="str">
        <f>G5</f>
        <v>估价对象所在区域公共配套设施齐备情况</v>
      </c>
    </row>
    <row r="20" spans="1:7" ht="40.5">
      <c r="A20" s="2610"/>
      <c r="B20" s="1244" t="s">
        <v>1660</v>
      </c>
      <c r="C20" s="1243" t="str">
        <f>C9</f>
        <v>区域自然环境：；人文环境；综合评价环境状况一般</v>
      </c>
      <c r="D20" s="2007"/>
      <c r="E20" s="2607"/>
      <c r="F20" s="1228" t="s">
        <v>2548</v>
      </c>
      <c r="G20" s="1002" t="str">
        <f>G6</f>
        <v>估价对象所在区域基础设施水平</v>
      </c>
    </row>
    <row r="21" spans="1:7" ht="27">
      <c r="A21" s="2610"/>
      <c r="B21" s="1228" t="s">
        <v>2547</v>
      </c>
      <c r="C21" s="1002" t="str">
        <f>C7</f>
        <v>估价对象所在区域公共配套设施齐备情况</v>
      </c>
      <c r="D21" s="2006"/>
      <c r="E21" s="2607"/>
      <c r="F21" s="1244" t="s">
        <v>1661</v>
      </c>
      <c r="G21" s="3108"/>
    </row>
    <row r="22" spans="1:7" ht="27">
      <c r="A22" s="2610"/>
      <c r="B22" s="1228" t="s">
        <v>2548</v>
      </c>
      <c r="C22" s="1002" t="str">
        <f>C8</f>
        <v>估价对象所在区域基础设施水平</v>
      </c>
      <c r="D22" s="2006"/>
      <c r="E22" s="2607"/>
      <c r="F22" s="1244" t="s">
        <v>1671</v>
      </c>
      <c r="G22" s="2815"/>
    </row>
    <row r="23" spans="1:7" ht="15" thickBot="1">
      <c r="A23" s="2610"/>
      <c r="B23" s="1244" t="s">
        <v>1661</v>
      </c>
      <c r="C23" s="3108"/>
      <c r="E23" s="2608"/>
      <c r="F23" s="1245" t="s">
        <v>1675</v>
      </c>
      <c r="G23" s="3109"/>
    </row>
    <row r="24" spans="1:7" ht="14.25" thickBot="1">
      <c r="A24" s="2611"/>
      <c r="B24" s="1245" t="s">
        <v>1662</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2845</v>
      </c>
      <c r="B1" s="3066">
        <f>SUM(B14:B23)</f>
        <v>191725</v>
      </c>
      <c r="C1" s="3067"/>
      <c r="D1" s="3067"/>
      <c r="E1" s="3067"/>
      <c r="F1" s="3067"/>
    </row>
    <row r="2" spans="1:9" ht="16.5">
      <c r="A2" s="3066" t="s">
        <v>2846</v>
      </c>
      <c r="B2" s="3066">
        <f>SUM(C14:C23)</f>
        <v>74959</v>
      </c>
      <c r="C2" s="3067"/>
      <c r="D2" s="3067"/>
      <c r="E2" s="3067"/>
      <c r="F2" s="3067"/>
    </row>
    <row r="3" spans="1:9" ht="16.5">
      <c r="A3" s="3066" t="s">
        <v>2847</v>
      </c>
      <c r="B3" s="3068">
        <f>项目基本情况!D3</f>
        <v>43239</v>
      </c>
      <c r="C3" s="3067"/>
      <c r="D3" s="3067"/>
      <c r="E3" s="3067"/>
      <c r="F3" s="3067"/>
    </row>
    <row r="4" spans="1:9" ht="33">
      <c r="A4" s="3066" t="s">
        <v>2848</v>
      </c>
      <c r="B4" s="3066" t="s">
        <v>2849</v>
      </c>
      <c r="C4" s="3066" t="s">
        <v>2850</v>
      </c>
      <c r="D4" s="3066" t="s">
        <v>2851</v>
      </c>
      <c r="E4" s="3067"/>
      <c r="F4" s="3067"/>
    </row>
    <row r="5" spans="1:9" ht="16.5">
      <c r="A5" s="3066" t="s">
        <v>2852</v>
      </c>
      <c r="B5" s="3066">
        <f ca="1">SUM(D14:D23)</f>
        <v>83729</v>
      </c>
      <c r="C5" s="3066">
        <f ca="1">ROUND(B5*10000/$B$1,0)</f>
        <v>4367</v>
      </c>
      <c r="D5" s="3066">
        <f ca="1">ROUND(B5*10000/$B$2,0)</f>
        <v>11170</v>
      </c>
      <c r="E5" s="3067"/>
      <c r="F5" s="3067"/>
    </row>
    <row r="6" spans="1:9" ht="16.5">
      <c r="A6" s="3066" t="s">
        <v>2853</v>
      </c>
      <c r="B6" s="3066">
        <f ca="1">SUM(G14:G23)</f>
        <v>83729</v>
      </c>
      <c r="C6" s="3066">
        <f t="shared" ref="C6:C8" ca="1" si="0">ROUND(B6*10000/$B$1,0)</f>
        <v>4367</v>
      </c>
      <c r="D6" s="3066">
        <f t="shared" ref="D6:D8" ca="1" si="1">ROUND(B6*10000/$B$2,0)</f>
        <v>11170</v>
      </c>
      <c r="E6" s="3067"/>
      <c r="F6" s="3067"/>
    </row>
    <row r="7" spans="1:9" ht="16.5">
      <c r="A7" s="3066" t="s">
        <v>2854</v>
      </c>
      <c r="B7" s="3066">
        <f>SUM(H14:H23)</f>
        <v>0</v>
      </c>
      <c r="C7" s="3066">
        <f t="shared" si="0"/>
        <v>0</v>
      </c>
      <c r="D7" s="3066">
        <f t="shared" si="1"/>
        <v>0</v>
      </c>
      <c r="E7" s="3067"/>
      <c r="F7" s="3067"/>
    </row>
    <row r="8" spans="1:9" ht="16.5">
      <c r="A8" s="3066" t="s">
        <v>2855</v>
      </c>
      <c r="B8" s="3066">
        <f>SUM(I14:I23)</f>
        <v>0</v>
      </c>
      <c r="C8" s="3066">
        <f t="shared" si="0"/>
        <v>0</v>
      </c>
      <c r="D8" s="3066">
        <f t="shared" si="1"/>
        <v>0</v>
      </c>
      <c r="E8" s="3067"/>
      <c r="F8" s="3067"/>
    </row>
    <row r="9" spans="1:9" ht="16.5">
      <c r="A9" s="3066" t="s">
        <v>2856</v>
      </c>
      <c r="B9" s="3069"/>
      <c r="C9" s="3067"/>
      <c r="D9" s="3067"/>
      <c r="E9" s="3067"/>
      <c r="F9" s="3067"/>
    </row>
    <row r="10" spans="1:9" ht="16.5">
      <c r="A10" s="3066" t="s">
        <v>2857</v>
      </c>
      <c r="B10" s="3069"/>
      <c r="C10" s="3067"/>
      <c r="D10" s="3067"/>
      <c r="E10" s="3067"/>
      <c r="F10" s="3067"/>
    </row>
    <row r="11" spans="1:9" ht="16.5">
      <c r="A11" s="3066" t="s">
        <v>2874</v>
      </c>
      <c r="B11" s="3069"/>
      <c r="C11" s="3067"/>
      <c r="D11" s="3067"/>
      <c r="E11" s="3067"/>
      <c r="F11" s="3067"/>
    </row>
    <row r="12" spans="1:9" ht="16.5">
      <c r="A12" s="3067"/>
      <c r="B12" s="3067"/>
      <c r="C12" s="3067"/>
      <c r="D12" s="3067"/>
      <c r="E12" s="3067"/>
      <c r="F12" s="3067"/>
    </row>
    <row r="13" spans="1:9" ht="33">
      <c r="A13" s="3072" t="s">
        <v>2873</v>
      </c>
      <c r="B13" s="3070" t="s">
        <v>2845</v>
      </c>
      <c r="C13" s="3070" t="s">
        <v>2846</v>
      </c>
      <c r="D13" s="3070" t="s">
        <v>2858</v>
      </c>
      <c r="E13" s="3066" t="s">
        <v>2872</v>
      </c>
      <c r="F13" s="3066" t="s">
        <v>2851</v>
      </c>
      <c r="G13" s="3070" t="s">
        <v>2859</v>
      </c>
      <c r="H13" s="3070" t="s">
        <v>2860</v>
      </c>
      <c r="I13" s="3070" t="s">
        <v>2861</v>
      </c>
    </row>
    <row r="14" spans="1:9" ht="16.5">
      <c r="A14" s="3073" t="s">
        <v>2871</v>
      </c>
      <c r="B14" s="3070">
        <f>结果表!L38</f>
        <v>191725</v>
      </c>
      <c r="C14" s="3070">
        <f>结果表!K38</f>
        <v>74959</v>
      </c>
      <c r="D14" s="3070">
        <f ca="1">结果表!C42</f>
        <v>83729</v>
      </c>
      <c r="E14" s="3070">
        <f ca="1">ROUND(D14*10000/B14,0)</f>
        <v>4367</v>
      </c>
      <c r="F14" s="3070">
        <f ca="1">ROUND(D14*10000/C14,0)</f>
        <v>11170</v>
      </c>
      <c r="G14" s="3070">
        <f ca="1">结果表!C44</f>
        <v>83729</v>
      </c>
      <c r="H14" s="3070" t="str">
        <f>结果表!C45</f>
        <v>——</v>
      </c>
      <c r="I14" s="3070" t="str">
        <f>结果表!C46</f>
        <v>——</v>
      </c>
    </row>
    <row r="15" spans="1:9" ht="16.5">
      <c r="A15" s="3073" t="s">
        <v>2862</v>
      </c>
      <c r="B15" s="3074"/>
      <c r="C15" s="3074"/>
      <c r="D15" s="3074"/>
      <c r="E15" s="3070" t="e">
        <f t="shared" ref="E15:E23" si="2">ROUND(D15*10000/B15,0)</f>
        <v>#DIV/0!</v>
      </c>
      <c r="F15" s="3070" t="e">
        <f t="shared" ref="F15:F23" si="3">ROUND(D15*10000/C15,0)</f>
        <v>#DIV/0!</v>
      </c>
      <c r="G15" s="3071"/>
      <c r="H15" s="3071"/>
      <c r="I15" s="3074"/>
    </row>
    <row r="16" spans="1:9" ht="16.5">
      <c r="A16" s="3073" t="s">
        <v>2863</v>
      </c>
      <c r="B16" s="3074"/>
      <c r="C16" s="3074"/>
      <c r="D16" s="3074"/>
      <c r="E16" s="3070" t="e">
        <f t="shared" si="2"/>
        <v>#DIV/0!</v>
      </c>
      <c r="F16" s="3070" t="e">
        <f t="shared" si="3"/>
        <v>#DIV/0!</v>
      </c>
      <c r="G16" s="3071"/>
      <c r="H16" s="3071"/>
      <c r="I16" s="3074"/>
    </row>
    <row r="17" spans="1:9" ht="16.5">
      <c r="A17" s="3073" t="s">
        <v>2864</v>
      </c>
      <c r="B17" s="3074"/>
      <c r="C17" s="3074"/>
      <c r="D17" s="3074"/>
      <c r="E17" s="3070" t="e">
        <f t="shared" si="2"/>
        <v>#DIV/0!</v>
      </c>
      <c r="F17" s="3070" t="e">
        <f t="shared" si="3"/>
        <v>#DIV/0!</v>
      </c>
      <c r="G17" s="3071"/>
      <c r="H17" s="3071"/>
      <c r="I17" s="3074"/>
    </row>
    <row r="18" spans="1:9" ht="16.5">
      <c r="A18" s="3073" t="s">
        <v>2865</v>
      </c>
      <c r="B18" s="3074"/>
      <c r="C18" s="3074"/>
      <c r="D18" s="3074"/>
      <c r="E18" s="3070" t="e">
        <f t="shared" si="2"/>
        <v>#DIV/0!</v>
      </c>
      <c r="F18" s="3070" t="e">
        <f t="shared" si="3"/>
        <v>#DIV/0!</v>
      </c>
      <c r="G18" s="3074"/>
      <c r="H18" s="3074"/>
      <c r="I18" s="3074"/>
    </row>
    <row r="19" spans="1:9" ht="16.5">
      <c r="A19" s="3073" t="s">
        <v>2866</v>
      </c>
      <c r="B19" s="3074"/>
      <c r="C19" s="3074"/>
      <c r="D19" s="3074"/>
      <c r="E19" s="3070" t="e">
        <f t="shared" si="2"/>
        <v>#DIV/0!</v>
      </c>
      <c r="F19" s="3070" t="e">
        <f t="shared" si="3"/>
        <v>#DIV/0!</v>
      </c>
      <c r="G19" s="3074"/>
      <c r="H19" s="3074"/>
      <c r="I19" s="3074"/>
    </row>
    <row r="20" spans="1:9" ht="16.5">
      <c r="A20" s="3073" t="s">
        <v>2867</v>
      </c>
      <c r="B20" s="3074"/>
      <c r="C20" s="3074"/>
      <c r="D20" s="3074"/>
      <c r="E20" s="3070" t="e">
        <f t="shared" si="2"/>
        <v>#DIV/0!</v>
      </c>
      <c r="F20" s="3070" t="e">
        <f t="shared" si="3"/>
        <v>#DIV/0!</v>
      </c>
      <c r="G20" s="3074"/>
      <c r="H20" s="3074"/>
      <c r="I20" s="3074"/>
    </row>
    <row r="21" spans="1:9" ht="16.5">
      <c r="A21" s="3073" t="s">
        <v>2868</v>
      </c>
      <c r="B21" s="3074"/>
      <c r="C21" s="3074"/>
      <c r="D21" s="3074"/>
      <c r="E21" s="3070" t="e">
        <f t="shared" si="2"/>
        <v>#DIV/0!</v>
      </c>
      <c r="F21" s="3070" t="e">
        <f t="shared" si="3"/>
        <v>#DIV/0!</v>
      </c>
      <c r="G21" s="3074"/>
      <c r="H21" s="3074"/>
      <c r="I21" s="3074"/>
    </row>
    <row r="22" spans="1:9" ht="16.5">
      <c r="A22" s="3073" t="s">
        <v>2869</v>
      </c>
      <c r="B22" s="3074"/>
      <c r="C22" s="3074"/>
      <c r="D22" s="3074"/>
      <c r="E22" s="3070" t="e">
        <f t="shared" si="2"/>
        <v>#DIV/0!</v>
      </c>
      <c r="F22" s="3070" t="e">
        <f t="shared" si="3"/>
        <v>#DIV/0!</v>
      </c>
      <c r="G22" s="3074"/>
      <c r="H22" s="3074"/>
      <c r="I22" s="3074"/>
    </row>
    <row r="23" spans="1:9" ht="16.5">
      <c r="A23" s="3073" t="s">
        <v>2870</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H28" sqref="H28"/>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3" t="s">
        <v>2055</v>
      </c>
      <c r="B1" s="1774"/>
      <c r="C1" s="1802" t="s">
        <v>2056</v>
      </c>
      <c r="D1" s="1803" t="s">
        <v>3088</v>
      </c>
      <c r="E1" s="1802" t="s">
        <v>2057</v>
      </c>
      <c r="F1" s="1804" t="s">
        <v>3089</v>
      </c>
      <c r="G1" s="309"/>
      <c r="H1" s="309"/>
      <c r="I1" s="309"/>
      <c r="J1" s="2026"/>
      <c r="K1" s="2026"/>
      <c r="L1" s="2026"/>
      <c r="M1" s="2026"/>
      <c r="N1" s="2026"/>
      <c r="O1" s="2026"/>
      <c r="P1" s="2026"/>
      <c r="Q1" s="2026"/>
      <c r="R1" s="2026"/>
      <c r="S1" s="2026"/>
      <c r="T1" s="2026"/>
      <c r="U1" s="2026"/>
      <c r="V1" s="2026"/>
    </row>
    <row r="2" spans="1:22" ht="21.75" customHeight="1" thickBot="1">
      <c r="A2" s="3344" t="str">
        <f>项目基本情况!K2</f>
        <v>安徽省来安县汊河新区长江大街西侧、明发北站新城北侧及黄高路东侧、明发北站新城北侧两宗住宅用地出让国有建设用地使用权</v>
      </c>
      <c r="B2" s="3345"/>
      <c r="C2" s="3346"/>
      <c r="D2" s="3346"/>
      <c r="E2" s="3346"/>
      <c r="F2" s="3346"/>
      <c r="G2" s="3345"/>
      <c r="H2" s="3345"/>
      <c r="I2" s="3347"/>
      <c r="J2" s="2027"/>
      <c r="K2" s="2026"/>
      <c r="L2" s="2026"/>
      <c r="M2" s="2026"/>
      <c r="N2" s="2026"/>
      <c r="O2" s="2026"/>
      <c r="P2" s="2026"/>
      <c r="Q2" s="2026"/>
      <c r="R2" s="2026"/>
      <c r="S2" s="2026"/>
      <c r="T2" s="2026"/>
      <c r="U2" s="2026"/>
      <c r="V2" s="2026"/>
    </row>
    <row r="3" spans="1:22" ht="14.25">
      <c r="A3" s="3355" t="s">
        <v>298</v>
      </c>
      <c r="B3" s="3356"/>
      <c r="C3" s="3356"/>
      <c r="D3" s="3356"/>
      <c r="E3" s="3356"/>
      <c r="F3" s="3356"/>
      <c r="G3" s="3356"/>
      <c r="H3" s="3356"/>
      <c r="I3" s="3356"/>
      <c r="J3" s="2027"/>
      <c r="K3" s="2026"/>
      <c r="L3" s="2026"/>
      <c r="M3" s="2026"/>
      <c r="N3" s="2026"/>
      <c r="O3" s="2026"/>
      <c r="P3" s="2026"/>
      <c r="Q3" s="2026"/>
      <c r="R3" s="2026"/>
      <c r="S3" s="2026"/>
      <c r="T3" s="2026"/>
      <c r="U3" s="2026"/>
      <c r="V3" s="2026"/>
    </row>
    <row r="4" spans="1:22" ht="14.25">
      <c r="A4" s="256" t="s">
        <v>299</v>
      </c>
      <c r="B4" s="257" t="s">
        <v>300</v>
      </c>
      <c r="C4" s="258" t="s">
        <v>3086</v>
      </c>
      <c r="D4" s="258" t="s">
        <v>3087</v>
      </c>
      <c r="E4" s="3319" t="s">
        <v>301</v>
      </c>
      <c r="F4" s="3361"/>
      <c r="G4" s="3361"/>
      <c r="H4" s="3361"/>
      <c r="I4" s="3320"/>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8" t="s">
        <v>302</v>
      </c>
      <c r="B5" s="3349">
        <v>25</v>
      </c>
      <c r="C5" s="3357"/>
      <c r="D5" s="3360"/>
      <c r="E5" s="259" t="s">
        <v>303</v>
      </c>
      <c r="F5" s="260"/>
      <c r="G5" s="260"/>
      <c r="H5" s="260"/>
      <c r="I5" s="261"/>
      <c r="J5" s="2027"/>
      <c r="K5" s="2026"/>
      <c r="L5" s="2026"/>
      <c r="M5" s="2026"/>
      <c r="N5" s="2026"/>
      <c r="O5" s="2026"/>
      <c r="P5" s="2026"/>
      <c r="Q5" s="2026"/>
      <c r="R5" s="2026"/>
      <c r="S5" s="2026"/>
      <c r="T5" s="2026"/>
      <c r="U5" s="2026"/>
      <c r="V5" s="2026"/>
    </row>
    <row r="6" spans="1:22" ht="14.25">
      <c r="A6" s="3348"/>
      <c r="B6" s="3349"/>
      <c r="C6" s="3358"/>
      <c r="D6" s="3360"/>
      <c r="E6" s="259" t="s">
        <v>304</v>
      </c>
      <c r="F6" s="260"/>
      <c r="G6" s="260"/>
      <c r="H6" s="260"/>
      <c r="I6" s="261"/>
      <c r="J6" s="2027"/>
      <c r="K6" s="2026"/>
      <c r="L6" s="2026"/>
      <c r="M6" s="2026"/>
      <c r="N6" s="2026"/>
      <c r="O6" s="2026"/>
      <c r="P6" s="2026"/>
      <c r="Q6" s="2026"/>
      <c r="R6" s="2026"/>
      <c r="S6" s="2026"/>
      <c r="T6" s="2026"/>
      <c r="U6" s="2026"/>
      <c r="V6" s="2026"/>
    </row>
    <row r="7" spans="1:22" ht="14.25">
      <c r="A7" s="3348"/>
      <c r="B7" s="3349"/>
      <c r="C7" s="3359"/>
      <c r="D7" s="3360"/>
      <c r="E7" s="259" t="s">
        <v>305</v>
      </c>
      <c r="F7" s="260"/>
      <c r="G7" s="260"/>
      <c r="H7" s="260"/>
      <c r="I7" s="261"/>
      <c r="J7" s="2027"/>
      <c r="K7" s="2026"/>
      <c r="L7" s="2026"/>
      <c r="M7" s="2026"/>
      <c r="N7" s="2026"/>
      <c r="O7" s="2026"/>
      <c r="P7" s="2026"/>
      <c r="Q7" s="2026"/>
      <c r="R7" s="2026"/>
      <c r="S7" s="2026"/>
      <c r="T7" s="2026"/>
      <c r="U7" s="2026"/>
      <c r="V7" s="2026"/>
    </row>
    <row r="8" spans="1:22" ht="14.25">
      <c r="A8" s="3348" t="s">
        <v>306</v>
      </c>
      <c r="B8" s="3349">
        <v>15</v>
      </c>
      <c r="C8" s="3357"/>
      <c r="D8" s="3360"/>
      <c r="E8" s="259" t="s">
        <v>307</v>
      </c>
      <c r="F8" s="260"/>
      <c r="G8" s="260"/>
      <c r="H8" s="260"/>
      <c r="I8" s="261"/>
      <c r="J8" s="2027"/>
      <c r="K8" s="2026"/>
      <c r="L8" s="2026"/>
      <c r="M8" s="2026"/>
      <c r="N8" s="2026"/>
      <c r="O8" s="2026"/>
      <c r="P8" s="2026"/>
      <c r="Q8" s="2026"/>
      <c r="R8" s="2026"/>
      <c r="S8" s="2026"/>
      <c r="T8" s="2026"/>
      <c r="U8" s="2026"/>
      <c r="V8" s="2026"/>
    </row>
    <row r="9" spans="1:22" ht="14.25">
      <c r="A9" s="3348"/>
      <c r="B9" s="3349"/>
      <c r="C9" s="3359"/>
      <c r="D9" s="3360"/>
      <c r="E9" s="259" t="s">
        <v>308</v>
      </c>
      <c r="F9" s="260"/>
      <c r="G9" s="260"/>
      <c r="H9" s="260"/>
      <c r="I9" s="261"/>
      <c r="J9" s="2027"/>
      <c r="K9" s="2026"/>
      <c r="L9" s="2026"/>
      <c r="M9" s="2026"/>
      <c r="N9" s="2026"/>
      <c r="O9" s="2026"/>
      <c r="P9" s="2026"/>
      <c r="Q9" s="2026"/>
      <c r="R9" s="2026"/>
      <c r="S9" s="2026"/>
      <c r="T9" s="2026"/>
      <c r="U9" s="2026"/>
      <c r="V9" s="2026"/>
    </row>
    <row r="10" spans="1:22" ht="14.25">
      <c r="A10" s="3348" t="s">
        <v>309</v>
      </c>
      <c r="B10" s="3349">
        <v>15</v>
      </c>
      <c r="C10" s="3357"/>
      <c r="D10" s="3360"/>
      <c r="E10" s="259" t="s">
        <v>310</v>
      </c>
      <c r="F10" s="260"/>
      <c r="G10" s="260"/>
      <c r="H10" s="260"/>
      <c r="I10" s="261"/>
      <c r="J10" s="2027"/>
      <c r="K10" s="2026"/>
      <c r="L10" s="2026"/>
      <c r="M10" s="2026"/>
      <c r="N10" s="2026"/>
      <c r="O10" s="2026"/>
      <c r="P10" s="2026"/>
      <c r="Q10" s="2026"/>
      <c r="R10" s="2026"/>
      <c r="S10" s="2026"/>
      <c r="T10" s="2026"/>
      <c r="U10" s="2026"/>
      <c r="V10" s="2026"/>
    </row>
    <row r="11" spans="1:22" ht="14.25">
      <c r="A11" s="3348"/>
      <c r="B11" s="3349"/>
      <c r="C11" s="3359"/>
      <c r="D11" s="3360"/>
      <c r="E11" s="259" t="s">
        <v>311</v>
      </c>
      <c r="F11" s="260"/>
      <c r="G11" s="260"/>
      <c r="H11" s="260"/>
      <c r="I11" s="261"/>
      <c r="J11" s="2027"/>
      <c r="K11" s="2026"/>
      <c r="L11" s="2026"/>
      <c r="M11" s="2026"/>
      <c r="N11" s="2026"/>
      <c r="O11" s="2026"/>
      <c r="P11" s="2026"/>
      <c r="Q11" s="2026"/>
      <c r="R11" s="2026"/>
      <c r="S11" s="2026"/>
      <c r="T11" s="2026"/>
      <c r="U11" s="2026"/>
      <c r="V11" s="2026"/>
    </row>
    <row r="12" spans="1:22" ht="14.25">
      <c r="A12" s="3348" t="s">
        <v>312</v>
      </c>
      <c r="B12" s="3349">
        <v>15</v>
      </c>
      <c r="C12" s="3357"/>
      <c r="D12" s="3360"/>
      <c r="E12" s="259" t="s">
        <v>313</v>
      </c>
      <c r="F12" s="260"/>
      <c r="G12" s="260"/>
      <c r="H12" s="260"/>
      <c r="I12" s="261"/>
      <c r="J12" s="2027"/>
      <c r="K12" s="2026"/>
      <c r="L12" s="2026"/>
      <c r="M12" s="2026"/>
      <c r="N12" s="2026"/>
      <c r="O12" s="2026"/>
      <c r="P12" s="2026"/>
      <c r="Q12" s="2026"/>
      <c r="R12" s="2026"/>
      <c r="S12" s="2026"/>
      <c r="T12" s="2026"/>
      <c r="U12" s="2026"/>
      <c r="V12" s="2026"/>
    </row>
    <row r="13" spans="1:22" ht="14.25">
      <c r="A13" s="3348"/>
      <c r="B13" s="3349"/>
      <c r="C13" s="3359"/>
      <c r="D13" s="3360"/>
      <c r="E13" s="259" t="s">
        <v>314</v>
      </c>
      <c r="F13" s="260"/>
      <c r="G13" s="260"/>
      <c r="H13" s="260"/>
      <c r="I13" s="261"/>
      <c r="J13" s="2027"/>
      <c r="K13" s="2026"/>
      <c r="L13" s="2026"/>
      <c r="M13" s="2026"/>
      <c r="N13" s="2026"/>
      <c r="O13" s="2026"/>
      <c r="P13" s="2026"/>
      <c r="Q13" s="2026"/>
      <c r="R13" s="2026"/>
      <c r="S13" s="2026"/>
      <c r="T13" s="2026"/>
      <c r="U13" s="2026"/>
      <c r="V13" s="2026"/>
    </row>
    <row r="14" spans="1:22" ht="14.25">
      <c r="A14" s="3348" t="s">
        <v>315</v>
      </c>
      <c r="B14" s="3349">
        <v>30</v>
      </c>
      <c r="C14" s="3357">
        <v>5</v>
      </c>
      <c r="D14" s="3360">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48"/>
      <c r="B15" s="3349"/>
      <c r="C15" s="3358"/>
      <c r="D15" s="3360"/>
      <c r="E15" s="259" t="s">
        <v>317</v>
      </c>
      <c r="F15" s="260"/>
      <c r="G15" s="260"/>
      <c r="H15" s="260"/>
      <c r="I15" s="261"/>
      <c r="J15" s="2027"/>
      <c r="K15" s="2026"/>
      <c r="L15" s="2026"/>
      <c r="M15" s="2026"/>
      <c r="N15" s="2026"/>
      <c r="O15" s="2026"/>
      <c r="P15" s="2026"/>
      <c r="Q15" s="2026"/>
      <c r="R15" s="2026"/>
      <c r="S15" s="2026"/>
      <c r="T15" s="2026"/>
      <c r="U15" s="2026"/>
      <c r="V15" s="2026"/>
    </row>
    <row r="16" spans="1:22" ht="14.25">
      <c r="A16" s="3348"/>
      <c r="B16" s="3349"/>
      <c r="C16" s="3359"/>
      <c r="D16" s="3360"/>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4"/>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89051</v>
      </c>
      <c r="D19" s="269">
        <f ca="1">SUMIF(INDIRECT("'"&amp;D4&amp;"'"&amp;"!A:A"),结果表!B19,INDIRECT("'"&amp;D4&amp;"'"&amp;"!B:B"))</f>
        <v>78407</v>
      </c>
      <c r="E19" s="266" t="s">
        <v>323</v>
      </c>
      <c r="F19" s="267" t="s">
        <v>322</v>
      </c>
      <c r="G19" s="270">
        <f ca="1">ROUND(C19*$C$18+D19*$D$18,0)</f>
        <v>83729</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4645</v>
      </c>
      <c r="D20" s="275">
        <f ca="1">SUMIF(INDIRECT("'"&amp;D4&amp;"'"&amp;"!A:A"),结果表!B20,INDIRECT("'"&amp;D4&amp;"'"&amp;"!B:B"))</f>
        <v>4090</v>
      </c>
      <c r="E20" s="272"/>
      <c r="F20" s="273" t="s">
        <v>325</v>
      </c>
      <c r="G20" s="276">
        <f ca="1">ROUND(C20*$C$18+D20*$D$18,0)</f>
        <v>4368</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11880</v>
      </c>
      <c r="D21" s="151">
        <f ca="1">SUMIF(INDIRECT("'"&amp;D4&amp;"'"&amp;"!A:A"),结果表!B21,INDIRECT("'"&amp;D4&amp;"'"&amp;"!B:B"))</f>
        <v>10460</v>
      </c>
      <c r="E21" s="272"/>
      <c r="F21" s="278" t="s">
        <v>327</v>
      </c>
      <c r="G21" s="280">
        <f ca="1">ROUND(C21*$C$18+D21*$D$18,0)</f>
        <v>11170</v>
      </c>
      <c r="H21" s="1248" t="s">
        <v>326</v>
      </c>
      <c r="I21" s="309"/>
      <c r="J21" s="2026"/>
      <c r="K21" s="2026"/>
      <c r="L21" s="2026"/>
      <c r="M21" s="2026"/>
      <c r="N21" s="2026"/>
      <c r="O21" s="2026"/>
      <c r="P21" s="2026"/>
      <c r="Q21" s="2026"/>
      <c r="R21" s="2026"/>
      <c r="S21" s="2026"/>
      <c r="T21" s="2026"/>
      <c r="U21" s="2026"/>
      <c r="V21" s="2026"/>
    </row>
    <row r="22" spans="1:26" ht="15.75" thickBot="1">
      <c r="A22" s="126" t="s">
        <v>328</v>
      </c>
      <c r="B22" s="1249"/>
      <c r="C22" s="1250"/>
      <c r="D22" s="281">
        <f ca="1">IF(C19&lt;D19,D19/C19-1,C19/D19-1)</f>
        <v>0.1357531853023326</v>
      </c>
      <c r="E22" s="282"/>
      <c r="F22" s="283"/>
      <c r="G22" s="284">
        <f ca="1">ROUND(G19/('数据-汇总表'!D3/666.67),0)</f>
        <v>745</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21"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363"/>
      <c r="B25" s="1318" t="s">
        <v>331</v>
      </c>
      <c r="C25" s="288">
        <f>IF(B30=0,0,C30)</f>
        <v>0</v>
      </c>
      <c r="D25" s="289"/>
      <c r="E25" s="309"/>
      <c r="F25" s="309"/>
      <c r="G25" s="309"/>
      <c r="H25" s="309"/>
      <c r="I25" s="309"/>
      <c r="J25" s="2026"/>
      <c r="K25" s="1252" t="str">
        <f ca="1">项目基本情况!B16&amp;"国有建设用地使用权价格："&amp;O38&amp;"万元"</f>
        <v>出让国有建设用地使用权价格：83729万元</v>
      </c>
      <c r="L25" s="1253"/>
      <c r="M25" s="1253"/>
      <c r="N25" s="1253"/>
      <c r="O25" s="1254"/>
      <c r="P25" s="2026"/>
      <c r="Q25" s="2026"/>
      <c r="R25" s="2026"/>
      <c r="S25" s="2026"/>
      <c r="T25" s="2026"/>
      <c r="U25" s="2026"/>
      <c r="V25" s="2026"/>
    </row>
    <row r="26" spans="1:26" s="1251" customFormat="1" ht="18">
      <c r="A26" s="291" t="s">
        <v>332</v>
      </c>
      <c r="B26" s="292" t="s">
        <v>333</v>
      </c>
      <c r="C26" s="292" t="s">
        <v>334</v>
      </c>
      <c r="D26" s="293" t="s">
        <v>335</v>
      </c>
      <c r="E26" s="309"/>
      <c r="F26" s="309"/>
      <c r="G26" s="309"/>
      <c r="H26" s="309"/>
      <c r="I26" s="309"/>
      <c r="J26" s="2026"/>
      <c r="K26" s="1255" t="str">
        <f ca="1">"大写金额：人民币"&amp;NUMBERSTRING(INT(O38*10000),2)&amp;"元整"</f>
        <v>大写金额：人民币捌亿叁仟柒佰贰拾玖万元整</v>
      </c>
      <c r="L26" s="1249"/>
      <c r="M26" s="1249"/>
      <c r="N26" s="1249"/>
      <c r="O26" s="1248"/>
      <c r="P26" s="2026"/>
      <c r="Q26" s="2026"/>
      <c r="R26" s="2026"/>
      <c r="S26" s="2026"/>
      <c r="T26" s="2026"/>
      <c r="U26" s="2026"/>
      <c r="V26" s="2026"/>
      <c r="W26" s="290"/>
      <c r="X26" s="290"/>
      <c r="Y26" s="290"/>
      <c r="Z26" s="290"/>
    </row>
    <row r="27" spans="1:26" ht="18">
      <c r="A27" s="291"/>
      <c r="B27" s="292"/>
      <c r="C27" s="292"/>
      <c r="D27" s="293">
        <f ca="1">G19*10000/'数据-汇总表'!F31</f>
        <v>5512.6576027915853</v>
      </c>
      <c r="E27" s="309"/>
      <c r="F27" s="309"/>
      <c r="G27" s="309"/>
      <c r="H27" s="309"/>
      <c r="I27" s="309"/>
      <c r="J27" s="2026"/>
      <c r="K27" s="1255" t="str">
        <f ca="1">"单位面积地价："&amp;M38&amp;"元/平方米"</f>
        <v>单位面积地价：11170元/平方米</v>
      </c>
      <c r="L27" s="1249"/>
      <c r="M27" s="1249"/>
      <c r="N27" s="1249"/>
      <c r="O27" s="1248"/>
      <c r="P27" s="2026"/>
      <c r="Q27" s="2026"/>
      <c r="R27" s="2026"/>
      <c r="S27" s="2026"/>
      <c r="T27" s="2026"/>
      <c r="U27" s="2026"/>
      <c r="V27" s="2026"/>
    </row>
    <row r="28" spans="1:26" ht="18.75" customHeight="1">
      <c r="A28" s="291"/>
      <c r="B28" s="292"/>
      <c r="C28" s="292"/>
      <c r="D28" s="293"/>
      <c r="E28" s="309"/>
      <c r="F28" s="309"/>
      <c r="G28" s="309"/>
      <c r="H28" s="309"/>
      <c r="I28" s="309"/>
      <c r="J28" s="2026"/>
      <c r="K28" s="1255" t="str">
        <f ca="1">"楼面地价："&amp;N38&amp;"元/平方米"</f>
        <v>楼面地价：4367元/平方米</v>
      </c>
      <c r="L28" s="1249"/>
      <c r="M28" s="1249"/>
      <c r="N28" s="1249"/>
      <c r="O28" s="1248"/>
      <c r="P28" s="2026"/>
      <c r="V28" s="2026"/>
    </row>
    <row r="29" spans="1:26" ht="18">
      <c r="A29" s="291"/>
      <c r="B29" s="292"/>
      <c r="C29" s="292"/>
      <c r="D29" s="293"/>
      <c r="E29" s="309"/>
      <c r="F29" s="309"/>
      <c r="G29" s="309"/>
      <c r="H29" s="309"/>
      <c r="I29" s="309"/>
      <c r="J29" s="2026"/>
      <c r="K29" s="1255" t="str">
        <f ca="1">IF(OR(项目基本情况!E8="抵押价格",项目基本情况!E8="已注销及未注销"),"抵押价格："&amp;O39&amp;"万元","——")</f>
        <v>抵押价格：83729万元</v>
      </c>
      <c r="L29" s="1249"/>
      <c r="M29" s="1249"/>
      <c r="N29" s="1249"/>
      <c r="O29" s="1248"/>
      <c r="P29" s="2026"/>
      <c r="V29" s="2026"/>
    </row>
    <row r="30" spans="1:26" ht="18.75" thickBot="1">
      <c r="A30" s="3157" t="s">
        <v>336</v>
      </c>
      <c r="B30" s="307"/>
      <c r="C30" s="307"/>
      <c r="D30" s="308"/>
      <c r="E30" s="3158" t="s">
        <v>2970</v>
      </c>
      <c r="F30" s="309"/>
      <c r="G30" s="309"/>
      <c r="H30" s="309"/>
      <c r="I30" s="309"/>
      <c r="J30" s="2026"/>
      <c r="K30" s="1255" t="str">
        <f ca="1">IF(K29="——","——","大写金额：人民币"&amp;NUMBERSTRING(INT(O39*10000),2)&amp;"元整")</f>
        <v>大写金额：人民币捌亿叁仟柒佰贰拾玖万元整</v>
      </c>
      <c r="L30" s="1249"/>
      <c r="M30" s="1249"/>
      <c r="N30" s="1249"/>
      <c r="O30" s="1248"/>
      <c r="P30" s="2026"/>
      <c r="V30" s="2026"/>
    </row>
    <row r="31" spans="1:26" ht="24" customHeight="1" thickBot="1">
      <c r="A31" s="309"/>
      <c r="B31" s="309"/>
      <c r="C31" s="309"/>
      <c r="D31" s="309"/>
      <c r="E31" s="309"/>
      <c r="F31" s="309"/>
      <c r="G31" s="309"/>
      <c r="H31" s="309"/>
      <c r="I31" s="309"/>
      <c r="J31" s="2026"/>
      <c r="K31" s="2490" t="str">
        <f>IF(项目基本情况!E8="抵押价格","——","抵押担保权已注销时的抵押价格："&amp;O40&amp;"万元")</f>
        <v>——</v>
      </c>
      <c r="L31" s="2486"/>
      <c r="M31" s="2486"/>
      <c r="N31" s="2486"/>
      <c r="O31" s="2487"/>
      <c r="P31" s="2026"/>
      <c r="V31" s="2026"/>
    </row>
    <row r="32" spans="1:26" ht="18.75" thickBot="1">
      <c r="A32" s="266" t="s">
        <v>337</v>
      </c>
      <c r="B32" s="1379" t="s">
        <v>1688</v>
      </c>
      <c r="C32" s="1380">
        <f ca="1">G19-C24</f>
        <v>83729</v>
      </c>
      <c r="D32" s="1381" t="s">
        <v>1689</v>
      </c>
      <c r="E32" s="309"/>
      <c r="F32" s="309"/>
      <c r="G32" s="309"/>
      <c r="H32" s="309"/>
      <c r="I32" s="309"/>
      <c r="J32" s="2026"/>
      <c r="K32" s="2485" t="str">
        <f>IF(K31="——","——","大写金额：人民币"&amp;NUMBERSTRING(INT(O40*10000),2)&amp;"元整")</f>
        <v>——</v>
      </c>
      <c r="L32" s="2488"/>
      <c r="M32" s="2488"/>
      <c r="N32" s="2488"/>
      <c r="O32" s="2489"/>
      <c r="P32" s="2026"/>
      <c r="V32" s="2026"/>
    </row>
    <row r="33" spans="1:26" ht="18.75" thickBot="1">
      <c r="A33" s="296" t="s">
        <v>340</v>
      </c>
      <c r="B33" s="1382" t="s">
        <v>1690</v>
      </c>
      <c r="C33" s="262">
        <f ca="1">ROUND(C32*10000/'数据-汇总表'!E3,0)</f>
        <v>4367</v>
      </c>
      <c r="D33" s="1383" t="s">
        <v>1691</v>
      </c>
      <c r="E33" s="3321" t="s">
        <v>338</v>
      </c>
      <c r="F33" s="294" t="s">
        <v>339</v>
      </c>
      <c r="G33" s="295"/>
      <c r="H33" s="977"/>
      <c r="I33" s="1256"/>
      <c r="J33" s="2026"/>
      <c r="K33" s="1255" t="str">
        <f>IF(项目基本情况!E9="——","——","抵押净值："&amp;C46&amp;"万元")</f>
        <v>——</v>
      </c>
      <c r="L33" s="1249"/>
      <c r="M33" s="1249"/>
      <c r="N33" s="1249"/>
      <c r="O33" s="1248"/>
      <c r="P33" s="2026"/>
      <c r="V33" s="2026"/>
    </row>
    <row r="34" spans="1:26" s="1251" customFormat="1" ht="18.75" thickBot="1">
      <c r="A34" s="298"/>
      <c r="B34" s="1384" t="s">
        <v>1692</v>
      </c>
      <c r="C34" s="262">
        <f ca="1">ROUND(C32*10000/'数据-汇总表'!D3,0)</f>
        <v>11170</v>
      </c>
      <c r="D34" s="1385" t="s">
        <v>1691</v>
      </c>
      <c r="E34" s="3322"/>
      <c r="F34" s="127" t="s">
        <v>341</v>
      </c>
      <c r="G34" s="297"/>
      <c r="H34" s="105"/>
      <c r="I34" s="309"/>
      <c r="J34" s="2026"/>
      <c r="K34" s="1258" t="str">
        <f>IF(K33="——","——","大写金额：人民币"&amp;NUMBERSTRING(INT(O41*10000),2)&amp;"元整")</f>
        <v>——</v>
      </c>
      <c r="L34" s="1259"/>
      <c r="M34" s="1259"/>
      <c r="N34" s="1259"/>
      <c r="O34" s="1260"/>
      <c r="P34" s="2026"/>
      <c r="Q34" s="290"/>
      <c r="R34" s="290"/>
      <c r="S34" s="290"/>
      <c r="T34" s="290"/>
      <c r="U34" s="290"/>
      <c r="V34" s="2026"/>
      <c r="W34" s="290"/>
      <c r="X34" s="290"/>
      <c r="Y34" s="290"/>
      <c r="Z34" s="290"/>
    </row>
    <row r="35" spans="1:26" ht="15.75" thickBot="1">
      <c r="A35" s="282"/>
      <c r="B35" s="1386"/>
      <c r="C35" s="1387">
        <f ca="1">ROUND(C32/('数据-汇总表'!D3/666.67),0)</f>
        <v>745</v>
      </c>
      <c r="D35" s="1388" t="s">
        <v>1693</v>
      </c>
      <c r="E35" s="3323"/>
      <c r="F35" s="299" t="s">
        <v>342</v>
      </c>
      <c r="G35" s="979"/>
      <c r="H35" s="978" t="s">
        <v>343</v>
      </c>
      <c r="I35" s="309"/>
      <c r="J35" s="2026"/>
      <c r="K35" s="3327" t="s">
        <v>350</v>
      </c>
      <c r="L35" s="3327" t="s">
        <v>351</v>
      </c>
      <c r="M35" s="1261" t="s">
        <v>352</v>
      </c>
      <c r="N35" s="3327" t="s">
        <v>353</v>
      </c>
      <c r="O35" s="3327" t="s">
        <v>354</v>
      </c>
      <c r="P35" s="2026"/>
      <c r="V35" s="2026"/>
    </row>
    <row r="36" spans="1:26" ht="16.5" customHeight="1">
      <c r="A36" s="301" t="s">
        <v>344</v>
      </c>
      <c r="B36" s="302" t="s">
        <v>333</v>
      </c>
      <c r="C36" s="303" t="s">
        <v>345</v>
      </c>
      <c r="D36" s="303" t="s">
        <v>346</v>
      </c>
      <c r="E36" s="304" t="s">
        <v>347</v>
      </c>
      <c r="F36" s="309"/>
      <c r="G36" s="309"/>
      <c r="H36" s="309"/>
      <c r="I36" s="309"/>
      <c r="J36" s="2028"/>
      <c r="K36" s="3328"/>
      <c r="L36" s="3328"/>
      <c r="M36" s="1263" t="s">
        <v>355</v>
      </c>
      <c r="N36" s="3328"/>
      <c r="O36" s="3328"/>
      <c r="P36" s="2026"/>
      <c r="V36" s="2026"/>
    </row>
    <row r="37" spans="1:26" ht="16.5" customHeight="1" thickBot="1">
      <c r="A37" s="1257" t="s">
        <v>348</v>
      </c>
      <c r="B37" s="305"/>
      <c r="C37" s="292"/>
      <c r="D37" s="292"/>
      <c r="E37" s="293"/>
      <c r="F37" s="309"/>
      <c r="G37" s="309"/>
      <c r="H37" s="309"/>
      <c r="I37" s="309"/>
      <c r="J37" s="2028"/>
      <c r="K37" s="3329"/>
      <c r="L37" s="3329"/>
      <c r="M37" s="1264"/>
      <c r="N37" s="3329"/>
      <c r="O37" s="3329"/>
      <c r="P37" s="2026"/>
      <c r="V37" s="2026"/>
    </row>
    <row r="38" spans="1:26" ht="16.5" customHeight="1" thickBot="1">
      <c r="A38" s="1257" t="s">
        <v>349</v>
      </c>
      <c r="B38" s="305"/>
      <c r="C38" s="292"/>
      <c r="D38" s="292"/>
      <c r="E38" s="293"/>
      <c r="F38" s="309"/>
      <c r="G38" s="309"/>
      <c r="H38" s="309"/>
      <c r="I38" s="309"/>
      <c r="J38" s="2028"/>
      <c r="K38" s="1265">
        <f>'数据-汇总表'!D3</f>
        <v>74959</v>
      </c>
      <c r="L38" s="1266">
        <f>'数据-汇总表'!E3</f>
        <v>191725</v>
      </c>
      <c r="M38" s="1266">
        <f ca="1">C34</f>
        <v>11170</v>
      </c>
      <c r="N38" s="1266">
        <f ca="1">C33</f>
        <v>4367</v>
      </c>
      <c r="O38" s="1267">
        <f ca="1">C32</f>
        <v>83729</v>
      </c>
      <c r="P38" s="2026"/>
      <c r="V38" s="2026"/>
    </row>
    <row r="39" spans="1:26" ht="16.5" customHeight="1" thickBot="1">
      <c r="A39" s="1262"/>
      <c r="B39" s="306"/>
      <c r="C39" s="307"/>
      <c r="D39" s="307"/>
      <c r="E39" s="308"/>
      <c r="F39" s="309"/>
      <c r="G39" s="309"/>
      <c r="H39" s="309"/>
      <c r="I39" s="309"/>
      <c r="J39" s="2028"/>
      <c r="K39" s="3304" t="str">
        <f>MID(A44,3,LEN(A44)-2)</f>
        <v>抵押价格</v>
      </c>
      <c r="L39" s="3305"/>
      <c r="M39" s="3305"/>
      <c r="N39" s="3306"/>
      <c r="O39" s="1390">
        <f ca="1">C44</f>
        <v>83729</v>
      </c>
      <c r="P39" s="2026"/>
      <c r="V39" s="2026"/>
    </row>
    <row r="40" spans="1:26" ht="19.5" thickBot="1">
      <c r="A40" s="104" t="s">
        <v>872</v>
      </c>
      <c r="B40" s="309"/>
      <c r="C40" s="309"/>
      <c r="D40" s="309"/>
      <c r="E40" s="309"/>
      <c r="F40" s="309"/>
      <c r="G40" s="309"/>
      <c r="H40" s="309"/>
      <c r="I40" s="309"/>
      <c r="J40" s="2028"/>
      <c r="K40" s="3304" t="str">
        <f t="shared" ref="K40:K41" si="0">MID(A45,3,LEN(A45)-2)</f>
        <v/>
      </c>
      <c r="L40" s="3305"/>
      <c r="M40" s="3305"/>
      <c r="N40" s="3306"/>
      <c r="O40" s="1390" t="str">
        <f>C45</f>
        <v>——</v>
      </c>
      <c r="P40" s="2026"/>
      <c r="V40" s="2026"/>
    </row>
    <row r="41" spans="1:26" ht="16.5" thickBot="1">
      <c r="A41" s="310" t="s">
        <v>356</v>
      </c>
      <c r="B41" s="311"/>
      <c r="C41" s="312" t="s">
        <v>357</v>
      </c>
      <c r="D41" s="313" t="s">
        <v>358</v>
      </c>
      <c r="E41" s="313" t="s">
        <v>359</v>
      </c>
      <c r="F41" s="314" t="s">
        <v>360</v>
      </c>
      <c r="G41" s="309"/>
      <c r="H41" s="309"/>
      <c r="I41" s="309"/>
      <c r="J41" s="2028"/>
      <c r="K41" s="3304" t="str">
        <f t="shared" si="0"/>
        <v/>
      </c>
      <c r="L41" s="3305"/>
      <c r="M41" s="3305"/>
      <c r="N41" s="3306"/>
      <c r="O41" s="1390" t="str">
        <f>C46</f>
        <v>——</v>
      </c>
      <c r="P41" s="2026"/>
      <c r="V41" s="2026"/>
    </row>
    <row r="42" spans="1:26" ht="29.25">
      <c r="A42" s="3364" t="s">
        <v>2067</v>
      </c>
      <c r="B42" s="3365"/>
      <c r="C42" s="262">
        <f ca="1">C32</f>
        <v>83729</v>
      </c>
      <c r="D42" s="315">
        <f ca="1">C33</f>
        <v>4367</v>
      </c>
      <c r="E42" s="315">
        <f ca="1">C34</f>
        <v>11170</v>
      </c>
      <c r="F42" s="316">
        <f ca="1">C35</f>
        <v>745</v>
      </c>
      <c r="G42" s="309"/>
      <c r="H42" s="309"/>
      <c r="I42" s="317"/>
      <c r="J42" s="2028"/>
      <c r="K42" s="1268" t="s">
        <v>361</v>
      </c>
      <c r="L42" s="2045" t="s">
        <v>362</v>
      </c>
      <c r="M42" s="1269" t="s">
        <v>363</v>
      </c>
      <c r="N42" s="2046" t="s">
        <v>364</v>
      </c>
      <c r="O42" s="2047" t="s">
        <v>365</v>
      </c>
      <c r="P42" s="2026"/>
      <c r="V42" s="2026"/>
    </row>
    <row r="43" spans="1:26" ht="30">
      <c r="A43" s="3374" t="s">
        <v>2731</v>
      </c>
      <c r="B43" s="3375"/>
      <c r="C43" s="262">
        <f>IF(H33="正常操作",G33+G34+G35,G34+G35)</f>
        <v>0</v>
      </c>
      <c r="D43" s="315" t="s">
        <v>43</v>
      </c>
      <c r="E43" s="315" t="s">
        <v>44</v>
      </c>
      <c r="F43" s="316" t="s">
        <v>44</v>
      </c>
      <c r="G43" s="2888" t="s">
        <v>951</v>
      </c>
      <c r="H43" s="309"/>
      <c r="I43" s="317"/>
      <c r="J43" s="2028"/>
      <c r="K43" s="1270" t="str">
        <f>C4</f>
        <v>比较法-住宅、综合</v>
      </c>
      <c r="L43" s="1271">
        <f ca="1">IF(L42="估价结果/万元",C19,C20)</f>
        <v>89051</v>
      </c>
      <c r="M43" s="1272">
        <f>C18</f>
        <v>0.5</v>
      </c>
      <c r="N43" s="1273">
        <f ca="1">IF(N42="测算结果/万元",G19,G20)</f>
        <v>83729</v>
      </c>
      <c r="O43" s="1274">
        <f ca="1">IF(O42="最终结果/万元",C32,C33)</f>
        <v>83729</v>
      </c>
      <c r="P43" s="2026"/>
      <c r="V43" s="2026"/>
    </row>
    <row r="44" spans="1:26" ht="30.75" thickBot="1">
      <c r="A44" s="3364" t="str">
        <f>IF(OR(项目基本情况!E8="抵押价格",项目基本情况!E8="已注销及未注销"),"3.抵押价格","——")</f>
        <v>3.抵押价格</v>
      </c>
      <c r="B44" s="3365"/>
      <c r="C44" s="262">
        <f ca="1">IF(A44="——","——",C42-C43)</f>
        <v>83729</v>
      </c>
      <c r="D44" s="315">
        <f ca="1">ROUND(C44*10000/'数据-汇总表'!E3,0)</f>
        <v>4367</v>
      </c>
      <c r="E44" s="315">
        <f ca="1">ROUND(C44*10000/'数据-汇总表'!D3,0)</f>
        <v>11170</v>
      </c>
      <c r="F44" s="316">
        <f ca="1">ROUND(C44/('数据-汇总表'!D3/666.67),0)</f>
        <v>745</v>
      </c>
      <c r="G44" s="309"/>
      <c r="H44" s="309"/>
      <c r="I44" s="317"/>
      <c r="J44" s="2028"/>
      <c r="K44" s="1275" t="str">
        <f>D4</f>
        <v>剩余法-待开发</v>
      </c>
      <c r="L44" s="1276">
        <f ca="1">IF(L42="估价结果/万元",D19,D20)</f>
        <v>78407</v>
      </c>
      <c r="M44" s="1277">
        <f>D18</f>
        <v>0.5</v>
      </c>
      <c r="N44" s="1278"/>
      <c r="O44" s="1279"/>
      <c r="P44" s="2026"/>
      <c r="V44" s="2026"/>
    </row>
    <row r="45" spans="1:26" ht="15">
      <c r="A45" s="3369" t="str">
        <f>IF(项目基本情况!E8="已注销及未注销","4.抵押担保权已注销时的抵押价格",IF(项目基本情况!E8="已注销","3.抵押担保权已注销时的抵押价格","——"))</f>
        <v>——</v>
      </c>
      <c r="B45" s="3370"/>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66" t="str">
        <f>IF(项目基本情况!E9="抵押净值",IF(A45="——","4.抵押净值","5.抵押净值"),"——")</f>
        <v>——</v>
      </c>
      <c r="B46" s="3367"/>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0"/>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32" t="s">
        <v>374</v>
      </c>
      <c r="B63" s="3333"/>
      <c r="C63" s="3334"/>
      <c r="D63" s="339">
        <f ca="1">ROUND(C42*F63,0)</f>
        <v>50237</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71" t="s">
        <v>378</v>
      </c>
      <c r="B64" s="3372"/>
      <c r="C64" s="3372"/>
      <c r="D64" s="3372"/>
      <c r="E64" s="3372"/>
      <c r="F64" s="3372"/>
      <c r="G64" s="3373"/>
      <c r="H64" s="1285"/>
      <c r="I64" s="945"/>
      <c r="J64" s="1988"/>
      <c r="K64" s="1559"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5"/>
      <c r="I65" s="945"/>
      <c r="J65" s="1988"/>
      <c r="K65" s="1286"/>
      <c r="L65" s="1287"/>
      <c r="M65" s="1287"/>
      <c r="N65" s="1319" t="s">
        <v>379</v>
      </c>
      <c r="O65" s="1320"/>
      <c r="P65" s="1321"/>
      <c r="Q65" s="2026"/>
      <c r="R65" s="2026"/>
      <c r="S65" s="2026"/>
      <c r="T65" s="2026"/>
      <c r="U65" s="2026"/>
      <c r="V65" s="2026"/>
    </row>
    <row r="66" spans="1:22" ht="25.5">
      <c r="A66" s="3368" t="s">
        <v>386</v>
      </c>
      <c r="B66" s="3339"/>
      <c r="C66" s="3339"/>
      <c r="D66" s="259">
        <f ca="1">IF(H66="情况1",0,IF(H66="情况2",D70,IF(H66="情况3",D71,IF(H66="情况4",D72))))</f>
        <v>2631</v>
      </c>
      <c r="E66" s="990" t="str">
        <f>IF(H66="情况4","(销售额-原购置价)×税（费）率","销售额×税（费）率")</f>
        <v>销售额×税（费）率</v>
      </c>
      <c r="F66" s="348">
        <f>IF(H66="情况1","免征",'数据-取费表'!B41)</f>
        <v>5.5000000000000007E-2</v>
      </c>
      <c r="G66" s="349" t="s">
        <v>387</v>
      </c>
      <c r="H66" s="191" t="s">
        <v>388</v>
      </c>
      <c r="I66" s="1285"/>
      <c r="J66" s="2032"/>
      <c r="K66" s="1288">
        <v>1</v>
      </c>
      <c r="L66" s="3308" t="s">
        <v>385</v>
      </c>
      <c r="M66" s="3309"/>
      <c r="N66" s="2480"/>
      <c r="O66" s="2481"/>
      <c r="P66" s="2482"/>
      <c r="Q66" s="2026"/>
      <c r="R66" s="2026"/>
      <c r="S66" s="2026"/>
      <c r="T66" s="2026"/>
      <c r="U66" s="2026"/>
      <c r="V66" s="2026"/>
    </row>
    <row r="67" spans="1:22" ht="25.5" customHeight="1">
      <c r="A67" s="350" t="s">
        <v>390</v>
      </c>
      <c r="B67" s="3351" t="s">
        <v>391</v>
      </c>
      <c r="C67" s="3351"/>
      <c r="D67" s="351">
        <v>0</v>
      </c>
      <c r="E67" s="41" t="s">
        <v>392</v>
      </c>
      <c r="F67" s="62" t="s">
        <v>21</v>
      </c>
      <c r="G67" s="3335"/>
      <c r="H67" s="309"/>
      <c r="I67" s="1289"/>
      <c r="J67" s="2033"/>
      <c r="K67" s="1974">
        <v>2</v>
      </c>
      <c r="L67" s="3307" t="s">
        <v>389</v>
      </c>
      <c r="M67" s="3307"/>
      <c r="N67" s="1322">
        <f>'数据-取费表'!B2</f>
        <v>43239</v>
      </c>
      <c r="O67" s="1322"/>
      <c r="P67" s="1322"/>
      <c r="Q67" s="2026"/>
      <c r="R67" s="2026"/>
      <c r="S67" s="2026"/>
      <c r="T67" s="2026"/>
      <c r="U67" s="2026"/>
      <c r="V67" s="2026"/>
    </row>
    <row r="68" spans="1:22" ht="25.5" customHeight="1">
      <c r="A68" s="352"/>
      <c r="B68" s="3351" t="s">
        <v>394</v>
      </c>
      <c r="C68" s="3351"/>
      <c r="D68" s="353"/>
      <c r="E68" s="77"/>
      <c r="F68" s="354"/>
      <c r="G68" s="3336"/>
      <c r="H68" s="309"/>
      <c r="I68" s="1289"/>
      <c r="J68" s="2033"/>
      <c r="K68" s="1974">
        <v>3</v>
      </c>
      <c r="L68" s="3307" t="s">
        <v>393</v>
      </c>
      <c r="M68" s="3307"/>
      <c r="N68" s="1290">
        <f ca="1">C42</f>
        <v>83729</v>
      </c>
      <c r="O68" s="1290"/>
      <c r="P68" s="1290"/>
      <c r="Q68" s="2026"/>
      <c r="R68" s="2026"/>
      <c r="S68" s="2026"/>
      <c r="T68" s="2026"/>
      <c r="U68" s="2026"/>
      <c r="V68" s="2026"/>
    </row>
    <row r="69" spans="1:22" ht="12" customHeight="1">
      <c r="A69" s="355"/>
      <c r="B69" s="3351" t="s">
        <v>395</v>
      </c>
      <c r="C69" s="3351"/>
      <c r="D69" s="356"/>
      <c r="E69" s="73"/>
      <c r="F69" s="354"/>
      <c r="G69" s="3337"/>
      <c r="H69" s="309"/>
      <c r="I69" s="1289"/>
      <c r="J69" s="2033"/>
      <c r="K69" s="1291">
        <v>4</v>
      </c>
      <c r="L69" s="3313" t="s">
        <v>2884</v>
      </c>
      <c r="M69" s="3314"/>
      <c r="N69" s="1292">
        <f ca="1">C44</f>
        <v>83729</v>
      </c>
      <c r="O69" s="1292"/>
      <c r="P69" s="1292"/>
      <c r="Q69" s="2026"/>
      <c r="R69" s="2026"/>
      <c r="S69" s="2026"/>
      <c r="T69" s="2026"/>
      <c r="U69" s="2026"/>
      <c r="V69" s="2026"/>
    </row>
    <row r="70" spans="1:22" ht="24" customHeight="1">
      <c r="A70" s="357" t="s">
        <v>396</v>
      </c>
      <c r="B70" s="3351" t="s">
        <v>397</v>
      </c>
      <c r="C70" s="3351"/>
      <c r="D70" s="356">
        <f ca="1">ROUND(D63*'数据-取费表'!B41/(1+'数据-取费表'!C42),0)</f>
        <v>2631</v>
      </c>
      <c r="E70" s="17" t="s">
        <v>398</v>
      </c>
      <c r="F70" s="358">
        <f>'数据-取费表'!B41</f>
        <v>5.5000000000000007E-2</v>
      </c>
      <c r="G70" s="359"/>
      <c r="H70" s="309"/>
      <c r="I70" s="1289"/>
      <c r="J70" s="2033"/>
      <c r="K70" s="3083"/>
      <c r="L70" s="3084"/>
      <c r="M70" s="3084"/>
      <c r="N70" s="3085" t="s">
        <v>2889</v>
      </c>
      <c r="O70" s="3084"/>
      <c r="P70" s="3086"/>
      <c r="Q70" s="2026"/>
      <c r="R70" s="2026"/>
      <c r="S70" s="2026"/>
      <c r="T70" s="2026"/>
      <c r="U70" s="2026"/>
      <c r="V70" s="2026"/>
    </row>
    <row r="71" spans="1:22" ht="12" customHeight="1">
      <c r="A71" s="357" t="s">
        <v>404</v>
      </c>
      <c r="B71" s="3350" t="s">
        <v>405</v>
      </c>
      <c r="C71" s="3362"/>
      <c r="D71" s="356">
        <f ca="1">ROUND(D63*'数据-取费表'!B41/(1+'数据-取费表'!C42),0)</f>
        <v>2631</v>
      </c>
      <c r="E71" s="17" t="s">
        <v>398</v>
      </c>
      <c r="F71" s="358">
        <f>'数据-取费表'!B41</f>
        <v>5.5000000000000007E-2</v>
      </c>
      <c r="G71" s="359"/>
      <c r="H71" s="309"/>
      <c r="I71" s="1289"/>
      <c r="J71" s="2033"/>
      <c r="K71" s="3082" t="s">
        <v>399</v>
      </c>
      <c r="L71" s="3315" t="s">
        <v>400</v>
      </c>
      <c r="M71" s="3315"/>
      <c r="N71" s="3082" t="s">
        <v>401</v>
      </c>
      <c r="O71" s="3082" t="s">
        <v>402</v>
      </c>
      <c r="P71" s="3082" t="s">
        <v>403</v>
      </c>
      <c r="Q71" s="2026"/>
      <c r="R71" s="2026"/>
      <c r="S71" s="2026"/>
      <c r="T71" s="2026"/>
      <c r="U71" s="2026"/>
      <c r="V71" s="2026"/>
    </row>
    <row r="72" spans="1:22" ht="12" customHeight="1">
      <c r="A72" s="357" t="s">
        <v>407</v>
      </c>
      <c r="B72" s="3350" t="s">
        <v>408</v>
      </c>
      <c r="C72" s="3362"/>
      <c r="D72" s="356">
        <f ca="1">C86</f>
        <v>2521</v>
      </c>
      <c r="E72" s="73" t="s">
        <v>409</v>
      </c>
      <c r="F72" s="358">
        <f>'数据-取费表'!B41</f>
        <v>5.5000000000000007E-2</v>
      </c>
      <c r="G72" s="359"/>
      <c r="H72" s="1295"/>
      <c r="I72" s="1289"/>
      <c r="J72" s="2033"/>
      <c r="K72" s="1974">
        <v>1</v>
      </c>
      <c r="L72" s="3312" t="s">
        <v>406</v>
      </c>
      <c r="M72" s="3312"/>
      <c r="N72" s="1293">
        <f ca="1">D66</f>
        <v>2631</v>
      </c>
      <c r="O72" s="1857" t="str">
        <f>E66</f>
        <v>销售额×税（费）率</v>
      </c>
      <c r="P72" s="1294">
        <f>F66</f>
        <v>5.5000000000000007E-2</v>
      </c>
      <c r="Q72" s="2026"/>
      <c r="R72" s="2026"/>
      <c r="S72" s="2026"/>
      <c r="T72" s="2026"/>
      <c r="U72" s="2026"/>
      <c r="V72" s="2026"/>
    </row>
    <row r="73" spans="1:22" ht="24" customHeight="1">
      <c r="A73" s="3338" t="s">
        <v>411</v>
      </c>
      <c r="B73" s="3339"/>
      <c r="C73" s="3339"/>
      <c r="D73" s="360">
        <f>IF(H73="个人住宅",0,ROUND(D63*I73,0))</f>
        <v>0</v>
      </c>
      <c r="E73" s="17" t="s">
        <v>412</v>
      </c>
      <c r="F73" s="358" t="str">
        <f>IF(H73="正常",I73,"免征")</f>
        <v>免征</v>
      </c>
      <c r="G73" s="359"/>
      <c r="H73" s="191" t="s">
        <v>2456</v>
      </c>
      <c r="I73" s="358">
        <f>'数据-取费表'!B49</f>
        <v>5.0000000000000001E-4</v>
      </c>
      <c r="J73" s="2033"/>
      <c r="K73" s="1974">
        <v>2</v>
      </c>
      <c r="L73" s="3312" t="s">
        <v>410</v>
      </c>
      <c r="M73" s="3312"/>
      <c r="N73" s="1293">
        <f t="shared" ref="N73:P74" si="1">D73</f>
        <v>0</v>
      </c>
      <c r="O73" s="1857" t="str">
        <f t="shared" si="1"/>
        <v>销售额×税（费）率</v>
      </c>
      <c r="P73" s="1294" t="str">
        <f t="shared" si="1"/>
        <v>免征</v>
      </c>
      <c r="Q73" s="2026"/>
      <c r="R73" s="2026"/>
      <c r="S73" s="2026"/>
      <c r="T73" s="2026"/>
      <c r="U73" s="2026"/>
      <c r="V73" s="2026"/>
    </row>
    <row r="74" spans="1:22" ht="24.75">
      <c r="A74" s="3338" t="s">
        <v>415</v>
      </c>
      <c r="B74" s="3339"/>
      <c r="C74" s="3339"/>
      <c r="D74" s="360">
        <f ca="1">IF(H74="个人住宅",D75,D76)</f>
        <v>27824</v>
      </c>
      <c r="E74" s="17" t="s">
        <v>416</v>
      </c>
      <c r="F74" s="358" t="str">
        <f>IF(H74="正常",F76,"免征")</f>
        <v>——</v>
      </c>
      <c r="G74" s="980" t="s">
        <v>417</v>
      </c>
      <c r="H74" s="361" t="s">
        <v>413</v>
      </c>
      <c r="I74" s="42"/>
      <c r="J74" s="2033"/>
      <c r="K74" s="1974">
        <v>3</v>
      </c>
      <c r="L74" s="3312" t="s">
        <v>414</v>
      </c>
      <c r="M74" s="3312"/>
      <c r="N74" s="1293">
        <f t="shared" ca="1" si="1"/>
        <v>27824</v>
      </c>
      <c r="O74" s="1857" t="str">
        <f t="shared" si="1"/>
        <v>增值额×税（费）率</v>
      </c>
      <c r="P74" s="1296" t="str">
        <f t="shared" si="1"/>
        <v>——</v>
      </c>
      <c r="Q74" s="2026"/>
      <c r="R74" s="2026"/>
      <c r="S74" s="2026"/>
      <c r="T74" s="2026"/>
      <c r="U74" s="2026"/>
      <c r="V74" s="2026"/>
    </row>
    <row r="75" spans="1:22" ht="24">
      <c r="A75" s="357" t="s">
        <v>418</v>
      </c>
      <c r="B75" s="3319" t="s">
        <v>419</v>
      </c>
      <c r="C75" s="3320"/>
      <c r="D75" s="362">
        <v>0</v>
      </c>
      <c r="E75" s="41" t="s">
        <v>420</v>
      </c>
      <c r="F75" s="363"/>
      <c r="G75" s="359"/>
      <c r="H75" s="42"/>
      <c r="I75" s="42"/>
      <c r="J75" s="2033"/>
      <c r="K75" s="3075">
        <f>IF(H77="非个人房产","",4)</f>
        <v>4</v>
      </c>
      <c r="L75" s="3312" t="str">
        <f>IF(H77="非个人房产","——","个人所得税")</f>
        <v>个人所得税</v>
      </c>
      <c r="M75" s="3312"/>
      <c r="N75" s="1297">
        <f ca="1">D77</f>
        <v>502</v>
      </c>
      <c r="O75" s="1870" t="str">
        <f>E77</f>
        <v>销售额×税（费）率</v>
      </c>
      <c r="P75" s="1298">
        <f>F77</f>
        <v>0.01</v>
      </c>
      <c r="Q75" s="2026"/>
      <c r="R75" s="2026"/>
      <c r="S75" s="2026"/>
      <c r="T75" s="2026"/>
      <c r="U75" s="2026"/>
      <c r="V75" s="2026"/>
    </row>
    <row r="76" spans="1:22" ht="24.75">
      <c r="A76" s="357" t="s">
        <v>396</v>
      </c>
      <c r="B76" s="3319" t="s">
        <v>422</v>
      </c>
      <c r="C76" s="3361"/>
      <c r="D76" s="360">
        <f ca="1">IF(H76="转让取得",C99,C115)</f>
        <v>27824</v>
      </c>
      <c r="E76" s="17" t="s">
        <v>423</v>
      </c>
      <c r="F76" s="53" t="s">
        <v>21</v>
      </c>
      <c r="G76" s="359"/>
      <c r="H76" s="361" t="s">
        <v>424</v>
      </c>
      <c r="I76" s="42"/>
      <c r="J76" s="2033"/>
      <c r="K76" s="3075" t="str">
        <f>IF(项目基本情况!K6="上海银行",IF(K75="",4,K75+1),"")</f>
        <v/>
      </c>
      <c r="L76" s="3300" t="str">
        <f>IF(项目基本情况!K6="上海银行","其他处置费用","")</f>
        <v/>
      </c>
      <c r="M76" s="3301"/>
      <c r="N76" s="1293" t="str">
        <f>IF(项目基本情况!K6="上海银行",N89,"")</f>
        <v/>
      </c>
      <c r="O76" s="3302" t="str">
        <f>IF(项目基本情况!K6="上海银行","包含处置中涉及的律师、诉讼、拍卖、评估等费用","")</f>
        <v/>
      </c>
      <c r="P76" s="3303"/>
      <c r="Q76" s="2026"/>
      <c r="R76" s="2026"/>
      <c r="S76" s="2026"/>
      <c r="T76" s="2026"/>
      <c r="U76" s="2026"/>
      <c r="V76" s="2026"/>
    </row>
    <row r="77" spans="1:22" ht="26.25" thickBot="1">
      <c r="A77" s="3330" t="s">
        <v>426</v>
      </c>
      <c r="B77" s="3331"/>
      <c r="C77" s="3331"/>
      <c r="D77" s="364">
        <f ca="1">IF(H77="非个人房产","——",IF(H77="个人住宅",0,ROUND(D63*I77,0)))</f>
        <v>502</v>
      </c>
      <c r="E77" s="365" t="str">
        <f>IF(H77="非个人房产","——","销售额×税（费）率")</f>
        <v>销售额×税（费）率</v>
      </c>
      <c r="F77" s="366">
        <f>IF(H77="非个人房产","——",IF(H77="个人住宅","免征",I77))</f>
        <v>0.01</v>
      </c>
      <c r="G77" s="981" t="s">
        <v>417</v>
      </c>
      <c r="H77" s="361" t="s">
        <v>2885</v>
      </c>
      <c r="I77" s="367">
        <v>0.01</v>
      </c>
      <c r="J77" s="2033"/>
      <c r="K77" s="3326">
        <f>IF(AND(K75="",K76=""),4,IF(项目基本情况!K6="上海银行",K76+1,K75+1))</f>
        <v>5</v>
      </c>
      <c r="L77" s="3312" t="s">
        <v>2886</v>
      </c>
      <c r="M77" s="3081" t="s">
        <v>421</v>
      </c>
      <c r="N77" s="1299"/>
      <c r="O77" s="1300">
        <f ca="1">SUMIF(N72:N76,"&lt;9e307")</f>
        <v>30957</v>
      </c>
      <c r="P77" s="1301"/>
      <c r="Q77" s="3079">
        <f ca="1">O77/N69</f>
        <v>0.3697285289445712</v>
      </c>
      <c r="R77" s="2026"/>
      <c r="S77" s="2026"/>
      <c r="T77" s="2026"/>
      <c r="U77" s="2026"/>
      <c r="V77" s="2026"/>
    </row>
    <row r="78" spans="1:22" ht="12" customHeight="1">
      <c r="A78" s="1302"/>
      <c r="B78" s="309"/>
      <c r="C78" s="309"/>
      <c r="D78" s="309"/>
      <c r="E78" s="42"/>
      <c r="F78" s="42"/>
      <c r="G78" s="42"/>
      <c r="H78" s="1000"/>
      <c r="I78" s="309"/>
      <c r="J78" s="2033"/>
      <c r="K78" s="3326"/>
      <c r="L78" s="3312"/>
      <c r="M78" s="3081" t="s">
        <v>425</v>
      </c>
      <c r="N78" s="1299"/>
      <c r="O78" s="1300" t="str">
        <f ca="1">NUMBERSTRING(INT(O77*10000),2)&amp;"元整"</f>
        <v>叁亿零玖佰伍拾柒万元整</v>
      </c>
      <c r="P78" s="1301"/>
      <c r="Q78" s="2026"/>
      <c r="R78" s="2026"/>
      <c r="S78" s="2026"/>
      <c r="T78" s="2026"/>
      <c r="U78" s="2026"/>
      <c r="V78" s="2026"/>
    </row>
    <row r="79" spans="1:22" ht="13.5" thickBot="1">
      <c r="A79" s="3316" t="s">
        <v>427</v>
      </c>
      <c r="B79" s="3316"/>
      <c r="C79" s="3316"/>
      <c r="D79" s="3316"/>
      <c r="E79" s="3316"/>
      <c r="F79" s="42"/>
      <c r="G79" s="42"/>
      <c r="H79" s="1000"/>
      <c r="I79" s="309"/>
      <c r="J79" s="2033"/>
      <c r="K79" s="3310">
        <f>K77+1</f>
        <v>6</v>
      </c>
      <c r="L79" s="3312" t="s">
        <v>2887</v>
      </c>
      <c r="M79" s="3081" t="s">
        <v>421</v>
      </c>
      <c r="N79" s="1299"/>
      <c r="O79" s="1300">
        <f ca="1">N69-O77</f>
        <v>52772</v>
      </c>
      <c r="P79" s="1301"/>
      <c r="Q79" s="2026"/>
      <c r="R79" s="2026"/>
      <c r="S79" s="2026"/>
      <c r="T79" s="2026"/>
      <c r="U79" s="2026"/>
      <c r="V79" s="2026"/>
    </row>
    <row r="80" spans="1:22" ht="25.5">
      <c r="A80" s="3317" t="s">
        <v>428</v>
      </c>
      <c r="B80" s="3318"/>
      <c r="C80" s="991"/>
      <c r="D80" s="991" t="s">
        <v>429</v>
      </c>
      <c r="E80" s="368" t="s">
        <v>430</v>
      </c>
      <c r="F80" s="42"/>
      <c r="G80" s="42"/>
      <c r="H80" s="1000"/>
      <c r="I80" s="309"/>
      <c r="J80" s="2026"/>
      <c r="K80" s="3311"/>
      <c r="L80" s="3312"/>
      <c r="M80" s="3081" t="s">
        <v>425</v>
      </c>
      <c r="N80" s="1299"/>
      <c r="O80" s="1300" t="str">
        <f ca="1">NUMBERSTRING(INT(O79*10000),2)&amp;"元整"</f>
        <v>伍亿贰仟柒佰柒拾贰万元整</v>
      </c>
      <c r="P80" s="1301"/>
      <c r="Q80" s="2026"/>
      <c r="R80" s="2026"/>
      <c r="S80" s="2026"/>
      <c r="T80" s="2026"/>
      <c r="U80" s="2026"/>
      <c r="V80" s="2026"/>
    </row>
    <row r="81" spans="1:26" ht="13.5" thickBot="1">
      <c r="A81" s="379" t="s">
        <v>1823</v>
      </c>
      <c r="B81" s="369" t="s">
        <v>431</v>
      </c>
      <c r="C81" s="370">
        <f ca="1">ROUND((C82+C83)/(1+'数据-取费表'!C42),0)</f>
        <v>47845</v>
      </c>
      <c r="D81" s="371"/>
      <c r="E81" s="372"/>
      <c r="F81" s="42"/>
      <c r="G81" s="42"/>
      <c r="H81" s="1000"/>
      <c r="I81" s="309"/>
      <c r="J81" s="2026"/>
      <c r="K81" s="3075">
        <f>K79+1</f>
        <v>7</v>
      </c>
      <c r="L81" s="3324" t="s">
        <v>2888</v>
      </c>
      <c r="M81" s="3325"/>
      <c r="N81" s="1303"/>
      <c r="O81" s="1304">
        <f ca="1">ROUND(O79*10000/'数据-汇总表'!E3,0)</f>
        <v>2752</v>
      </c>
      <c r="P81" s="1305"/>
      <c r="Q81" s="2026"/>
      <c r="R81" s="2026"/>
      <c r="S81" s="2026"/>
      <c r="T81" s="2026"/>
      <c r="U81" s="2026"/>
      <c r="V81" s="2026"/>
    </row>
    <row r="82" spans="1:26" ht="13.5" thickTop="1">
      <c r="A82" s="373" t="s">
        <v>1824</v>
      </c>
      <c r="B82" s="374" t="s">
        <v>432</v>
      </c>
      <c r="C82" s="375">
        <f ca="1">D63</f>
        <v>50237</v>
      </c>
      <c r="D82" s="376" t="s">
        <v>19</v>
      </c>
      <c r="E82" s="377"/>
      <c r="F82" s="42"/>
      <c r="G82" s="42"/>
      <c r="H82" s="1000"/>
      <c r="I82" s="309"/>
      <c r="J82" s="2026"/>
      <c r="K82" s="2026"/>
      <c r="L82" s="2026"/>
      <c r="M82" s="2026"/>
      <c r="N82" s="2026"/>
      <c r="O82" s="2026"/>
      <c r="P82" s="2026"/>
      <c r="Q82" s="2026"/>
      <c r="R82" s="2026"/>
      <c r="S82" s="2026"/>
      <c r="T82" s="2026"/>
      <c r="U82" s="2026"/>
      <c r="V82" s="2026"/>
    </row>
    <row r="83" spans="1:26" ht="12.75">
      <c r="A83" s="373" t="s">
        <v>1825</v>
      </c>
      <c r="B83" s="374" t="s">
        <v>433</v>
      </c>
      <c r="C83" s="378">
        <v>0</v>
      </c>
      <c r="D83" s="376"/>
      <c r="E83" s="377"/>
      <c r="F83" s="42"/>
      <c r="G83" s="42"/>
      <c r="H83" s="1000"/>
      <c r="I83" s="309"/>
      <c r="J83" s="2026"/>
      <c r="K83" s="3299" t="s">
        <v>2875</v>
      </c>
      <c r="L83" s="3087" t="s">
        <v>2876</v>
      </c>
      <c r="M83" s="3077">
        <f ca="1">IF(N69&gt;10000,N69*0.5%,IF(AND(N69&gt;1000,N69&lt;=10000),N69*1%,IF(AND(N69&gt;100,N69&lt;=1000),N69*3%,IF(AND(N69&gt;10,N69&lt;=100),N69*5%,N69*8%))))</f>
        <v>418.64499999999998</v>
      </c>
      <c r="N83" s="53">
        <f ca="1">ROUND(M83,1)</f>
        <v>418.6</v>
      </c>
      <c r="O83" s="3080"/>
      <c r="P83" s="2026"/>
      <c r="Q83" s="2026"/>
      <c r="R83" s="2026"/>
      <c r="S83" s="2026"/>
      <c r="T83" s="2026"/>
      <c r="U83" s="2026"/>
      <c r="V83" s="2026"/>
    </row>
    <row r="84" spans="1:26" ht="12.75">
      <c r="A84" s="379" t="s">
        <v>1826</v>
      </c>
      <c r="B84" s="380" t="s">
        <v>434</v>
      </c>
      <c r="C84" s="381">
        <v>2000</v>
      </c>
      <c r="D84" s="382" t="s">
        <v>19</v>
      </c>
      <c r="E84" s="3122" t="s">
        <v>2942</v>
      </c>
      <c r="F84" s="42"/>
      <c r="G84" s="42"/>
      <c r="H84" s="1000"/>
      <c r="I84" s="309"/>
      <c r="J84" s="2026"/>
      <c r="K84" s="3299"/>
      <c r="L84" s="3087" t="s">
        <v>2877</v>
      </c>
      <c r="M84" s="3077">
        <f ca="1">IF(N69&gt;2000,N69*0.5%,IF(AND(N69&gt;1000,N69&lt;=2000),N69*0.6%,IF(AND(N69&gt;500,N69&lt;=1000),N69*0.7%,IF(AND(N69&gt;200,N69&lt;=500),N69*0.8%,IF(AND(N69&gt;100,N69&lt;=200),N69*0.9%,IF(AND(N69&gt;50,N69&lt;=100),N69*1%,IF(AND(N69&gt;20,N69&lt;=50),N69*1.5%,IF(AND(N69&gt;10,N69&lt;=20),N69*2%,IF(AND(N69&gt;1,N69&lt;=10),N69*2.5%)))))))))</f>
        <v>418.64499999999998</v>
      </c>
      <c r="N84" s="53">
        <f t="shared" ref="N84:N85" ca="1" si="2">ROUND(M84,1)</f>
        <v>418.6</v>
      </c>
      <c r="O84" s="2026" t="s">
        <v>2878</v>
      </c>
      <c r="P84" s="2026"/>
      <c r="Q84" s="2026"/>
      <c r="R84" s="2026"/>
      <c r="S84" s="2026"/>
      <c r="T84" s="2026"/>
      <c r="U84" s="2026"/>
      <c r="V84" s="2026"/>
    </row>
    <row r="85" spans="1:26" ht="12.75">
      <c r="A85" s="379" t="s">
        <v>1827</v>
      </c>
      <c r="B85" s="380" t="s">
        <v>435</v>
      </c>
      <c r="C85" s="383">
        <f ca="1">C81-C84</f>
        <v>45845</v>
      </c>
      <c r="D85" s="376" t="s">
        <v>19</v>
      </c>
      <c r="E85" s="377"/>
      <c r="F85" s="42"/>
      <c r="G85" s="42"/>
      <c r="H85" s="1000"/>
      <c r="I85" s="309"/>
      <c r="J85" s="2026"/>
      <c r="K85" s="3299"/>
      <c r="L85" s="3087" t="s">
        <v>2879</v>
      </c>
      <c r="M85" s="3077">
        <f ca="1">IF(N69&gt;1000,N69*0.1%,IF(AND(N69&gt;500,N69&lt;=1000),N69*0.5%,IF(AND(N69&gt;50,N69&lt;=500),N69*1%,IF(AND(N69&gt;1,N69&lt;=50),N69*1.5%))))</f>
        <v>83.728999999999999</v>
      </c>
      <c r="N85" s="53">
        <f t="shared" ca="1" si="2"/>
        <v>83.7</v>
      </c>
      <c r="O85" s="2026" t="s">
        <v>2878</v>
      </c>
      <c r="P85" s="2026"/>
      <c r="Q85" s="2026"/>
      <c r="R85" s="2026"/>
      <c r="S85" s="2026"/>
      <c r="T85" s="2026"/>
      <c r="U85" s="2026"/>
      <c r="V85" s="2026"/>
    </row>
    <row r="86" spans="1:26" ht="13.5" thickBot="1">
      <c r="A86" s="384" t="s">
        <v>1828</v>
      </c>
      <c r="B86" s="385" t="s">
        <v>436</v>
      </c>
      <c r="C86" s="386">
        <f ca="1">IF(C85&lt;=0,0,ROUND(C85*D86,0))</f>
        <v>2521</v>
      </c>
      <c r="D86" s="387">
        <f>'数据-取费表'!B41</f>
        <v>5.5000000000000007E-2</v>
      </c>
      <c r="E86" s="388"/>
      <c r="F86" s="42"/>
      <c r="G86" s="42"/>
      <c r="H86" s="1000"/>
      <c r="I86" s="309"/>
      <c r="J86" s="2026"/>
      <c r="K86" s="3299"/>
      <c r="L86" s="3087" t="s">
        <v>2880</v>
      </c>
      <c r="M86" s="3077">
        <f ca="1">N69*0.5%</f>
        <v>418.64499999999998</v>
      </c>
      <c r="N86" s="53">
        <f ca="1">IF(M86&gt;0.5,0.5,ROUND(M86,0))</f>
        <v>0.5</v>
      </c>
      <c r="O86" s="2026" t="s">
        <v>2881</v>
      </c>
      <c r="P86" s="2026"/>
      <c r="Q86" s="2026"/>
      <c r="R86" s="2026"/>
      <c r="S86" s="2026"/>
      <c r="T86" s="2026"/>
      <c r="U86" s="2026"/>
      <c r="V86" s="2026"/>
    </row>
    <row r="87" spans="1:26" s="1251" customFormat="1" ht="14.25" customHeight="1">
      <c r="A87" s="1306"/>
      <c r="B87" s="1307"/>
      <c r="C87" s="1308"/>
      <c r="D87" s="1309"/>
      <c r="E87" s="1310"/>
      <c r="F87" s="42"/>
      <c r="G87" s="42"/>
      <c r="H87" s="1000"/>
      <c r="I87" s="309"/>
      <c r="J87" s="2026"/>
      <c r="K87" s="3299"/>
      <c r="L87" s="3087" t="s">
        <v>2882</v>
      </c>
      <c r="M87" s="3077">
        <f ca="1">IF(N69&gt;=10000,(8.25+(N69-10000)*0.01%),IF(AND(N69&gt;=8000,N69&lt;10000),(7.85+(N69-8000)*0.02%),IF(AND(N69&gt;=5000,N69&lt;8000),(6.65+(N69-5000)*0.04%),IF(AND(N69&gt;=2000,N69&lt;5000),(4.25+(PN69-2000)*0.08%),IF(AND(N69&gt;=1000,N69&lt;2000),(2.75+(N69-1000)*0.15%),IF(AND(N69&gt;=100,N69&lt;1000),(0.5+(N69-100)*0.25%),IF(AND(N69&gt;0,N69&lt;100),N69*0.5%)))))))</f>
        <v>15.622900000000001</v>
      </c>
      <c r="N87" s="53">
        <f ca="1">ROUND(M87*0.9,1)</f>
        <v>14.1</v>
      </c>
      <c r="O87" s="3080"/>
      <c r="P87" s="309"/>
      <c r="Q87" s="2026"/>
      <c r="R87" s="2026"/>
      <c r="S87" s="2026"/>
      <c r="T87" s="2026"/>
      <c r="U87" s="2026"/>
      <c r="V87" s="2026"/>
      <c r="W87" s="290"/>
      <c r="X87" s="290"/>
      <c r="Y87" s="290"/>
      <c r="Z87" s="290"/>
    </row>
    <row r="88" spans="1:26" s="1311" customFormat="1" ht="15" thickBot="1">
      <c r="A88" s="3353" t="s">
        <v>437</v>
      </c>
      <c r="B88" s="3354"/>
      <c r="C88" s="3354"/>
      <c r="D88" s="3354"/>
      <c r="E88" s="3354"/>
      <c r="F88" s="3354"/>
      <c r="G88" s="3354"/>
      <c r="H88" s="3354"/>
      <c r="I88" s="1312"/>
      <c r="J88" s="2034"/>
      <c r="K88" s="3299"/>
      <c r="L88" s="3087" t="s">
        <v>2883</v>
      </c>
      <c r="M88" s="3077">
        <f ca="1">IF(N69&gt;10000,N69*0.5%,IF(AND(N69&gt;5000,N69&lt;=10000),N69*1%,IF(AND(N69&gt;1000,N69&lt;=5000),N69*2%,IF(AND(N69&gt;200,N69&lt;=1000),N69*3%,N69*5%))))</f>
        <v>418.64499999999998</v>
      </c>
      <c r="N88" s="53">
        <f ca="1">ROUND(M88,1)</f>
        <v>418.6</v>
      </c>
      <c r="O88" s="3080"/>
      <c r="P88" s="11"/>
      <c r="Q88" s="2031"/>
      <c r="R88" s="2031"/>
      <c r="S88" s="2031"/>
      <c r="T88" s="2031"/>
      <c r="U88" s="2031"/>
      <c r="V88" s="2031"/>
      <c r="W88" s="2035"/>
      <c r="X88" s="2035"/>
      <c r="Y88" s="2035"/>
      <c r="Z88" s="2035"/>
    </row>
    <row r="89" spans="1:26" s="1311" customFormat="1" ht="14.25">
      <c r="A89" s="3317" t="s">
        <v>428</v>
      </c>
      <c r="B89" s="3318"/>
      <c r="C89" s="991"/>
      <c r="D89" s="991" t="s">
        <v>429</v>
      </c>
      <c r="E89" s="389" t="s">
        <v>438</v>
      </c>
      <c r="F89" s="390"/>
      <c r="G89" s="390"/>
      <c r="H89" s="391"/>
      <c r="I89" s="1313"/>
      <c r="J89" s="2036"/>
      <c r="K89" s="3299"/>
      <c r="L89" s="3087" t="s">
        <v>27</v>
      </c>
      <c r="M89" s="3078"/>
      <c r="N89" s="53">
        <f ca="1">ROUND(SUM(N83:N88),0)</f>
        <v>1354</v>
      </c>
      <c r="O89" s="3088">
        <f ca="1">N89/N69</f>
        <v>1.6171219051941382E-2</v>
      </c>
      <c r="P89" s="2031"/>
      <c r="Q89" s="2031"/>
      <c r="R89" s="2031"/>
      <c r="S89" s="2031"/>
      <c r="T89" s="2031"/>
      <c r="U89" s="2031"/>
      <c r="V89" s="2031"/>
      <c r="W89" s="2035"/>
      <c r="X89" s="2035"/>
      <c r="Y89" s="2035"/>
      <c r="Z89" s="2035"/>
    </row>
    <row r="90" spans="1:26" s="1311" customFormat="1" ht="14.25">
      <c r="A90" s="379" t="s">
        <v>1823</v>
      </c>
      <c r="B90" s="380" t="s">
        <v>439</v>
      </c>
      <c r="C90" s="383">
        <f ca="1">ROUND(D63/(1+'数据-取费表'!C42),0)</f>
        <v>47845</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79" t="s">
        <v>1829</v>
      </c>
      <c r="B91" s="346" t="s">
        <v>440</v>
      </c>
      <c r="C91" s="383">
        <f ca="1">C92+C96</f>
        <v>2800</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3" t="s">
        <v>1830</v>
      </c>
      <c r="B92" s="374" t="s">
        <v>441</v>
      </c>
      <c r="C92" s="376">
        <f>ROUND(IF(G95="2016年5月1日后购买",C93/(1+'数据-取费表'!C30)+C94+C95,C93+C94+C95),0)</f>
        <v>2561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3" t="s">
        <v>1832</v>
      </c>
      <c r="B94" s="398" t="s">
        <v>446</v>
      </c>
      <c r="C94" s="376">
        <f>IF(F93="购房发票",ROUND(C93*H93*5%,0),0)</f>
        <v>500</v>
      </c>
      <c r="D94" s="399">
        <v>0.05</v>
      </c>
      <c r="E94" s="3350" t="s">
        <v>447</v>
      </c>
      <c r="F94" s="3351"/>
      <c r="G94" s="3351"/>
      <c r="H94" s="3352"/>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2430</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3" t="s">
        <v>1834</v>
      </c>
      <c r="B96" s="374" t="s">
        <v>450</v>
      </c>
      <c r="C96" s="403">
        <f ca="1">ROUND(D63*D96/(1+'数据-取费表'!C42),0)</f>
        <v>239</v>
      </c>
      <c r="D96" s="404">
        <f>'数据-取费表'!B43</f>
        <v>5.000000000000001E-3</v>
      </c>
      <c r="E96" s="3340" t="s">
        <v>2429</v>
      </c>
      <c r="F96" s="3341"/>
      <c r="G96" s="3341"/>
      <c r="H96" s="3342"/>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1835</v>
      </c>
      <c r="B97" s="380" t="s">
        <v>451</v>
      </c>
      <c r="C97" s="383">
        <f ca="1">C90-C91</f>
        <v>45045</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1836</v>
      </c>
      <c r="B98" s="380" t="s">
        <v>452</v>
      </c>
      <c r="C98" s="405">
        <f ca="1">IF(C97&lt;=0,0,C97/C91)</f>
        <v>16.087499999999999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1837</v>
      </c>
      <c r="B99" s="385" t="s">
        <v>453</v>
      </c>
      <c r="C99" s="406">
        <f ca="1">ROUND(IF(C97&lt;=0,0,IF(C98&gt;=200%,C97*60%-C91*35%,IF(C98&gt;=100%,C97*50%-C91*15%,IF(C98&gt;=50%,C97*40%-C91*5%,IF(C98&lt;50%,C97*30%,0))))),0)</f>
        <v>26047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53" t="s">
        <v>454</v>
      </c>
      <c r="B101" s="3354"/>
      <c r="C101" s="3354"/>
      <c r="D101" s="3354"/>
      <c r="E101" s="3354"/>
      <c r="F101" s="3354"/>
      <c r="G101" s="3354"/>
      <c r="H101" s="3354"/>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17" t="s">
        <v>428</v>
      </c>
      <c r="B102" s="3318"/>
      <c r="C102" s="991"/>
      <c r="D102" s="991"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9" t="s">
        <v>1823</v>
      </c>
      <c r="B103" s="380" t="s">
        <v>439</v>
      </c>
      <c r="C103" s="383">
        <f ca="1">ROUND(D63/(1+'数据-取费表'!C42),0)</f>
        <v>47845</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9" t="s">
        <v>1829</v>
      </c>
      <c r="B104" s="346" t="s">
        <v>440</v>
      </c>
      <c r="C104" s="383">
        <f ca="1">IF(H106="仅含出让金",C105+C108+C109+C110+C111+C112,C105+C109+C110+C111+C112)</f>
        <v>929</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3" t="s">
        <v>1830</v>
      </c>
      <c r="B105" s="374" t="s">
        <v>455</v>
      </c>
      <c r="C105" s="403">
        <f>C106+C107</f>
        <v>572</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3" t="s">
        <v>1831</v>
      </c>
      <c r="B106" s="374" t="s">
        <v>456</v>
      </c>
      <c r="C106" s="414">
        <v>555</v>
      </c>
      <c r="D106" s="404"/>
      <c r="E106" s="415" t="s">
        <v>457</v>
      </c>
      <c r="F106" s="983"/>
      <c r="G106" s="416" t="s">
        <v>458</v>
      </c>
      <c r="H106" s="417"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3" t="s">
        <v>1832</v>
      </c>
      <c r="B107" s="374" t="s">
        <v>448</v>
      </c>
      <c r="C107" s="403">
        <f>ROUND(C106*D107,0)</f>
        <v>17</v>
      </c>
      <c r="D107" s="404">
        <f>'数据-取费表'!B48+'数据-取费表'!B49</f>
        <v>3.0499999999999999E-2</v>
      </c>
      <c r="E107" s="415"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3" t="s">
        <v>1834</v>
      </c>
      <c r="B108" s="374" t="s">
        <v>460</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1838</v>
      </c>
      <c r="B109" s="374" t="s">
        <v>461</v>
      </c>
      <c r="C109" s="403">
        <f>IF(H109="——",IF(F1="现房",'剩余法-现房'!C18,'剩余法-待开发'!C18),I109)</f>
        <v>55</v>
      </c>
      <c r="D109" s="404"/>
      <c r="E109" s="3343" t="s">
        <v>462</v>
      </c>
      <c r="F109" s="3341"/>
      <c r="G109" s="3341"/>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1839</v>
      </c>
      <c r="B110" s="374" t="s">
        <v>463</v>
      </c>
      <c r="C110" s="403">
        <f>ROUND((C105+C108+C109)*D110,0)</f>
        <v>63</v>
      </c>
      <c r="D110" s="404">
        <v>0.1</v>
      </c>
      <c r="E110" s="3343" t="s">
        <v>464</v>
      </c>
      <c r="F110" s="3341"/>
      <c r="G110" s="3341"/>
      <c r="H110" s="3342"/>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1840</v>
      </c>
      <c r="B111" s="374" t="s">
        <v>450</v>
      </c>
      <c r="C111" s="403">
        <f ca="1">ROUND(D63*D111/(1+'数据-取费表'!C42),0)</f>
        <v>239</v>
      </c>
      <c r="D111" s="404">
        <f>'数据-取费表'!B43</f>
        <v>5.000000000000001E-3</v>
      </c>
      <c r="E111" s="3340" t="s">
        <v>2429</v>
      </c>
      <c r="F111" s="3341"/>
      <c r="G111" s="3341"/>
      <c r="H111" s="3342"/>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1841</v>
      </c>
      <c r="B112" s="374" t="s">
        <v>465</v>
      </c>
      <c r="C112" s="403">
        <f>ROUND(C108*D112,0)</f>
        <v>0</v>
      </c>
      <c r="D112" s="404">
        <v>0.2</v>
      </c>
      <c r="E112" s="3343" t="s">
        <v>2454</v>
      </c>
      <c r="F112" s="3341"/>
      <c r="G112" s="3341"/>
      <c r="H112" s="3342"/>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1835</v>
      </c>
      <c r="B113" s="380" t="s">
        <v>451</v>
      </c>
      <c r="C113" s="383">
        <f ca="1">ROUND(C103-C104,0)</f>
        <v>46916</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1836</v>
      </c>
      <c r="B114" s="380" t="s">
        <v>452</v>
      </c>
      <c r="C114" s="405">
        <f ca="1">IF(C113&lt;=0,0,C113/C104)</f>
        <v>50.501614639397204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1837</v>
      </c>
      <c r="B115" s="385" t="s">
        <v>453</v>
      </c>
      <c r="C115" s="406">
        <f ca="1">ROUND(IF(C113&lt;=0,0,IF(C114&gt;=200%,C113*60%-C104*35%,IF(C114&gt;=100%,C113*50%-C104*15%,IF(C114&gt;=50%,C113*40%-C104*5%,IF(C114&lt;50%,C113*30%,0))))),0)</f>
        <v>27824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L23" sqref="L23"/>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1" t="s">
        <v>467</v>
      </c>
      <c r="B2" s="506">
        <f>F68</f>
        <v>89051</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1684</v>
      </c>
      <c r="B3" s="508">
        <f>ROUND(B2*10000/'数据-汇总表'!E3,0)</f>
        <v>4645</v>
      </c>
      <c r="C3" s="2059"/>
      <c r="D3" s="2592"/>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30" s="1333" customFormat="1" ht="28.5" customHeight="1">
      <c r="A4" s="509" t="s">
        <v>520</v>
      </c>
      <c r="B4" s="425">
        <f>IF(B48="单位面积地价",C50,ROUND(B2*10000/'数据-汇总表'!D3,0))</f>
        <v>11880</v>
      </c>
      <c r="C4" s="2059"/>
      <c r="D4" s="2592"/>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30" s="1333" customFormat="1" ht="28.5" customHeight="1" thickBot="1">
      <c r="A5" s="427"/>
      <c r="B5" s="428">
        <f>ROUND(B2/('数据-汇总表'!D3/666.67),0)</f>
        <v>792</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6"/>
    </row>
    <row r="6" spans="1:30" ht="20.25">
      <c r="A6" s="510" t="s">
        <v>521</v>
      </c>
      <c r="B6" s="511"/>
      <c r="C6" s="3398" t="s">
        <v>522</v>
      </c>
      <c r="D6" s="3399"/>
      <c r="E6" s="3398" t="s">
        <v>523</v>
      </c>
      <c r="F6" s="3399"/>
      <c r="G6" s="3398" t="s">
        <v>524</v>
      </c>
      <c r="H6" s="3399"/>
      <c r="I6" s="3398" t="s">
        <v>525</v>
      </c>
      <c r="J6" s="3399"/>
      <c r="K6" s="512" t="s">
        <v>526</v>
      </c>
      <c r="L6" s="2131"/>
      <c r="M6" s="2130"/>
      <c r="N6" s="2130"/>
      <c r="O6" s="2132"/>
      <c r="P6" s="3400" t="s">
        <v>527</v>
      </c>
      <c r="Q6" s="3401"/>
      <c r="R6" s="3386" t="s">
        <v>523</v>
      </c>
      <c r="S6" s="3387"/>
      <c r="T6" s="3386" t="s">
        <v>524</v>
      </c>
      <c r="U6" s="3387"/>
      <c r="V6" s="3406" t="s">
        <v>525</v>
      </c>
      <c r="W6" s="3406"/>
      <c r="X6" s="1565"/>
      <c r="Y6" s="3386" t="s">
        <v>527</v>
      </c>
      <c r="Z6" s="3387"/>
      <c r="AA6" s="3381" t="s">
        <v>523</v>
      </c>
      <c r="AB6" s="3382" t="s">
        <v>524</v>
      </c>
      <c r="AC6" s="3381" t="s">
        <v>525</v>
      </c>
    </row>
    <row r="7" spans="1:30" ht="61.5" customHeight="1" thickBot="1">
      <c r="A7" s="513"/>
      <c r="B7" s="514"/>
      <c r="C7" s="3411" t="str">
        <f>项目基本情况!F10</f>
        <v>来安县汊河新区长江大街西侧、明发北站新城北侧及黄高路东侧、明发北站新城北侧两宗住宅用地</v>
      </c>
      <c r="D7" s="3410"/>
      <c r="E7" s="3409" t="s">
        <v>3014</v>
      </c>
      <c r="F7" s="3410"/>
      <c r="G7" s="3409" t="s">
        <v>3015</v>
      </c>
      <c r="H7" s="3410"/>
      <c r="I7" s="3409" t="s">
        <v>3016</v>
      </c>
      <c r="J7" s="3410"/>
      <c r="K7" s="512"/>
      <c r="L7" s="2131"/>
      <c r="M7" s="2130"/>
      <c r="N7" s="2130"/>
      <c r="O7" s="2132"/>
      <c r="P7" s="3402"/>
      <c r="Q7" s="3403"/>
      <c r="R7" s="3388"/>
      <c r="S7" s="3389"/>
      <c r="T7" s="3388"/>
      <c r="U7" s="3389"/>
      <c r="V7" s="3406"/>
      <c r="W7" s="3406"/>
      <c r="X7" s="1565"/>
      <c r="Y7" s="3388"/>
      <c r="Z7" s="3389"/>
      <c r="AA7" s="3382"/>
      <c r="AB7" s="3382"/>
      <c r="AC7" s="3382"/>
    </row>
    <row r="8" spans="1:30" ht="21" hidden="1" thickBot="1">
      <c r="A8" s="513"/>
      <c r="B8" s="514"/>
      <c r="C8" s="3412"/>
      <c r="D8" s="3413"/>
      <c r="E8" s="3412"/>
      <c r="F8" s="3413"/>
      <c r="G8" s="3407"/>
      <c r="H8" s="3408"/>
      <c r="I8" s="3407"/>
      <c r="J8" s="3408"/>
      <c r="K8" s="512" t="s">
        <v>528</v>
      </c>
      <c r="L8" s="2131"/>
      <c r="M8" s="2130"/>
      <c r="N8" s="2130"/>
      <c r="O8" s="2132"/>
      <c r="P8" s="3404"/>
      <c r="Q8" s="3405"/>
      <c r="R8" s="3388"/>
      <c r="S8" s="3389"/>
      <c r="T8" s="3390"/>
      <c r="U8" s="3391"/>
      <c r="V8" s="3406"/>
      <c r="W8" s="3406"/>
      <c r="X8" s="1565"/>
      <c r="Y8" s="3390"/>
      <c r="Z8" s="3391"/>
      <c r="AA8" s="3383"/>
      <c r="AB8" s="3383"/>
      <c r="AC8" s="3383"/>
    </row>
    <row r="9" spans="1:30" s="1217" customFormat="1" ht="21" thickBot="1">
      <c r="A9" s="2934"/>
      <c r="B9" s="2941" t="s">
        <v>529</v>
      </c>
      <c r="C9" s="2933">
        <f>'数据-取费表'!B2</f>
        <v>43239</v>
      </c>
      <c r="D9" s="518">
        <v>100</v>
      </c>
      <c r="E9" s="519">
        <v>43210</v>
      </c>
      <c r="F9" s="520">
        <f>SUMIF(72:72,YEAR(E9)&amp;"-"&amp;INT((MONTH(E9)+2)/3),73:73)</f>
        <v>100</v>
      </c>
      <c r="G9" s="521">
        <v>43073</v>
      </c>
      <c r="H9" s="518">
        <f>SUMIF(72:72,YEAR(G9)&amp;"-"&amp;INT((MONTH(G9)+2)/3),73:73)</f>
        <v>99</v>
      </c>
      <c r="I9" s="521">
        <v>43073</v>
      </c>
      <c r="J9" s="518">
        <f>SUMIF(72:72,YEAR(I9)&amp;"-"&amp;INT((MONTH(I9)+2)/3),73:73)</f>
        <v>99</v>
      </c>
      <c r="K9" s="522"/>
      <c r="L9" s="2133"/>
      <c r="M9" s="2130"/>
      <c r="N9" s="2130"/>
      <c r="O9" s="2134"/>
      <c r="P9" s="3384" t="s">
        <v>530</v>
      </c>
      <c r="Q9" s="3393"/>
      <c r="R9" s="1566" t="s">
        <v>8</v>
      </c>
      <c r="S9" s="1567">
        <f t="shared" ref="S9:S17" si="0">F9</f>
        <v>100</v>
      </c>
      <c r="T9" s="1566" t="s">
        <v>8</v>
      </c>
      <c r="U9" s="1567">
        <f t="shared" ref="U9:U17" si="1">H9</f>
        <v>99</v>
      </c>
      <c r="V9" s="1566" t="s">
        <v>8</v>
      </c>
      <c r="W9" s="1567">
        <f t="shared" ref="W9:W17" si="2">J9</f>
        <v>99</v>
      </c>
      <c r="X9" s="1568"/>
      <c r="Y9" s="3384" t="s">
        <v>530</v>
      </c>
      <c r="Z9" s="3385"/>
      <c r="AA9" s="1569">
        <f>D9/F9</f>
        <v>1</v>
      </c>
      <c r="AB9" s="1569">
        <f>D9/H9</f>
        <v>1.0101010101010102</v>
      </c>
      <c r="AC9" s="1569">
        <f>D9/J9</f>
        <v>1.0101010101010102</v>
      </c>
    </row>
    <row r="10" spans="1:30" s="1217" customFormat="1" ht="21" thickBot="1">
      <c r="A10" s="2935"/>
      <c r="B10" s="2942"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3"/>
      <c r="M10" s="2130"/>
      <c r="N10" s="2130"/>
      <c r="O10" s="2134"/>
      <c r="P10" s="3384" t="s">
        <v>533</v>
      </c>
      <c r="Q10" s="3385"/>
      <c r="R10" s="1566" t="s">
        <v>8</v>
      </c>
      <c r="S10" s="1567">
        <f t="shared" si="0"/>
        <v>100</v>
      </c>
      <c r="T10" s="1566" t="s">
        <v>8</v>
      </c>
      <c r="U10" s="1567">
        <f t="shared" si="1"/>
        <v>100</v>
      </c>
      <c r="V10" s="1566" t="s">
        <v>8</v>
      </c>
      <c r="W10" s="1567">
        <f t="shared" si="2"/>
        <v>100</v>
      </c>
      <c r="X10" s="1568"/>
      <c r="Y10" s="3384" t="s">
        <v>533</v>
      </c>
      <c r="Z10" s="3385"/>
      <c r="AA10" s="1569">
        <f t="shared" ref="AA10:AA47" si="3">D10/F10</f>
        <v>1</v>
      </c>
      <c r="AB10" s="1569">
        <f t="shared" ref="AB10:AB47" si="4">D10/H10</f>
        <v>1</v>
      </c>
      <c r="AC10" s="1569">
        <f t="shared" ref="AC10:AC47" si="5">D10/J10</f>
        <v>1</v>
      </c>
    </row>
    <row r="11" spans="1:30" s="1217" customFormat="1" ht="20.25">
      <c r="A11" s="2936"/>
      <c r="B11" s="2943" t="s">
        <v>2757</v>
      </c>
      <c r="C11" s="2930" t="s">
        <v>922</v>
      </c>
      <c r="D11" s="252">
        <v>100</v>
      </c>
      <c r="E11" s="2930" t="s">
        <v>922</v>
      </c>
      <c r="F11" s="252">
        <f>SUMIF(77:77,E11,78:78)-SUMIF(77:77,C11,78:78)+100</f>
        <v>100</v>
      </c>
      <c r="G11" s="2930" t="s">
        <v>922</v>
      </c>
      <c r="H11" s="252">
        <f>SUMIF(77:77,G11,78:78)-SUMIF(77:77,C11,78:78)+100</f>
        <v>100</v>
      </c>
      <c r="I11" s="2930" t="s">
        <v>922</v>
      </c>
      <c r="J11" s="252">
        <f>SUMIF(77:77,I11,78:78)-SUMIF(77:77,C11,78:78)+100</f>
        <v>100</v>
      </c>
      <c r="K11" s="522"/>
      <c r="L11" s="2133"/>
      <c r="M11" s="2130"/>
      <c r="N11" s="2130"/>
      <c r="O11" s="2135"/>
      <c r="P11" s="3392" t="s">
        <v>535</v>
      </c>
      <c r="Q11" s="1148" t="str">
        <f t="shared" ref="Q11:Q17" si="6">B11</f>
        <v>用途</v>
      </c>
      <c r="R11" s="1566" t="s">
        <v>8</v>
      </c>
      <c r="S11" s="1567">
        <f t="shared" si="0"/>
        <v>100</v>
      </c>
      <c r="T11" s="1566" t="s">
        <v>8</v>
      </c>
      <c r="U11" s="1567">
        <f t="shared" si="1"/>
        <v>100</v>
      </c>
      <c r="V11" s="1566" t="s">
        <v>8</v>
      </c>
      <c r="W11" s="1567">
        <f t="shared" si="2"/>
        <v>100</v>
      </c>
      <c r="X11" s="1568"/>
      <c r="Y11" s="3349" t="s">
        <v>536</v>
      </c>
      <c r="Z11" s="1147" t="str">
        <f t="shared" ref="Z11:Z17" si="7">Q11</f>
        <v>用途</v>
      </c>
      <c r="AA11" s="1569">
        <f t="shared" si="3"/>
        <v>1</v>
      </c>
      <c r="AB11" s="1569">
        <f t="shared" si="4"/>
        <v>1</v>
      </c>
      <c r="AC11" s="1569">
        <f t="shared" si="5"/>
        <v>1</v>
      </c>
    </row>
    <row r="12" spans="1:30" s="1335" customFormat="1" ht="28.5">
      <c r="A12" s="2937"/>
      <c r="B12" s="2942" t="s">
        <v>2758</v>
      </c>
      <c r="C12" s="907" t="s">
        <v>3045</v>
      </c>
      <c r="D12" s="253">
        <v>100</v>
      </c>
      <c r="E12" s="527" t="s">
        <v>3046</v>
      </c>
      <c r="F12" s="253">
        <f>ROUND(100/'数据-取费表'!G16,0)</f>
        <v>100</v>
      </c>
      <c r="G12" s="527" t="s">
        <v>3046</v>
      </c>
      <c r="H12" s="253">
        <f>ROUND(100/'数据-取费表'!G16,0)</f>
        <v>100</v>
      </c>
      <c r="I12" s="527" t="s">
        <v>3046</v>
      </c>
      <c r="J12" s="253">
        <f>ROUND(100/'数据-取费表'!G16,0)</f>
        <v>100</v>
      </c>
      <c r="K12" s="529"/>
      <c r="L12" s="2136"/>
      <c r="M12" s="2130"/>
      <c r="N12" s="2130"/>
      <c r="O12" s="2137"/>
      <c r="P12" s="3392"/>
      <c r="Q12" s="1148" t="str">
        <f t="shared" si="6"/>
        <v>土地使用年限（年）</v>
      </c>
      <c r="R12" s="1566" t="s">
        <v>8</v>
      </c>
      <c r="S12" s="1567">
        <f t="shared" si="0"/>
        <v>100</v>
      </c>
      <c r="T12" s="1566" t="s">
        <v>8</v>
      </c>
      <c r="U12" s="1567">
        <f t="shared" si="1"/>
        <v>100</v>
      </c>
      <c r="V12" s="1566" t="s">
        <v>8</v>
      </c>
      <c r="W12" s="1567">
        <f t="shared" si="2"/>
        <v>100</v>
      </c>
      <c r="X12" s="1568"/>
      <c r="Y12" s="3349"/>
      <c r="Z12" s="1147" t="str">
        <f t="shared" si="7"/>
        <v>土地使用年限（年）</v>
      </c>
      <c r="AA12" s="1569">
        <f t="shared" si="3"/>
        <v>1</v>
      </c>
      <c r="AB12" s="1569">
        <f t="shared" si="4"/>
        <v>1</v>
      </c>
      <c r="AC12" s="1569">
        <f t="shared" si="5"/>
        <v>1</v>
      </c>
    </row>
    <row r="13" spans="1:30" ht="21" thickBot="1">
      <c r="A13" s="2938"/>
      <c r="B13" s="2942" t="s">
        <v>2759</v>
      </c>
      <c r="C13" s="532">
        <v>2</v>
      </c>
      <c r="D13" s="253">
        <v>100</v>
      </c>
      <c r="E13" s="531">
        <v>1.6</v>
      </c>
      <c r="F13" s="253">
        <f>LOOKUP(E13,82:82,83:83)-LOOKUP(C13,82:82,83:83)+100</f>
        <v>102</v>
      </c>
      <c r="G13" s="532">
        <v>2</v>
      </c>
      <c r="H13" s="253">
        <f>LOOKUP(G13,82:82,83:83)-LOOKUP(C13,82:82,83:83)+100</f>
        <v>100</v>
      </c>
      <c r="I13" s="531">
        <v>1.8</v>
      </c>
      <c r="J13" s="253">
        <f>LOOKUP(I13,82:82,83:83)-LOOKUP(C13,82:82,83:83)+100</f>
        <v>102</v>
      </c>
      <c r="K13" s="533">
        <v>2</v>
      </c>
      <c r="L13" s="2138"/>
      <c r="M13" s="2130"/>
      <c r="N13" s="2130"/>
      <c r="O13" s="2139"/>
      <c r="P13" s="3392"/>
      <c r="Q13" s="1148" t="str">
        <f t="shared" si="6"/>
        <v>容积率</v>
      </c>
      <c r="R13" s="1566" t="s">
        <v>8</v>
      </c>
      <c r="S13" s="1567">
        <f t="shared" si="0"/>
        <v>102</v>
      </c>
      <c r="T13" s="1566" t="s">
        <v>8</v>
      </c>
      <c r="U13" s="1567">
        <f t="shared" si="1"/>
        <v>100</v>
      </c>
      <c r="V13" s="1566" t="s">
        <v>8</v>
      </c>
      <c r="W13" s="1567">
        <f t="shared" si="2"/>
        <v>102</v>
      </c>
      <c r="X13" s="1568"/>
      <c r="Y13" s="3349"/>
      <c r="Z13" s="1147" t="str">
        <f t="shared" si="7"/>
        <v>容积率</v>
      </c>
      <c r="AA13" s="1569">
        <f t="shared" si="3"/>
        <v>0.98039215686274506</v>
      </c>
      <c r="AB13" s="1569">
        <f t="shared" si="4"/>
        <v>1</v>
      </c>
      <c r="AC13" s="1569">
        <f t="shared" si="5"/>
        <v>0.98039215686274506</v>
      </c>
    </row>
    <row r="14" spans="1:30" s="1217" customFormat="1" ht="21" hidden="1" thickBot="1">
      <c r="A14" s="2935"/>
      <c r="B14" s="2944" t="s">
        <v>2760</v>
      </c>
      <c r="C14" s="2931"/>
      <c r="D14" s="536">
        <v>100</v>
      </c>
      <c r="E14" s="1372"/>
      <c r="F14" s="253">
        <f>SUMIF(84:84,E14,85:85)-SUMIF(84:84,C14,85:85)+100</f>
        <v>100</v>
      </c>
      <c r="G14" s="528"/>
      <c r="H14" s="253">
        <f>SUMIF(84:84,G14,85:85)-SUMIF(84:84,C14,85:85)+100</f>
        <v>100</v>
      </c>
      <c r="I14" s="527"/>
      <c r="J14" s="253">
        <f>SUMIF(84:84,I14,85:85)-SUMIF(84:84,C14,85:85)+100</f>
        <v>100</v>
      </c>
      <c r="K14" s="529"/>
      <c r="L14" s="2133"/>
      <c r="M14" s="2130"/>
      <c r="N14" s="2130"/>
      <c r="O14" s="2135"/>
      <c r="P14" s="3392"/>
      <c r="Q14" s="1148" t="str">
        <f t="shared" si="6"/>
        <v>配建</v>
      </c>
      <c r="R14" s="1566" t="s">
        <v>8</v>
      </c>
      <c r="S14" s="1567">
        <f t="shared" si="0"/>
        <v>100</v>
      </c>
      <c r="T14" s="1566" t="s">
        <v>8</v>
      </c>
      <c r="U14" s="1567">
        <f t="shared" si="1"/>
        <v>100</v>
      </c>
      <c r="V14" s="1566" t="s">
        <v>8</v>
      </c>
      <c r="W14" s="1567">
        <f t="shared" si="2"/>
        <v>100</v>
      </c>
      <c r="X14" s="1568"/>
      <c r="Y14" s="3349"/>
      <c r="Z14" s="1147" t="str">
        <f t="shared" si="7"/>
        <v>配建</v>
      </c>
      <c r="AA14" s="1569">
        <f>D14/F14</f>
        <v>1</v>
      </c>
      <c r="AB14" s="1569">
        <f>D14/H14</f>
        <v>1</v>
      </c>
      <c r="AC14" s="1569">
        <f>D14/J14</f>
        <v>1</v>
      </c>
    </row>
    <row r="15" spans="1:30" ht="20.25" hidden="1">
      <c r="A15" s="2939"/>
      <c r="B15" s="2945"/>
      <c r="C15" s="909"/>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92"/>
      <c r="Q15" s="1148">
        <f t="shared" si="6"/>
        <v>0</v>
      </c>
      <c r="R15" s="1566" t="s">
        <v>8</v>
      </c>
      <c r="S15" s="1567">
        <f t="shared" si="0"/>
        <v>100</v>
      </c>
      <c r="T15" s="1566" t="s">
        <v>8</v>
      </c>
      <c r="U15" s="1567">
        <f t="shared" si="1"/>
        <v>100</v>
      </c>
      <c r="V15" s="1566" t="s">
        <v>8</v>
      </c>
      <c r="W15" s="1567">
        <f t="shared" si="2"/>
        <v>100</v>
      </c>
      <c r="X15" s="1568"/>
      <c r="Y15" s="3349"/>
      <c r="Z15" s="1147">
        <f t="shared" si="7"/>
        <v>0</v>
      </c>
      <c r="AA15" s="1569">
        <f>D15/F15</f>
        <v>1</v>
      </c>
      <c r="AB15" s="1569">
        <f>D15/H15</f>
        <v>1</v>
      </c>
      <c r="AC15" s="1569">
        <f>D15/J15</f>
        <v>1</v>
      </c>
    </row>
    <row r="16" spans="1:30" ht="21" hidden="1" thickBot="1">
      <c r="A16" s="2940"/>
      <c r="B16" s="2946"/>
      <c r="C16" s="912"/>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92"/>
      <c r="Q16" s="1148">
        <f t="shared" si="6"/>
        <v>0</v>
      </c>
      <c r="R16" s="1566" t="s">
        <v>8</v>
      </c>
      <c r="S16" s="1567">
        <f t="shared" si="0"/>
        <v>100</v>
      </c>
      <c r="T16" s="1566" t="s">
        <v>8</v>
      </c>
      <c r="U16" s="1567">
        <f t="shared" si="1"/>
        <v>100</v>
      </c>
      <c r="V16" s="1566" t="s">
        <v>8</v>
      </c>
      <c r="W16" s="1567">
        <f t="shared" si="2"/>
        <v>100</v>
      </c>
      <c r="X16" s="1568"/>
      <c r="Y16" s="3349"/>
      <c r="Z16" s="1147">
        <f t="shared" si="7"/>
        <v>0</v>
      </c>
      <c r="AA16" s="1569">
        <f>D16/F16</f>
        <v>1</v>
      </c>
      <c r="AB16" s="1569">
        <f>D16/H16</f>
        <v>1</v>
      </c>
      <c r="AC16" s="1569">
        <f>D16/J16</f>
        <v>1</v>
      </c>
    </row>
    <row r="17" spans="1:29" ht="99.75">
      <c r="A17" s="2932" t="s">
        <v>2755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4</v>
      </c>
      <c r="L17" s="2140"/>
      <c r="M17" s="2130"/>
      <c r="N17" s="2130"/>
      <c r="O17" s="2139"/>
      <c r="P17" s="3394" t="s">
        <v>540</v>
      </c>
      <c r="Q17" s="1570" t="str">
        <f t="shared" si="6"/>
        <v>居住社区成熟度</v>
      </c>
      <c r="R17" s="1571" t="s">
        <v>8</v>
      </c>
      <c r="S17" s="1572">
        <f t="shared" si="0"/>
        <v>100</v>
      </c>
      <c r="T17" s="1571" t="s">
        <v>8</v>
      </c>
      <c r="U17" s="1572">
        <f t="shared" si="1"/>
        <v>100</v>
      </c>
      <c r="V17" s="1571" t="s">
        <v>8</v>
      </c>
      <c r="W17" s="1572">
        <f t="shared" si="2"/>
        <v>100</v>
      </c>
      <c r="X17" s="1565"/>
      <c r="Y17" s="3394" t="s">
        <v>540</v>
      </c>
      <c r="Z17" s="1573" t="str">
        <f t="shared" si="7"/>
        <v>居住社区成熟度</v>
      </c>
      <c r="AA17" s="1574">
        <f t="shared" si="3"/>
        <v>1</v>
      </c>
      <c r="AB17" s="1574">
        <f t="shared" si="4"/>
        <v>1</v>
      </c>
      <c r="AC17" s="1574">
        <f t="shared" si="5"/>
        <v>1</v>
      </c>
    </row>
    <row r="18" spans="1:29" ht="20.25">
      <c r="A18" s="530"/>
      <c r="B18" s="551"/>
      <c r="C18" s="552" t="s">
        <v>3017</v>
      </c>
      <c r="D18" s="555"/>
      <c r="E18" s="556" t="s">
        <v>3017</v>
      </c>
      <c r="F18" s="553"/>
      <c r="G18" s="556" t="s">
        <v>3017</v>
      </c>
      <c r="H18" s="557"/>
      <c r="I18" s="556" t="s">
        <v>3017</v>
      </c>
      <c r="J18" s="553"/>
      <c r="K18" s="529"/>
      <c r="L18" s="2140"/>
      <c r="M18" s="2130"/>
      <c r="N18" s="2130"/>
      <c r="O18" s="2139"/>
      <c r="P18" s="3395"/>
      <c r="Q18" s="1570"/>
      <c r="R18" s="1571"/>
      <c r="S18" s="1572"/>
      <c r="T18" s="1571"/>
      <c r="U18" s="1572"/>
      <c r="V18" s="1571"/>
      <c r="W18" s="1572"/>
      <c r="X18" s="1565"/>
      <c r="Y18" s="3395"/>
      <c r="Z18" s="1573"/>
      <c r="AA18" s="1574">
        <v>1</v>
      </c>
      <c r="AB18" s="1574">
        <v>1</v>
      </c>
      <c r="AC18" s="1574">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2"/>
      <c r="H19" s="563">
        <f>SUMIF(92:92,G20,93:93)-SUMIF(92:92,C20,93:93)+100</f>
        <v>100</v>
      </c>
      <c r="I19" s="562"/>
      <c r="J19" s="563">
        <f>SUMIF(92:92,I20,93:93)-SUMIF(92:92,C20,93:93)+100</f>
        <v>100</v>
      </c>
      <c r="K19" s="533">
        <v>3</v>
      </c>
      <c r="L19" s="2140"/>
      <c r="M19" s="2130"/>
      <c r="N19" s="2130"/>
      <c r="O19" s="2139"/>
      <c r="P19" s="3395"/>
      <c r="Q19" s="1570" t="str">
        <f>B19</f>
        <v>商业繁华度</v>
      </c>
      <c r="R19" s="1571" t="s">
        <v>8</v>
      </c>
      <c r="S19" s="1572">
        <f>F19</f>
        <v>100</v>
      </c>
      <c r="T19" s="1571" t="s">
        <v>8</v>
      </c>
      <c r="U19" s="1572">
        <f>H19</f>
        <v>100</v>
      </c>
      <c r="V19" s="1571" t="s">
        <v>8</v>
      </c>
      <c r="W19" s="1572">
        <f>J19</f>
        <v>100</v>
      </c>
      <c r="X19" s="1565"/>
      <c r="Y19" s="3395"/>
      <c r="Z19" s="1573" t="str">
        <f>Q19</f>
        <v>商业繁华度</v>
      </c>
      <c r="AA19" s="1574">
        <f t="shared" si="3"/>
        <v>1</v>
      </c>
      <c r="AB19" s="1574">
        <f t="shared" si="4"/>
        <v>1</v>
      </c>
      <c r="AC19" s="1574">
        <f t="shared" si="5"/>
        <v>1</v>
      </c>
    </row>
    <row r="20" spans="1:29" ht="20.25">
      <c r="A20" s="530"/>
      <c r="B20" s="564"/>
      <c r="C20" s="565" t="s">
        <v>3017</v>
      </c>
      <c r="D20" s="561"/>
      <c r="E20" s="567" t="s">
        <v>3017</v>
      </c>
      <c r="F20" s="557"/>
      <c r="G20" s="567" t="s">
        <v>3017</v>
      </c>
      <c r="H20" s="553"/>
      <c r="I20" s="567" t="s">
        <v>3017</v>
      </c>
      <c r="J20" s="553"/>
      <c r="K20" s="529"/>
      <c r="L20" s="2140"/>
      <c r="M20" s="2130"/>
      <c r="N20" s="2130"/>
      <c r="O20" s="2139"/>
      <c r="P20" s="3395"/>
      <c r="Q20" s="1570"/>
      <c r="R20" s="1571"/>
      <c r="S20" s="1572"/>
      <c r="T20" s="1571"/>
      <c r="U20" s="1572"/>
      <c r="V20" s="1571"/>
      <c r="W20" s="1572"/>
      <c r="X20" s="1565"/>
      <c r="Y20" s="3395"/>
      <c r="Z20" s="1573"/>
      <c r="AA20" s="1574">
        <v>1</v>
      </c>
      <c r="AB20" s="1574">
        <v>1</v>
      </c>
      <c r="AC20" s="1574">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c r="L21" s="2140"/>
      <c r="M21" s="2130"/>
      <c r="N21" s="2130"/>
      <c r="O21" s="2139"/>
      <c r="P21" s="3395"/>
      <c r="Q21" s="1570" t="str">
        <f>B21</f>
        <v>办公集聚程度</v>
      </c>
      <c r="R21" s="1571" t="s">
        <v>8</v>
      </c>
      <c r="S21" s="1572">
        <f>F21</f>
        <v>100</v>
      </c>
      <c r="T21" s="1571" t="s">
        <v>8</v>
      </c>
      <c r="U21" s="1572">
        <f>H21</f>
        <v>100</v>
      </c>
      <c r="V21" s="1571" t="s">
        <v>8</v>
      </c>
      <c r="W21" s="1572">
        <f>J21</f>
        <v>100</v>
      </c>
      <c r="X21" s="1565"/>
      <c r="Y21" s="3395"/>
      <c r="Z21" s="1573" t="str">
        <f>Q21</f>
        <v>办公集聚程度</v>
      </c>
      <c r="AA21" s="1574">
        <f t="shared" si="3"/>
        <v>1</v>
      </c>
      <c r="AB21" s="1574">
        <f t="shared" si="4"/>
        <v>1</v>
      </c>
      <c r="AC21" s="1574">
        <f t="shared" si="5"/>
        <v>1</v>
      </c>
    </row>
    <row r="22" spans="1:29" ht="20.25" hidden="1">
      <c r="A22" s="530"/>
      <c r="B22" s="564"/>
      <c r="C22" s="552"/>
      <c r="D22" s="555"/>
      <c r="E22" s="556"/>
      <c r="F22" s="553"/>
      <c r="G22" s="556"/>
      <c r="H22" s="553"/>
      <c r="I22" s="556"/>
      <c r="J22" s="553"/>
      <c r="K22" s="529"/>
      <c r="L22" s="2140"/>
      <c r="M22" s="2130"/>
      <c r="N22" s="2130"/>
      <c r="O22" s="2139"/>
      <c r="P22" s="3395"/>
      <c r="Q22" s="1570"/>
      <c r="R22" s="1571"/>
      <c r="S22" s="1572"/>
      <c r="T22" s="1571"/>
      <c r="U22" s="1572"/>
      <c r="V22" s="1571"/>
      <c r="W22" s="1572"/>
      <c r="X22" s="1565"/>
      <c r="Y22" s="3395"/>
      <c r="Z22" s="1573"/>
      <c r="AA22" s="1574">
        <v>1</v>
      </c>
      <c r="AB22" s="1574">
        <v>1</v>
      </c>
      <c r="AC22" s="1574">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100</v>
      </c>
      <c r="K23" s="533">
        <v>3</v>
      </c>
      <c r="L23" s="2140"/>
      <c r="M23" s="2130"/>
      <c r="N23" s="2130"/>
      <c r="O23" s="2139"/>
      <c r="P23" s="3395"/>
      <c r="Q23" s="1570" t="str">
        <f>B23</f>
        <v>交通便捷度</v>
      </c>
      <c r="R23" s="1571" t="s">
        <v>8</v>
      </c>
      <c r="S23" s="1572">
        <f>F23</f>
        <v>100</v>
      </c>
      <c r="T23" s="1571" t="s">
        <v>8</v>
      </c>
      <c r="U23" s="1572">
        <f>H23</f>
        <v>100</v>
      </c>
      <c r="V23" s="1571" t="s">
        <v>8</v>
      </c>
      <c r="W23" s="1572">
        <f>J23</f>
        <v>100</v>
      </c>
      <c r="X23" s="1565"/>
      <c r="Y23" s="3395"/>
      <c r="Z23" s="1573" t="str">
        <f>Q23</f>
        <v>交通便捷度</v>
      </c>
      <c r="AA23" s="1574">
        <f t="shared" si="3"/>
        <v>1</v>
      </c>
      <c r="AB23" s="1574">
        <f t="shared" si="4"/>
        <v>1</v>
      </c>
      <c r="AC23" s="1574">
        <f t="shared" si="5"/>
        <v>1</v>
      </c>
    </row>
    <row r="24" spans="1:29" ht="20.25">
      <c r="A24" s="530"/>
      <c r="B24" s="576"/>
      <c r="C24" s="552" t="s">
        <v>3017</v>
      </c>
      <c r="D24" s="555"/>
      <c r="E24" s="556" t="s">
        <v>3017</v>
      </c>
      <c r="F24" s="553"/>
      <c r="G24" s="556" t="s">
        <v>3017</v>
      </c>
      <c r="H24" s="553"/>
      <c r="I24" s="556" t="s">
        <v>3017</v>
      </c>
      <c r="J24" s="553"/>
      <c r="K24" s="529"/>
      <c r="L24" s="2140"/>
      <c r="M24" s="2130"/>
      <c r="N24" s="2130"/>
      <c r="O24" s="2139"/>
      <c r="P24" s="3395"/>
      <c r="Q24" s="1570"/>
      <c r="R24" s="1571"/>
      <c r="S24" s="1572"/>
      <c r="T24" s="1571"/>
      <c r="U24" s="1572"/>
      <c r="V24" s="1571"/>
      <c r="W24" s="1572"/>
      <c r="X24" s="1565"/>
      <c r="Y24" s="3395"/>
      <c r="Z24" s="1573"/>
      <c r="AA24" s="1574">
        <v>1</v>
      </c>
      <c r="AB24" s="1574">
        <v>1</v>
      </c>
      <c r="AC24" s="1574">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2</v>
      </c>
      <c r="L25" s="2140"/>
      <c r="M25" s="2130"/>
      <c r="N25" s="2130"/>
      <c r="O25" s="2139"/>
      <c r="P25" s="3395"/>
      <c r="Q25" s="1570" t="str">
        <f t="shared" ref="Q25:Q39" si="8">B25</f>
        <v>区域土地利用方向</v>
      </c>
      <c r="R25" s="1571" t="s">
        <v>8</v>
      </c>
      <c r="S25" s="1572">
        <f>F25</f>
        <v>100</v>
      </c>
      <c r="T25" s="1571" t="s">
        <v>8</v>
      </c>
      <c r="U25" s="1572">
        <f>H25</f>
        <v>100</v>
      </c>
      <c r="V25" s="1571" t="s">
        <v>8</v>
      </c>
      <c r="W25" s="1572">
        <f>J25</f>
        <v>100</v>
      </c>
      <c r="X25" s="1565"/>
      <c r="Y25" s="3395"/>
      <c r="Z25" s="1573" t="str">
        <f>Q25</f>
        <v>区域土地利用方向</v>
      </c>
      <c r="AA25" s="1574">
        <f t="shared" si="3"/>
        <v>1</v>
      </c>
      <c r="AB25" s="1574">
        <f t="shared" si="4"/>
        <v>1</v>
      </c>
      <c r="AC25" s="1574">
        <f t="shared" si="5"/>
        <v>1</v>
      </c>
    </row>
    <row r="26" spans="1:29" ht="20.25">
      <c r="A26" s="513"/>
      <c r="B26" s="1004"/>
      <c r="C26" s="552" t="s">
        <v>3018</v>
      </c>
      <c r="D26" s="555"/>
      <c r="E26" s="556" t="s">
        <v>3018</v>
      </c>
      <c r="F26" s="553"/>
      <c r="G26" s="556" t="s">
        <v>3018</v>
      </c>
      <c r="H26" s="553"/>
      <c r="I26" s="556" t="s">
        <v>3018</v>
      </c>
      <c r="J26" s="553"/>
      <c r="K26" s="529"/>
      <c r="L26" s="2140"/>
      <c r="M26" s="2130"/>
      <c r="N26" s="2130"/>
      <c r="O26" s="2139"/>
      <c r="P26" s="3395"/>
      <c r="Q26" s="1570"/>
      <c r="R26" s="1571"/>
      <c r="S26" s="1572"/>
      <c r="T26" s="1571"/>
      <c r="U26" s="1572"/>
      <c r="V26" s="1571"/>
      <c r="W26" s="1572"/>
      <c r="X26" s="1565"/>
      <c r="Y26" s="3395"/>
      <c r="Z26" s="1573"/>
      <c r="AA26" s="1574"/>
      <c r="AB26" s="1574"/>
      <c r="AC26" s="1574"/>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100</v>
      </c>
      <c r="I27" s="562"/>
      <c r="J27" s="557">
        <f>SUMIF(100:100,I28,101:101)-SUMIF(100:100,C28,101:101)+100</f>
        <v>100</v>
      </c>
      <c r="K27" s="533">
        <v>4</v>
      </c>
      <c r="L27" s="2140"/>
      <c r="M27" s="2130"/>
      <c r="N27" s="2130"/>
      <c r="O27" s="2139"/>
      <c r="P27" s="3395"/>
      <c r="Q27" s="1570" t="str">
        <f t="shared" si="8"/>
        <v>自然及人文环境状况</v>
      </c>
      <c r="R27" s="1571" t="s">
        <v>8</v>
      </c>
      <c r="S27" s="1572">
        <f>F27</f>
        <v>100</v>
      </c>
      <c r="T27" s="1571" t="s">
        <v>8</v>
      </c>
      <c r="U27" s="1572">
        <f>H27</f>
        <v>100</v>
      </c>
      <c r="V27" s="1571" t="s">
        <v>8</v>
      </c>
      <c r="W27" s="1572">
        <f>J27</f>
        <v>100</v>
      </c>
      <c r="X27" s="1565"/>
      <c r="Y27" s="3395"/>
      <c r="Z27" s="1573" t="str">
        <f>Q27</f>
        <v>自然及人文环境状况</v>
      </c>
      <c r="AA27" s="1574">
        <f t="shared" si="3"/>
        <v>1</v>
      </c>
      <c r="AB27" s="1574">
        <f t="shared" si="4"/>
        <v>1</v>
      </c>
      <c r="AC27" s="1574">
        <f t="shared" si="5"/>
        <v>1</v>
      </c>
    </row>
    <row r="28" spans="1:29" ht="20.25">
      <c r="A28" s="513"/>
      <c r="B28" s="564"/>
      <c r="C28" s="552" t="s">
        <v>3017</v>
      </c>
      <c r="D28" s="555"/>
      <c r="E28" s="574" t="s">
        <v>3017</v>
      </c>
      <c r="F28" s="553"/>
      <c r="G28" s="574" t="s">
        <v>3017</v>
      </c>
      <c r="H28" s="553"/>
      <c r="I28" s="574" t="s">
        <v>3017</v>
      </c>
      <c r="J28" s="553"/>
      <c r="K28" s="529"/>
      <c r="L28" s="2140"/>
      <c r="M28" s="2130"/>
      <c r="N28" s="2130"/>
      <c r="O28" s="2139"/>
      <c r="P28" s="3395"/>
      <c r="Q28" s="1570"/>
      <c r="R28" s="1571"/>
      <c r="S28" s="1572"/>
      <c r="T28" s="1571"/>
      <c r="U28" s="1572"/>
      <c r="V28" s="1571"/>
      <c r="W28" s="1572"/>
      <c r="X28" s="1565"/>
      <c r="Y28" s="3395"/>
      <c r="Z28" s="1573"/>
      <c r="AA28" s="1574">
        <v>1</v>
      </c>
      <c r="AB28" s="1574">
        <v>1</v>
      </c>
      <c r="AC28" s="1574">
        <v>1</v>
      </c>
    </row>
    <row r="29" spans="1:29" s="1217" customFormat="1" ht="42.75">
      <c r="A29" s="575"/>
      <c r="B29" s="2613" t="s">
        <v>2549</v>
      </c>
      <c r="C29" s="571" t="str">
        <f>估价对象房地状况!C21</f>
        <v>估价对象所在区域公共配套设施齐备情况</v>
      </c>
      <c r="D29" s="561">
        <v>100</v>
      </c>
      <c r="E29" s="562"/>
      <c r="F29" s="557">
        <f>SUMIF(102:102,E30,103:103)-SUMIF(102:102,C30,103:103)+100</f>
        <v>100</v>
      </c>
      <c r="G29" s="562"/>
      <c r="H29" s="557">
        <f>SUMIF(102:102,G30,103:103)-SUMIF(102:102,C30,103:103)+100</f>
        <v>100</v>
      </c>
      <c r="I29" s="562"/>
      <c r="J29" s="557">
        <f>SUMIF(102:102,I30,103:103)-SUMIF(102:102,C30,103:103)+100</f>
        <v>100</v>
      </c>
      <c r="K29" s="533">
        <v>4</v>
      </c>
      <c r="L29" s="2133"/>
      <c r="M29" s="2130"/>
      <c r="N29" s="2130"/>
      <c r="O29" s="2135"/>
      <c r="P29" s="3395"/>
      <c r="Q29" s="1148" t="str">
        <f t="shared" si="8"/>
        <v>公共配套设施</v>
      </c>
      <c r="R29" s="1566" t="s">
        <v>8</v>
      </c>
      <c r="S29" s="1567">
        <f>F29</f>
        <v>100</v>
      </c>
      <c r="T29" s="1566" t="s">
        <v>8</v>
      </c>
      <c r="U29" s="1567">
        <f>H29</f>
        <v>100</v>
      </c>
      <c r="V29" s="1566" t="s">
        <v>8</v>
      </c>
      <c r="W29" s="1567">
        <f>J29</f>
        <v>100</v>
      </c>
      <c r="X29" s="1568"/>
      <c r="Y29" s="3395"/>
      <c r="Z29" s="1147" t="str">
        <f>Q29</f>
        <v>公共配套设施</v>
      </c>
      <c r="AA29" s="1574">
        <f>D29/F29</f>
        <v>1</v>
      </c>
      <c r="AB29" s="1574">
        <f>D29/H29</f>
        <v>1</v>
      </c>
      <c r="AC29" s="1574">
        <f>D29/J29</f>
        <v>1</v>
      </c>
    </row>
    <row r="30" spans="1:29" s="1217" customFormat="1" ht="20.25">
      <c r="A30" s="575"/>
      <c r="B30" s="564"/>
      <c r="C30" s="577" t="s">
        <v>3017</v>
      </c>
      <c r="D30" s="555"/>
      <c r="E30" s="574" t="s">
        <v>3017</v>
      </c>
      <c r="F30" s="553"/>
      <c r="G30" s="574" t="s">
        <v>3017</v>
      </c>
      <c r="H30" s="553"/>
      <c r="I30" s="574" t="s">
        <v>3017</v>
      </c>
      <c r="J30" s="553"/>
      <c r="K30" s="529"/>
      <c r="L30" s="2133"/>
      <c r="M30" s="2130"/>
      <c r="N30" s="2130"/>
      <c r="O30" s="2135"/>
      <c r="P30" s="3395"/>
      <c r="Q30" s="1148"/>
      <c r="R30" s="1566"/>
      <c r="S30" s="1567"/>
      <c r="T30" s="1566"/>
      <c r="U30" s="1567"/>
      <c r="V30" s="1566"/>
      <c r="W30" s="1567"/>
      <c r="X30" s="1568"/>
      <c r="Y30" s="3395"/>
      <c r="Z30" s="1147"/>
      <c r="AA30" s="1574">
        <v>1</v>
      </c>
      <c r="AB30" s="1574">
        <v>1</v>
      </c>
      <c r="AC30" s="1574">
        <v>1</v>
      </c>
    </row>
    <row r="31" spans="1:29" s="1217" customFormat="1" ht="28.5">
      <c r="A31" s="575"/>
      <c r="B31" s="2613" t="s">
        <v>2550</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v>2</v>
      </c>
      <c r="L31" s="2133"/>
      <c r="M31" s="2130"/>
      <c r="N31" s="2130"/>
      <c r="O31" s="2135"/>
      <c r="P31" s="3395"/>
      <c r="Q31" s="2600" t="str">
        <f t="shared" ref="Q31" si="9">B31</f>
        <v>基础设施水平</v>
      </c>
      <c r="R31" s="1566" t="s">
        <v>8</v>
      </c>
      <c r="S31" s="1567">
        <f>F31</f>
        <v>100</v>
      </c>
      <c r="T31" s="1566" t="s">
        <v>8</v>
      </c>
      <c r="U31" s="1567">
        <f>H31</f>
        <v>100</v>
      </c>
      <c r="V31" s="1566" t="s">
        <v>8</v>
      </c>
      <c r="W31" s="1567">
        <f>J31</f>
        <v>100</v>
      </c>
      <c r="X31" s="1568"/>
      <c r="Y31" s="3395"/>
      <c r="Z31" s="2597" t="str">
        <f>Q31</f>
        <v>基础设施水平</v>
      </c>
      <c r="AA31" s="1574">
        <f>D31/F31</f>
        <v>1</v>
      </c>
      <c r="AB31" s="1574">
        <f>D31/H31</f>
        <v>1</v>
      </c>
      <c r="AC31" s="1574">
        <f>D31/J31</f>
        <v>1</v>
      </c>
    </row>
    <row r="32" spans="1:29" s="1217" customFormat="1" ht="20.25">
      <c r="A32" s="575"/>
      <c r="B32" s="564"/>
      <c r="C32" s="577" t="s">
        <v>3019</v>
      </c>
      <c r="D32" s="555"/>
      <c r="E32" s="2614" t="s">
        <v>3019</v>
      </c>
      <c r="F32" s="553"/>
      <c r="G32" s="2614" t="s">
        <v>3019</v>
      </c>
      <c r="H32" s="553"/>
      <c r="I32" s="2614" t="s">
        <v>3019</v>
      </c>
      <c r="J32" s="553"/>
      <c r="K32" s="529"/>
      <c r="L32" s="2133"/>
      <c r="M32" s="2130"/>
      <c r="N32" s="2130"/>
      <c r="O32" s="2135"/>
      <c r="P32" s="3395"/>
      <c r="Q32" s="2600"/>
      <c r="R32" s="1566"/>
      <c r="S32" s="1567"/>
      <c r="T32" s="1566"/>
      <c r="U32" s="1567"/>
      <c r="V32" s="1566"/>
      <c r="W32" s="1567"/>
      <c r="X32" s="1568"/>
      <c r="Y32" s="3395"/>
      <c r="Z32" s="2597"/>
      <c r="AA32" s="1574">
        <v>1</v>
      </c>
      <c r="AB32" s="1574">
        <v>1</v>
      </c>
      <c r="AC32" s="1574">
        <v>1</v>
      </c>
    </row>
    <row r="33" spans="1:29" ht="20.25">
      <c r="A33" s="530"/>
      <c r="B33" s="564" t="s">
        <v>547</v>
      </c>
      <c r="C33" s="578" t="s">
        <v>3044</v>
      </c>
      <c r="D33" s="573">
        <v>100</v>
      </c>
      <c r="E33" s="578" t="s">
        <v>3044</v>
      </c>
      <c r="F33" s="538">
        <f>SUMIF(106:106,E33,107:107)-SUMIF(106:106,C33,107:107)+100</f>
        <v>100</v>
      </c>
      <c r="G33" s="578" t="s">
        <v>3044</v>
      </c>
      <c r="H33" s="538">
        <f>SUMIF(106:106,G33,107:107)-SUMIF(106:106,C33,107:107)+100</f>
        <v>100</v>
      </c>
      <c r="I33" s="578" t="s">
        <v>3044</v>
      </c>
      <c r="J33" s="538">
        <f>SUMIF(106:106,I33,107:107)-SUMIF(106:106,C33,107:107)+100</f>
        <v>100</v>
      </c>
      <c r="K33" s="533">
        <v>1</v>
      </c>
      <c r="L33" s="2140"/>
      <c r="M33" s="2130"/>
      <c r="N33" s="2130"/>
      <c r="O33" s="2139"/>
      <c r="P33" s="3395"/>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5"/>
      <c r="Z33" s="1573" t="str">
        <f t="shared" ref="Z33:Z47" si="13">Q33</f>
        <v>临街状况</v>
      </c>
      <c r="AA33" s="1574">
        <f t="shared" si="3"/>
        <v>1</v>
      </c>
      <c r="AB33" s="1574">
        <f t="shared" si="4"/>
        <v>1</v>
      </c>
      <c r="AC33" s="1574">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40"/>
      <c r="M34" s="2130"/>
      <c r="N34" s="2130"/>
      <c r="O34" s="2139"/>
      <c r="P34" s="3395"/>
      <c r="Q34" s="1570" t="str">
        <f t="shared" si="8"/>
        <v>毗邻道路的类型与等级</v>
      </c>
      <c r="R34" s="1571" t="s">
        <v>8</v>
      </c>
      <c r="S34" s="1572">
        <f t="shared" si="10"/>
        <v>100</v>
      </c>
      <c r="T34" s="1571" t="s">
        <v>8</v>
      </c>
      <c r="U34" s="1572">
        <f t="shared" si="11"/>
        <v>100</v>
      </c>
      <c r="V34" s="1571" t="s">
        <v>8</v>
      </c>
      <c r="W34" s="1572">
        <f t="shared" si="12"/>
        <v>100</v>
      </c>
      <c r="X34" s="1565"/>
      <c r="Y34" s="3395"/>
      <c r="Z34" s="1573" t="str">
        <f t="shared" si="13"/>
        <v>毗邻道路的类型与等级</v>
      </c>
      <c r="AA34" s="1574">
        <f t="shared" si="3"/>
        <v>1</v>
      </c>
      <c r="AB34" s="1574">
        <f t="shared" si="4"/>
        <v>1</v>
      </c>
      <c r="AC34" s="1574">
        <f t="shared" si="5"/>
        <v>1</v>
      </c>
    </row>
    <row r="35" spans="1:29" ht="21" thickBot="1">
      <c r="A35" s="530"/>
      <c r="B35" s="564"/>
      <c r="C35" s="552" t="s">
        <v>3025</v>
      </c>
      <c r="D35" s="555"/>
      <c r="E35" s="574" t="s">
        <v>3025</v>
      </c>
      <c r="F35" s="553"/>
      <c r="G35" s="552" t="s">
        <v>3025</v>
      </c>
      <c r="H35" s="553"/>
      <c r="I35" s="574" t="s">
        <v>3025</v>
      </c>
      <c r="J35" s="553"/>
      <c r="K35" s="579"/>
      <c r="L35" s="2140"/>
      <c r="M35" s="2130"/>
      <c r="N35" s="2130"/>
      <c r="O35" s="2139"/>
      <c r="P35" s="3395"/>
      <c r="Q35" s="1570"/>
      <c r="R35" s="1571"/>
      <c r="S35" s="1572"/>
      <c r="T35" s="1571"/>
      <c r="U35" s="1572"/>
      <c r="V35" s="1571"/>
      <c r="W35" s="1572"/>
      <c r="X35" s="1565"/>
      <c r="Y35" s="3395"/>
      <c r="Z35" s="1573"/>
      <c r="AA35" s="1574">
        <v>1</v>
      </c>
      <c r="AB35" s="1574">
        <v>1</v>
      </c>
      <c r="AC35" s="1574">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395"/>
      <c r="Q36" s="1570" t="str">
        <f t="shared" si="8"/>
        <v>土地级别</v>
      </c>
      <c r="R36" s="1571" t="s">
        <v>8</v>
      </c>
      <c r="S36" s="1572">
        <f t="shared" si="10"/>
        <v>100</v>
      </c>
      <c r="T36" s="1571" t="s">
        <v>8</v>
      </c>
      <c r="U36" s="1572">
        <f t="shared" si="11"/>
        <v>100</v>
      </c>
      <c r="V36" s="1571" t="s">
        <v>8</v>
      </c>
      <c r="W36" s="1572">
        <f t="shared" si="12"/>
        <v>100</v>
      </c>
      <c r="X36" s="1565"/>
      <c r="Y36" s="3395"/>
      <c r="Z36" s="1573" t="str">
        <f t="shared" si="13"/>
        <v>土地级别</v>
      </c>
      <c r="AA36" s="1574">
        <f t="shared" si="3"/>
        <v>1</v>
      </c>
      <c r="AB36" s="1574">
        <f t="shared" si="4"/>
        <v>1</v>
      </c>
      <c r="AC36" s="1574">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395"/>
      <c r="Q37" s="1570">
        <f t="shared" si="8"/>
        <v>0</v>
      </c>
      <c r="R37" s="1571" t="s">
        <v>8</v>
      </c>
      <c r="S37" s="1572">
        <f t="shared" si="10"/>
        <v>100</v>
      </c>
      <c r="T37" s="1571" t="s">
        <v>8</v>
      </c>
      <c r="U37" s="1572">
        <f t="shared" si="11"/>
        <v>100</v>
      </c>
      <c r="V37" s="1571" t="s">
        <v>8</v>
      </c>
      <c r="W37" s="1572">
        <f t="shared" si="12"/>
        <v>100</v>
      </c>
      <c r="X37" s="1565"/>
      <c r="Y37" s="3395"/>
      <c r="Z37" s="1573">
        <f t="shared" si="13"/>
        <v>0</v>
      </c>
      <c r="AA37" s="1574">
        <f t="shared" si="3"/>
        <v>1</v>
      </c>
      <c r="AB37" s="1574">
        <f t="shared" si="4"/>
        <v>1</v>
      </c>
      <c r="AC37" s="1574">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396" t="s">
        <v>550</v>
      </c>
      <c r="Q38" s="1570">
        <f t="shared" si="8"/>
        <v>0</v>
      </c>
      <c r="R38" s="1571" t="s">
        <v>8</v>
      </c>
      <c r="S38" s="1572">
        <f t="shared" si="10"/>
        <v>100</v>
      </c>
      <c r="T38" s="1571" t="s">
        <v>8</v>
      </c>
      <c r="U38" s="1572">
        <f t="shared" si="11"/>
        <v>100</v>
      </c>
      <c r="V38" s="1571" t="s">
        <v>8</v>
      </c>
      <c r="W38" s="1572">
        <f t="shared" si="12"/>
        <v>100</v>
      </c>
      <c r="X38" s="1565"/>
      <c r="Y38" s="3397" t="s">
        <v>550</v>
      </c>
      <c r="Z38" s="1573">
        <f t="shared" si="13"/>
        <v>0</v>
      </c>
      <c r="AA38" s="1574">
        <f t="shared" si="3"/>
        <v>1</v>
      </c>
      <c r="AB38" s="1574">
        <f t="shared" si="4"/>
        <v>1</v>
      </c>
      <c r="AC38" s="1574">
        <f t="shared" si="5"/>
        <v>1</v>
      </c>
    </row>
    <row r="39" spans="1:29" s="1336"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397"/>
      <c r="Q39" s="1570">
        <f t="shared" si="8"/>
        <v>0</v>
      </c>
      <c r="R39" s="1575" t="s">
        <v>8</v>
      </c>
      <c r="S39" s="1576">
        <f t="shared" si="10"/>
        <v>100</v>
      </c>
      <c r="T39" s="1575" t="s">
        <v>8</v>
      </c>
      <c r="U39" s="1576">
        <f t="shared" si="11"/>
        <v>100</v>
      </c>
      <c r="V39" s="1575" t="s">
        <v>8</v>
      </c>
      <c r="W39" s="1576">
        <f t="shared" si="12"/>
        <v>100</v>
      </c>
      <c r="X39" s="1577"/>
      <c r="Y39" s="3397"/>
      <c r="Z39" s="1578">
        <f t="shared" si="13"/>
        <v>0</v>
      </c>
      <c r="AA39" s="1574">
        <f t="shared" si="3"/>
        <v>1</v>
      </c>
      <c r="AB39" s="1574">
        <f t="shared" si="4"/>
        <v>1</v>
      </c>
      <c r="AC39" s="1574">
        <f t="shared" si="5"/>
        <v>1</v>
      </c>
    </row>
    <row r="40" spans="1:29" ht="20.25">
      <c r="A40" s="2929" t="s">
        <v>2756</v>
      </c>
      <c r="B40" s="593" t="s">
        <v>552</v>
      </c>
      <c r="C40" s="594">
        <f>'数据-汇总表'!D3</f>
        <v>74959</v>
      </c>
      <c r="D40" s="595">
        <v>100</v>
      </c>
      <c r="E40" s="594">
        <v>36067.199999999997</v>
      </c>
      <c r="F40" s="595">
        <f>LOOKUP(E40,119:119,120:120)-LOOKUP(C40,119:119,120:120)+100</f>
        <v>99</v>
      </c>
      <c r="G40" s="594">
        <v>42267.4</v>
      </c>
      <c r="H40" s="595">
        <f>LOOKUP(G40,119:119,120:120)-LOOKUP(C40,119:119,120:120)+100</f>
        <v>99</v>
      </c>
      <c r="I40" s="596">
        <v>38123.599999999999</v>
      </c>
      <c r="J40" s="595">
        <f>LOOKUP(I40,119:119,120:120)-LOOKUP(C40,119:119,120:120)+100</f>
        <v>99</v>
      </c>
      <c r="K40" s="579"/>
      <c r="L40" s="2140"/>
      <c r="M40" s="2130"/>
      <c r="N40" s="2130"/>
      <c r="O40" s="2139"/>
      <c r="P40" s="3397"/>
      <c r="Q40" s="1570" t="str">
        <f>B40</f>
        <v>宗地面积</v>
      </c>
      <c r="R40" s="1571" t="s">
        <v>8</v>
      </c>
      <c r="S40" s="1572">
        <f t="shared" si="10"/>
        <v>99</v>
      </c>
      <c r="T40" s="1571" t="s">
        <v>8</v>
      </c>
      <c r="U40" s="1572">
        <f t="shared" si="11"/>
        <v>99</v>
      </c>
      <c r="V40" s="1571" t="s">
        <v>8</v>
      </c>
      <c r="W40" s="1572">
        <f t="shared" si="12"/>
        <v>99</v>
      </c>
      <c r="X40" s="1565"/>
      <c r="Y40" s="3397"/>
      <c r="Z40" s="1573" t="str">
        <f t="shared" si="13"/>
        <v>宗地面积</v>
      </c>
      <c r="AA40" s="1574">
        <f t="shared" si="3"/>
        <v>1.0101010101010102</v>
      </c>
      <c r="AB40" s="1574">
        <f t="shared" si="4"/>
        <v>1.0101010101010102</v>
      </c>
      <c r="AC40" s="1574">
        <f t="shared" si="5"/>
        <v>1.0101010101010102</v>
      </c>
    </row>
    <row r="41" spans="1:29" ht="20.25">
      <c r="A41" s="592"/>
      <c r="B41" s="525" t="s">
        <v>553</v>
      </c>
      <c r="C41" s="597" t="s">
        <v>3029</v>
      </c>
      <c r="D41" s="538">
        <v>100</v>
      </c>
      <c r="E41" s="597" t="s">
        <v>3029</v>
      </c>
      <c r="F41" s="538">
        <f>SUMIF(121:121,E41,122:122)-SUMIF(121:121,C41,122:122)+100</f>
        <v>100</v>
      </c>
      <c r="G41" s="597" t="s">
        <v>3029</v>
      </c>
      <c r="H41" s="538">
        <f>SUMIF(121:121,G41,122:122)-SUMIF(121:121,C41,122:122)+100</f>
        <v>100</v>
      </c>
      <c r="I41" s="597" t="s">
        <v>3029</v>
      </c>
      <c r="J41" s="538">
        <f>SUMIF(121:121,I41,122:122)-SUMIF(121:121,C41,122:122)+100</f>
        <v>100</v>
      </c>
      <c r="K41" s="582">
        <v>1</v>
      </c>
      <c r="L41" s="2140"/>
      <c r="M41" s="2130"/>
      <c r="N41" s="2130"/>
      <c r="O41" s="2139"/>
      <c r="P41" s="3397"/>
      <c r="Q41" s="1570" t="str">
        <f t="shared" ref="Q41:Q47" si="14">B41</f>
        <v>宗地形状</v>
      </c>
      <c r="R41" s="1571" t="s">
        <v>8</v>
      </c>
      <c r="S41" s="1572">
        <f t="shared" si="10"/>
        <v>100</v>
      </c>
      <c r="T41" s="1571" t="s">
        <v>8</v>
      </c>
      <c r="U41" s="1572">
        <f t="shared" si="11"/>
        <v>100</v>
      </c>
      <c r="V41" s="1571" t="s">
        <v>8</v>
      </c>
      <c r="W41" s="1572">
        <f t="shared" si="12"/>
        <v>100</v>
      </c>
      <c r="X41" s="1565"/>
      <c r="Y41" s="3397"/>
      <c r="Z41" s="1573" t="str">
        <f t="shared" si="13"/>
        <v>宗地形状</v>
      </c>
      <c r="AA41" s="1574">
        <f t="shared" si="3"/>
        <v>1</v>
      </c>
      <c r="AB41" s="1574">
        <f t="shared" si="4"/>
        <v>1</v>
      </c>
      <c r="AC41" s="1574">
        <f t="shared" si="5"/>
        <v>1</v>
      </c>
    </row>
    <row r="42" spans="1:29" ht="20.25">
      <c r="A42" s="592"/>
      <c r="B42" s="525" t="s">
        <v>554</v>
      </c>
      <c r="C42" s="597" t="s">
        <v>3018</v>
      </c>
      <c r="D42" s="538">
        <v>100</v>
      </c>
      <c r="E42" s="597" t="s">
        <v>3018</v>
      </c>
      <c r="F42" s="538">
        <f>SUMIF(123:123,E42,124:124)-SUMIF(123:123,C42,124:124)+100</f>
        <v>100</v>
      </c>
      <c r="G42" s="597" t="s">
        <v>3018</v>
      </c>
      <c r="H42" s="538">
        <f>SUMIF(123:123,G42,124:124)-SUMIF(123:123,C42,124:124)+100</f>
        <v>100</v>
      </c>
      <c r="I42" s="597" t="s">
        <v>3018</v>
      </c>
      <c r="J42" s="538">
        <f>SUMIF(123:123,I42,124:124)-SUMIF(123:123,C42,124:124)+100</f>
        <v>100</v>
      </c>
      <c r="K42" s="582">
        <v>1</v>
      </c>
      <c r="L42" s="2140"/>
      <c r="M42" s="2130"/>
      <c r="N42" s="2130"/>
      <c r="O42" s="2139"/>
      <c r="P42" s="3397"/>
      <c r="Q42" s="1570" t="str">
        <f t="shared" si="14"/>
        <v>临街宽度及深度</v>
      </c>
      <c r="R42" s="1571" t="s">
        <v>8</v>
      </c>
      <c r="S42" s="1572">
        <f t="shared" si="10"/>
        <v>100</v>
      </c>
      <c r="T42" s="1571" t="s">
        <v>8</v>
      </c>
      <c r="U42" s="1572">
        <f t="shared" si="11"/>
        <v>100</v>
      </c>
      <c r="V42" s="1571" t="s">
        <v>8</v>
      </c>
      <c r="W42" s="1572">
        <f t="shared" si="12"/>
        <v>100</v>
      </c>
      <c r="X42" s="1565"/>
      <c r="Y42" s="3397"/>
      <c r="Z42" s="1573" t="str">
        <f t="shared" si="13"/>
        <v>临街宽度及深度</v>
      </c>
      <c r="AA42" s="1574">
        <f t="shared" si="3"/>
        <v>1</v>
      </c>
      <c r="AB42" s="1574">
        <f t="shared" si="4"/>
        <v>1</v>
      </c>
      <c r="AC42" s="1574">
        <f t="shared" si="5"/>
        <v>1</v>
      </c>
    </row>
    <row r="43" spans="1:29" s="1217" customFormat="1" ht="20.25">
      <c r="A43" s="598"/>
      <c r="B43" s="1893" t="s">
        <v>2425</v>
      </c>
      <c r="C43" s="599" t="s">
        <v>3042</v>
      </c>
      <c r="D43" s="253">
        <v>100</v>
      </c>
      <c r="E43" s="599" t="s">
        <v>3042</v>
      </c>
      <c r="F43" s="538">
        <f>SUMIF(125:125,E43,126:126)-SUMIF(125:125,C43,126:126)+100</f>
        <v>100</v>
      </c>
      <c r="G43" s="599" t="s">
        <v>3042</v>
      </c>
      <c r="H43" s="538">
        <f>SUMIF(125:125,G43,126:126)-SUMIF(125:125,C43,126:126)+100</f>
        <v>100</v>
      </c>
      <c r="I43" s="599" t="s">
        <v>3042</v>
      </c>
      <c r="J43" s="538">
        <f>SUMIF(125:125,I43,126:126)-SUMIF(125:125,C43,126:126)+100</f>
        <v>100</v>
      </c>
      <c r="K43" s="582">
        <v>1</v>
      </c>
      <c r="L43" s="2133"/>
      <c r="M43" s="2130"/>
      <c r="N43" s="2130"/>
      <c r="O43" s="2135"/>
      <c r="P43" s="3397"/>
      <c r="Q43" s="1570" t="str">
        <f t="shared" si="14"/>
        <v>宗地开发程度</v>
      </c>
      <c r="R43" s="1566" t="s">
        <v>8</v>
      </c>
      <c r="S43" s="1567">
        <f t="shared" si="10"/>
        <v>100</v>
      </c>
      <c r="T43" s="1566" t="s">
        <v>8</v>
      </c>
      <c r="U43" s="1567">
        <f t="shared" si="11"/>
        <v>100</v>
      </c>
      <c r="V43" s="1566" t="s">
        <v>8</v>
      </c>
      <c r="W43" s="1567">
        <f t="shared" si="12"/>
        <v>100</v>
      </c>
      <c r="X43" s="1568"/>
      <c r="Y43" s="3397"/>
      <c r="Z43" s="1147" t="str">
        <f t="shared" si="13"/>
        <v>宗地开发程度</v>
      </c>
      <c r="AA43" s="1569">
        <f t="shared" si="3"/>
        <v>1</v>
      </c>
      <c r="AB43" s="1569">
        <f t="shared" si="4"/>
        <v>1</v>
      </c>
      <c r="AC43" s="1569">
        <f t="shared" si="5"/>
        <v>1</v>
      </c>
    </row>
    <row r="44" spans="1:29" ht="21" thickBot="1">
      <c r="A44" s="592"/>
      <c r="B44" s="525" t="s">
        <v>555</v>
      </c>
      <c r="C44" s="597" t="s">
        <v>3018</v>
      </c>
      <c r="D44" s="538">
        <v>100</v>
      </c>
      <c r="E44" s="597" t="s">
        <v>3018</v>
      </c>
      <c r="F44" s="538">
        <f>SUMIF(127:127,E44,128:128)-SUMIF(127:127,C44,128:128)+100</f>
        <v>100</v>
      </c>
      <c r="G44" s="597" t="s">
        <v>3018</v>
      </c>
      <c r="H44" s="538">
        <f>SUMIF(127:127,G44,128:128)-SUMIF(127:127,C44,128:128)+100</f>
        <v>100</v>
      </c>
      <c r="I44" s="597" t="s">
        <v>3018</v>
      </c>
      <c r="J44" s="538">
        <f>SUMIF(127:127,I44,128:128)-SUMIF(127:127,C44,128:128)+100</f>
        <v>100</v>
      </c>
      <c r="K44" s="582">
        <v>1</v>
      </c>
      <c r="L44" s="2140"/>
      <c r="M44" s="2130"/>
      <c r="N44" s="2130"/>
      <c r="O44" s="2139"/>
      <c r="P44" s="3397" t="s">
        <v>550</v>
      </c>
      <c r="Q44" s="1570" t="str">
        <f t="shared" si="14"/>
        <v>工程地质条件</v>
      </c>
      <c r="R44" s="1571" t="s">
        <v>8</v>
      </c>
      <c r="S44" s="1572">
        <f t="shared" si="10"/>
        <v>100</v>
      </c>
      <c r="T44" s="1571" t="s">
        <v>8</v>
      </c>
      <c r="U44" s="1572">
        <f t="shared" si="11"/>
        <v>100</v>
      </c>
      <c r="V44" s="1571" t="s">
        <v>8</v>
      </c>
      <c r="W44" s="1572">
        <f t="shared" si="12"/>
        <v>100</v>
      </c>
      <c r="X44" s="1565"/>
      <c r="Y44" s="3397" t="s">
        <v>550</v>
      </c>
      <c r="Z44" s="1573" t="str">
        <f t="shared" si="13"/>
        <v>工程地质条件</v>
      </c>
      <c r="AA44" s="1574">
        <f t="shared" si="3"/>
        <v>1</v>
      </c>
      <c r="AB44" s="1574">
        <f t="shared" si="4"/>
        <v>1</v>
      </c>
      <c r="AC44" s="1574">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397"/>
      <c r="Q45" s="1570">
        <f t="shared" si="14"/>
        <v>0</v>
      </c>
      <c r="R45" s="1571" t="s">
        <v>8</v>
      </c>
      <c r="S45" s="1572">
        <f t="shared" si="10"/>
        <v>100</v>
      </c>
      <c r="T45" s="1571" t="s">
        <v>8</v>
      </c>
      <c r="U45" s="1572">
        <f t="shared" si="11"/>
        <v>100</v>
      </c>
      <c r="V45" s="1571" t="s">
        <v>8</v>
      </c>
      <c r="W45" s="1572">
        <f t="shared" si="12"/>
        <v>100</v>
      </c>
      <c r="X45" s="1565"/>
      <c r="Y45" s="3397"/>
      <c r="Z45" s="1573">
        <f t="shared" si="13"/>
        <v>0</v>
      </c>
      <c r="AA45" s="1574">
        <f t="shared" si="3"/>
        <v>1</v>
      </c>
      <c r="AB45" s="1574">
        <f t="shared" si="4"/>
        <v>1</v>
      </c>
      <c r="AC45" s="1574">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397"/>
      <c r="Q46" s="1570">
        <f t="shared" si="14"/>
        <v>0</v>
      </c>
      <c r="R46" s="1571" t="s">
        <v>8</v>
      </c>
      <c r="S46" s="1572">
        <f t="shared" si="10"/>
        <v>100</v>
      </c>
      <c r="T46" s="1571" t="s">
        <v>8</v>
      </c>
      <c r="U46" s="1572">
        <f t="shared" si="11"/>
        <v>100</v>
      </c>
      <c r="V46" s="1571" t="s">
        <v>8</v>
      </c>
      <c r="W46" s="1572">
        <f t="shared" si="12"/>
        <v>100</v>
      </c>
      <c r="X46" s="1565"/>
      <c r="Y46" s="3397"/>
      <c r="Z46" s="1573">
        <f t="shared" si="13"/>
        <v>0</v>
      </c>
      <c r="AA46" s="1574">
        <f t="shared" si="3"/>
        <v>1</v>
      </c>
      <c r="AB46" s="1574">
        <f t="shared" si="4"/>
        <v>1</v>
      </c>
      <c r="AC46" s="1574">
        <f t="shared" si="5"/>
        <v>1</v>
      </c>
    </row>
    <row r="47" spans="1:29" s="1336"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397"/>
      <c r="Q47" s="1570">
        <f t="shared" si="14"/>
        <v>0</v>
      </c>
      <c r="R47" s="1575" t="s">
        <v>8</v>
      </c>
      <c r="S47" s="1576">
        <f t="shared" si="10"/>
        <v>100</v>
      </c>
      <c r="T47" s="1575" t="s">
        <v>8</v>
      </c>
      <c r="U47" s="1576">
        <f t="shared" si="11"/>
        <v>100</v>
      </c>
      <c r="V47" s="1575" t="s">
        <v>8</v>
      </c>
      <c r="W47" s="1576">
        <f t="shared" si="12"/>
        <v>100</v>
      </c>
      <c r="X47" s="1577"/>
      <c r="Y47" s="3397"/>
      <c r="Z47" s="1578">
        <f t="shared" si="13"/>
        <v>0</v>
      </c>
      <c r="AA47" s="1574">
        <f t="shared" si="3"/>
        <v>1</v>
      </c>
      <c r="AB47" s="1574">
        <f t="shared" si="4"/>
        <v>1</v>
      </c>
      <c r="AC47" s="1574">
        <f t="shared" si="5"/>
        <v>1</v>
      </c>
    </row>
    <row r="48" spans="1:29" ht="20.25">
      <c r="A48" s="605" t="s">
        <v>556</v>
      </c>
      <c r="B48" s="606" t="s">
        <v>3020</v>
      </c>
      <c r="C48" s="607" t="s">
        <v>1</v>
      </c>
      <c r="D48" s="608"/>
      <c r="E48" s="609">
        <v>6013</v>
      </c>
      <c r="F48" s="610"/>
      <c r="G48" s="611">
        <v>5915</v>
      </c>
      <c r="H48" s="612"/>
      <c r="I48" s="609">
        <v>5829</v>
      </c>
      <c r="J48" s="612"/>
      <c r="K48" s="1337"/>
      <c r="L48" s="2142"/>
      <c r="M48" s="2130"/>
      <c r="N48" s="2130"/>
      <c r="O48" s="2143"/>
      <c r="P48" s="3392" t="str">
        <f>A48</f>
        <v>成交单价</v>
      </c>
      <c r="Q48" s="3392"/>
      <c r="R48" s="3406">
        <f>E48</f>
        <v>6013</v>
      </c>
      <c r="S48" s="3406"/>
      <c r="T48" s="3406">
        <f>G48</f>
        <v>5915</v>
      </c>
      <c r="U48" s="3406"/>
      <c r="V48" s="3406">
        <f>I48</f>
        <v>5829</v>
      </c>
      <c r="W48" s="3406"/>
      <c r="X48" s="1557"/>
      <c r="Y48" s="1579"/>
      <c r="Z48" s="1557"/>
      <c r="AA48" s="1557"/>
      <c r="AB48" s="1557"/>
      <c r="AC48" s="1557"/>
    </row>
    <row r="49" spans="1:29" ht="21" thickBot="1">
      <c r="A49" s="613" t="s">
        <v>2694</v>
      </c>
      <c r="B49" s="614"/>
      <c r="C49" s="615">
        <f>R50</f>
        <v>5940</v>
      </c>
      <c r="D49" s="616"/>
      <c r="E49" s="615">
        <f>R49</f>
        <v>5955</v>
      </c>
      <c r="F49" s="617"/>
      <c r="G49" s="618">
        <f>T49</f>
        <v>6035</v>
      </c>
      <c r="H49" s="616"/>
      <c r="I49" s="615">
        <f>V49</f>
        <v>5831</v>
      </c>
      <c r="J49" s="616"/>
      <c r="K49" s="1338"/>
      <c r="L49" s="2142"/>
      <c r="M49" s="2130"/>
      <c r="N49" s="2130"/>
      <c r="O49" s="2143"/>
      <c r="P49" s="3392" t="str">
        <f>A49</f>
        <v>比较价格（元/平方米）</v>
      </c>
      <c r="Q49" s="3392"/>
      <c r="R49" s="3417">
        <f>ROUND(PRODUCT(R48,AA9:AA47),0)</f>
        <v>5955</v>
      </c>
      <c r="S49" s="3417"/>
      <c r="T49" s="3417">
        <f>ROUND(PRODUCT(T48,AB9:AB47),0)</f>
        <v>6035</v>
      </c>
      <c r="U49" s="3417"/>
      <c r="V49" s="3417">
        <f>ROUND(PRODUCT(V48,AC9:AC47),0)</f>
        <v>5831</v>
      </c>
      <c r="W49" s="3417"/>
      <c r="X49" s="1557"/>
      <c r="Y49" s="1557"/>
      <c r="Z49" s="1557"/>
      <c r="AA49" s="1557"/>
      <c r="AB49" s="1557"/>
      <c r="AC49" s="1557"/>
    </row>
    <row r="50" spans="1:29" ht="21" thickBot="1">
      <c r="A50" s="619" t="s">
        <v>2935</v>
      </c>
      <c r="B50" s="620"/>
      <c r="C50" s="621">
        <f>R50</f>
        <v>5940</v>
      </c>
      <c r="D50" s="621"/>
      <c r="E50" s="621"/>
      <c r="F50" s="621"/>
      <c r="G50" s="621"/>
      <c r="H50" s="621"/>
      <c r="I50" s="621"/>
      <c r="J50" s="621"/>
      <c r="K50" s="1339"/>
      <c r="L50" s="2142"/>
      <c r="M50" s="2130"/>
      <c r="N50" s="2130"/>
      <c r="O50" s="2143"/>
      <c r="P50" s="3414" t="str">
        <f>A50</f>
        <v>估价对象XX用房的比较价格（楼面单价，元/平方米）</v>
      </c>
      <c r="Q50" s="3415"/>
      <c r="R50" s="3416">
        <f>ROUND(AVERAGE(R49:V49),0)</f>
        <v>5940</v>
      </c>
      <c r="S50" s="3416"/>
      <c r="T50" s="3416"/>
      <c r="U50" s="3416"/>
      <c r="V50" s="3416"/>
      <c r="W50" s="3416"/>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9.7397145256086226E-3</v>
      </c>
      <c r="F53" s="625" t="str">
        <f>IF(OR(E53&gt;=0.3,E53&lt;=-0.3),"超过30%","")</f>
        <v/>
      </c>
      <c r="G53" s="624">
        <f>IF(G48&lt;G49,G49/G48-1,G48/G49-1)</f>
        <v>2.0287404902789463E-2</v>
      </c>
      <c r="H53" s="625" t="str">
        <f>IF(OR(G53&gt;=0.3,G53&lt;=-0.3),"超过30%","")</f>
        <v/>
      </c>
      <c r="I53" s="624">
        <f>IF(I48&lt;I49,I49/I48-1,I48/I49-1)</f>
        <v>3.4311202607661961E-4</v>
      </c>
      <c r="J53" s="625"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1.3434089000839533E-2</v>
      </c>
      <c r="F54" s="625" t="str">
        <f>IF(OR(E54&gt;=0.2,E54&lt;=-0.2),"超过20%","")</f>
        <v/>
      </c>
      <c r="G54" s="624">
        <f>IF(G49&lt;I49,I49/G49-1,G49/I49-1)</f>
        <v>3.4985422740524852E-2</v>
      </c>
      <c r="H54" s="625" t="str">
        <f>IF(OR(G54&gt;=0.2,G54&lt;=-0.2),"超过20%","")</f>
        <v/>
      </c>
      <c r="I54" s="624">
        <f>IF(I49&lt;E49,E49/I49-1,I49/E49-1)</f>
        <v>2.126564911678952E-2</v>
      </c>
      <c r="J54" s="625"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f>IF(E48&lt;G48,G48/E48-1,E48/G48-1)</f>
        <v>1.6568047337278013E-2</v>
      </c>
      <c r="F55" s="625" t="str">
        <f>IF(OR(E55&gt;=0.3,E55&lt;=-0.3),"超过30%","")</f>
        <v/>
      </c>
      <c r="G55" s="624">
        <f>IF(G48&lt;I48,I48/G48-1,G48/I48-1)</f>
        <v>1.4753817121290203E-2</v>
      </c>
      <c r="H55" s="625" t="str">
        <f>IF(OR(G55&gt;=0.3,G55&lt;=-0.3),"超过30%","")</f>
        <v/>
      </c>
      <c r="I55" s="624">
        <f>IF(I48&lt;E48,E48/I48-1,I48/E48-1)</f>
        <v>3.1566306399039235E-2</v>
      </c>
      <c r="J55" s="625"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7" t="s">
        <v>560</v>
      </c>
      <c r="B57" s="628" t="s">
        <v>561</v>
      </c>
      <c r="C57" s="1558" t="s">
        <v>1724</v>
      </c>
      <c r="D57" s="2225" t="s">
        <v>2293</v>
      </c>
      <c r="E57" s="629" t="s">
        <v>562</v>
      </c>
      <c r="F57" s="630" t="s">
        <v>563</v>
      </c>
      <c r="G57" s="3376" t="s">
        <v>2281</v>
      </c>
      <c r="H57" s="3377"/>
      <c r="I57" s="1553" t="s">
        <v>1722</v>
      </c>
      <c r="J57" s="1553" t="str">
        <f>项目基本情况!F41</f>
        <v>安徽省</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1" t="s">
        <v>564</v>
      </c>
      <c r="B58" s="632">
        <f>C50</f>
        <v>5940</v>
      </c>
      <c r="C58" s="633">
        <v>1</v>
      </c>
      <c r="D58" s="2226">
        <v>1</v>
      </c>
      <c r="E58" s="633">
        <f>'数据-汇总表'!E8+'数据-汇总表'!E9</f>
        <v>149918</v>
      </c>
      <c r="F58" s="634">
        <f t="shared" ref="F58:F67" si="15">ROUND(B58*E58/10000,0)</f>
        <v>89051</v>
      </c>
      <c r="G58" s="3378"/>
      <c r="H58" s="3379"/>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565</v>
      </c>
      <c r="B59" s="636">
        <f>ROUND($C$50*C59*D59,0)</f>
        <v>0</v>
      </c>
      <c r="C59" s="376">
        <f t="shared" ref="C59:C67" si="16">IF($C$57="北京市系数",I59,J59)</f>
        <v>0</v>
      </c>
      <c r="D59" s="2227">
        <v>0.25</v>
      </c>
      <c r="E59" s="637">
        <v>0</v>
      </c>
      <c r="F59" s="634">
        <f t="shared" si="15"/>
        <v>0</v>
      </c>
      <c r="G59" s="3380" t="s">
        <v>2282</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566</v>
      </c>
      <c r="B60" s="636">
        <f t="shared" ref="B60:B67" si="17">ROUND($C$50*C60*D60,0)</f>
        <v>0</v>
      </c>
      <c r="C60" s="376">
        <f t="shared" si="16"/>
        <v>0</v>
      </c>
      <c r="D60" s="2227">
        <v>0.25</v>
      </c>
      <c r="E60" s="637">
        <v>0</v>
      </c>
      <c r="F60" s="634">
        <f t="shared" si="15"/>
        <v>0</v>
      </c>
      <c r="G60" s="3380"/>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567</v>
      </c>
      <c r="B61" s="636">
        <f t="shared" si="17"/>
        <v>0</v>
      </c>
      <c r="C61" s="376">
        <f t="shared" si="16"/>
        <v>0</v>
      </c>
      <c r="D61" s="2227">
        <v>0.25</v>
      </c>
      <c r="E61" s="637">
        <v>0</v>
      </c>
      <c r="F61" s="634">
        <f t="shared" si="15"/>
        <v>0</v>
      </c>
      <c r="G61" s="3380"/>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5" t="s">
        <v>568</v>
      </c>
      <c r="B62" s="636">
        <f t="shared" si="17"/>
        <v>0</v>
      </c>
      <c r="C62" s="376">
        <f t="shared" si="16"/>
        <v>0</v>
      </c>
      <c r="D62" s="2227">
        <v>0.25</v>
      </c>
      <c r="E62" s="637">
        <v>0</v>
      </c>
      <c r="F62" s="634">
        <f t="shared" si="15"/>
        <v>0</v>
      </c>
      <c r="G62" s="3380"/>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2328</v>
      </c>
      <c r="B63" s="636">
        <f t="shared" si="17"/>
        <v>0</v>
      </c>
      <c r="C63" s="376">
        <f t="shared" si="16"/>
        <v>0</v>
      </c>
      <c r="D63" s="2227">
        <v>0.25</v>
      </c>
      <c r="E63" s="639">
        <f>'数据-汇总表'!E11</f>
        <v>0</v>
      </c>
      <c r="F63" s="634">
        <f t="shared" si="15"/>
        <v>0</v>
      </c>
      <c r="G63" s="1943" t="s">
        <v>2283</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5" t="s">
        <v>570</v>
      </c>
      <c r="B65" s="636">
        <f t="shared" si="17"/>
        <v>0</v>
      </c>
      <c r="C65" s="376">
        <f t="shared" si="16"/>
        <v>0</v>
      </c>
      <c r="D65" s="2227">
        <v>0.25</v>
      </c>
      <c r="E65" s="639">
        <f>'数据-汇总表'!E13</f>
        <v>25176</v>
      </c>
      <c r="F65" s="634">
        <f t="shared" si="15"/>
        <v>0</v>
      </c>
      <c r="G65" s="1944" t="s">
        <v>922</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5" t="s">
        <v>571</v>
      </c>
      <c r="B66" s="636">
        <f t="shared" si="17"/>
        <v>0</v>
      </c>
      <c r="C66" s="376">
        <f t="shared" si="16"/>
        <v>0</v>
      </c>
      <c r="D66" s="2227">
        <v>0.25</v>
      </c>
      <c r="E66" s="639">
        <f>'数据-汇总表'!E14</f>
        <v>0</v>
      </c>
      <c r="F66" s="634">
        <f t="shared" si="15"/>
        <v>0</v>
      </c>
      <c r="G66" s="1943" t="s">
        <v>2282</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5" t="s">
        <v>572</v>
      </c>
      <c r="B67" s="636">
        <f t="shared" si="17"/>
        <v>0</v>
      </c>
      <c r="C67" s="376">
        <f t="shared" si="16"/>
        <v>0</v>
      </c>
      <c r="D67" s="2227">
        <v>0.25</v>
      </c>
      <c r="E67" s="639">
        <f>'数据-汇总表'!E15</f>
        <v>0</v>
      </c>
      <c r="F67" s="634">
        <f t="shared" si="15"/>
        <v>0</v>
      </c>
      <c r="G67" s="1945" t="s">
        <v>2283</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0" t="s">
        <v>573</v>
      </c>
      <c r="B68" s="641" t="s">
        <v>17</v>
      </c>
      <c r="C68" s="641" t="s">
        <v>18</v>
      </c>
      <c r="D68" s="641" t="s">
        <v>2294</v>
      </c>
      <c r="E68" s="641">
        <f>IF(B48="楼面地价",SUM(E58:E67),'数据-汇总表'!D3)</f>
        <v>175094</v>
      </c>
      <c r="F68" s="642">
        <f>IF(B48="楼面地价",SUM(F58:F67),ROUND(C50*E68/10000,0))</f>
        <v>89051</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90" t="s">
        <v>2533</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7" customFormat="1" ht="27" customHeight="1">
      <c r="A73" s="2828" t="s">
        <v>2648</v>
      </c>
      <c r="B73" s="477" t="str">
        <f>"北京市平均增长率"&amp;TEXT(SUMIF(基准地价!N21:N25,A73,基准地价!P21:P25),"0.00%")</f>
        <v>北京市平均增长率2.27%</v>
      </c>
      <c r="C73" s="891">
        <v>100</v>
      </c>
      <c r="D73" s="728">
        <v>99.5</v>
      </c>
      <c r="E73" s="728">
        <v>99</v>
      </c>
      <c r="F73" s="728">
        <v>98.5</v>
      </c>
      <c r="G73" s="728">
        <v>98</v>
      </c>
      <c r="H73" s="728">
        <v>97.5</v>
      </c>
      <c r="I73" s="728">
        <v>97</v>
      </c>
      <c r="J73" s="728">
        <v>96.5</v>
      </c>
      <c r="K73" s="728">
        <v>96</v>
      </c>
      <c r="L73" s="728">
        <v>95.5</v>
      </c>
      <c r="M73" s="728">
        <v>95</v>
      </c>
      <c r="N73" s="728">
        <v>94.5</v>
      </c>
      <c r="O73" s="2160"/>
      <c r="P73" s="2156"/>
      <c r="Q73" s="1991"/>
      <c r="R73" s="1991"/>
      <c r="S73" s="1991"/>
      <c r="T73" s="1991"/>
      <c r="U73" s="1991"/>
      <c r="V73" s="1991"/>
      <c r="W73" s="1991"/>
      <c r="X73" s="1991"/>
      <c r="Y73" s="1991"/>
      <c r="Z73" s="1991"/>
      <c r="AA73" s="1991"/>
      <c r="AB73" s="1991"/>
      <c r="AC73" s="1991"/>
    </row>
    <row r="74" spans="1:29" s="1217" customFormat="1" ht="15" customHeight="1" thickBot="1">
      <c r="A74" s="2818" t="s">
        <v>2647</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7"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190" t="s">
        <v>3021</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v>
      </c>
      <c r="J81" s="680" t="str">
        <f t="shared" si="20"/>
        <v>（含）-</v>
      </c>
      <c r="K81" s="680" t="str">
        <f t="shared" si="20"/>
        <v>（含）-</v>
      </c>
      <c r="L81" s="680" t="str">
        <f t="shared" si="20"/>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0.5</v>
      </c>
      <c r="E82" s="539">
        <v>1</v>
      </c>
      <c r="F82" s="539">
        <v>1.5</v>
      </c>
      <c r="G82" s="539">
        <v>2</v>
      </c>
      <c r="H82" s="539">
        <v>2.5</v>
      </c>
      <c r="I82" s="539">
        <v>3</v>
      </c>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5"/>
      <c r="B84" s="671" t="str">
        <f>B14</f>
        <v>配建</v>
      </c>
      <c r="C84" s="686"/>
      <c r="D84" s="1373"/>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5"/>
      <c r="B86" s="671">
        <f>B15</f>
        <v>0</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96</v>
      </c>
      <c r="E91" s="677">
        <f>D91-$K17</f>
        <v>92</v>
      </c>
      <c r="F91" s="677">
        <f>E91-$K17</f>
        <v>88</v>
      </c>
      <c r="G91" s="677">
        <f>F91-$K17</f>
        <v>84</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97</v>
      </c>
      <c r="E93" s="677">
        <f>D93-$K19</f>
        <v>94</v>
      </c>
      <c r="F93" s="677">
        <f>E93-$K19</f>
        <v>91</v>
      </c>
      <c r="G93" s="677">
        <f>F93-$K19</f>
        <v>88</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7"/>
      <c r="B99" s="676"/>
      <c r="C99" s="710">
        <v>100</v>
      </c>
      <c r="D99" s="677">
        <f>C99-$K25</f>
        <v>98</v>
      </c>
      <c r="E99" s="677">
        <f>D99-$K25</f>
        <v>96</v>
      </c>
      <c r="F99" s="677">
        <f>E99-$K25</f>
        <v>94</v>
      </c>
      <c r="G99" s="677">
        <f>F99-$K25</f>
        <v>92</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7"/>
      <c r="B101" s="676"/>
      <c r="C101" s="677">
        <v>100</v>
      </c>
      <c r="D101" s="677">
        <f>C101-$K27</f>
        <v>96</v>
      </c>
      <c r="E101" s="677">
        <f>D101-$K27</f>
        <v>92</v>
      </c>
      <c r="F101" s="677">
        <f>E101-$K27</f>
        <v>88</v>
      </c>
      <c r="G101" s="677">
        <f>F101-$K27</f>
        <v>84</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5"/>
      <c r="B102" s="1894" t="s">
        <v>2549</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5"/>
      <c r="B103" s="676"/>
      <c r="C103" s="677">
        <v>100</v>
      </c>
      <c r="D103" s="677">
        <f>C103-$K29</f>
        <v>96</v>
      </c>
      <c r="E103" s="677">
        <f>D103-$K29</f>
        <v>92</v>
      </c>
      <c r="F103" s="677">
        <f>E103-$K29</f>
        <v>88</v>
      </c>
      <c r="G103" s="677">
        <f>F103-$K29</f>
        <v>84</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5"/>
      <c r="B104" s="2619" t="s">
        <v>2551</v>
      </c>
      <c r="C104" s="2620" t="s">
        <v>2552</v>
      </c>
      <c r="D104" s="2620" t="s">
        <v>2553</v>
      </c>
      <c r="E104" s="2620" t="s">
        <v>2554</v>
      </c>
      <c r="F104" s="2620" t="s">
        <v>2555</v>
      </c>
      <c r="G104" s="2620" t="s">
        <v>2556</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5"/>
      <c r="B105" s="679"/>
      <c r="C105" s="677">
        <v>100</v>
      </c>
      <c r="D105" s="677">
        <f>C105-$K31</f>
        <v>98</v>
      </c>
      <c r="E105" s="677">
        <f>D105-$K31</f>
        <v>96</v>
      </c>
      <c r="F105" s="677">
        <f>E105-$K31</f>
        <v>94</v>
      </c>
      <c r="G105" s="677">
        <f>F105-$K31</f>
        <v>92</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191" t="s">
        <v>3022</v>
      </c>
      <c r="D108" s="3191" t="s">
        <v>3023</v>
      </c>
      <c r="E108" s="3191" t="s">
        <v>3024</v>
      </c>
      <c r="F108" s="3191" t="s">
        <v>3026</v>
      </c>
      <c r="G108" s="3191" t="s">
        <v>3027</v>
      </c>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0</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0</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6"/>
      <c r="B116" s="727">
        <f>B39</f>
        <v>0</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551</v>
      </c>
      <c r="B118" s="663" t="s">
        <v>593</v>
      </c>
      <c r="C118" s="702" t="str">
        <f t="shared" ref="C118:L118" si="25">C119&amp;"(含)"&amp;"-"&amp;D119</f>
        <v>0(含)-10000</v>
      </c>
      <c r="D118" s="702" t="str">
        <f t="shared" si="25"/>
        <v>10000(含)-20000</v>
      </c>
      <c r="E118" s="702" t="str">
        <f t="shared" si="25"/>
        <v>20000(含)-50000</v>
      </c>
      <c r="F118" s="702" t="str">
        <f t="shared" si="25"/>
        <v>50000(含)-100000</v>
      </c>
      <c r="G118" s="702" t="str">
        <f t="shared" si="25"/>
        <v>100000(含)-</v>
      </c>
      <c r="H118" s="702" t="str">
        <f t="shared" si="25"/>
        <v>(含)-</v>
      </c>
      <c r="I118" s="702" t="str">
        <f t="shared" si="25"/>
        <v>(含)-</v>
      </c>
      <c r="J118" s="3114" t="str">
        <f t="shared" si="25"/>
        <v>(含)-</v>
      </c>
      <c r="K118" s="3114" t="str">
        <f t="shared" si="25"/>
        <v>(含)-</v>
      </c>
      <c r="L118" s="3115" t="str">
        <f t="shared" si="25"/>
        <v>(含)-</v>
      </c>
      <c r="M118" s="3116"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10000</v>
      </c>
      <c r="E119" s="728">
        <v>20000</v>
      </c>
      <c r="F119" s="728">
        <v>50000</v>
      </c>
      <c r="G119" s="728">
        <v>100000</v>
      </c>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101</v>
      </c>
      <c r="E120" s="724">
        <v>102</v>
      </c>
      <c r="F120" s="724">
        <v>103</v>
      </c>
      <c r="G120" s="724">
        <v>104</v>
      </c>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192" t="s">
        <v>3028</v>
      </c>
      <c r="D121" s="3192" t="s">
        <v>3030</v>
      </c>
      <c r="E121" s="3192" t="s">
        <v>3031</v>
      </c>
      <c r="F121" s="3192" t="s">
        <v>3032</v>
      </c>
      <c r="G121" s="3192" t="s">
        <v>3033</v>
      </c>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3191" t="s">
        <v>3034</v>
      </c>
      <c r="D123" s="3191" t="s">
        <v>3035</v>
      </c>
      <c r="E123" s="3191" t="s">
        <v>3031</v>
      </c>
      <c r="F123" s="3192" t="s">
        <v>3036</v>
      </c>
      <c r="G123" s="3192" t="s">
        <v>3037</v>
      </c>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6"/>
      <c r="B125" s="1894" t="s">
        <v>2426</v>
      </c>
      <c r="C125" s="1373" t="s">
        <v>3038</v>
      </c>
      <c r="D125" s="1373" t="s">
        <v>3039</v>
      </c>
      <c r="E125" s="1373" t="s">
        <v>3040</v>
      </c>
      <c r="F125" s="1373" t="s">
        <v>3041</v>
      </c>
      <c r="G125" s="1373" t="s">
        <v>3043</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191" t="s">
        <v>3034</v>
      </c>
      <c r="D127" s="3191" t="s">
        <v>3035</v>
      </c>
      <c r="E127" s="3191" t="s">
        <v>3031</v>
      </c>
      <c r="F127" s="3192" t="s">
        <v>3036</v>
      </c>
      <c r="G127" s="3192" t="s">
        <v>3037</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0</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0</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6"/>
      <c r="B133" s="671">
        <f>B47</f>
        <v>0</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H14" sqref="H1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0">
        <f>MATCH(B1,'数据-取费表'!A6:A16,0)+5</f>
        <v>10</v>
      </c>
    </row>
    <row r="2" spans="1:31" s="2039" customFormat="1" ht="18" customHeight="1">
      <c r="A2" s="2099" t="s">
        <v>467</v>
      </c>
      <c r="B2" s="2103">
        <f ca="1">C36</f>
        <v>78407</v>
      </c>
      <c r="C2" s="2102"/>
      <c r="D2" s="2102"/>
      <c r="E2" s="2102"/>
      <c r="F2" s="2102"/>
      <c r="G2" s="2102"/>
      <c r="H2" s="2102"/>
      <c r="I2" s="2102"/>
      <c r="J2" s="2102"/>
      <c r="K2" s="2102"/>
    </row>
    <row r="3" spans="1:31" s="2039" customFormat="1" ht="18" customHeight="1">
      <c r="A3" s="2104" t="s">
        <v>1684</v>
      </c>
      <c r="B3" s="2105">
        <f ca="1">ROUND(B2*10000/IF(B1="",'数据-汇总表'!E3,INDIRECT("'数据-取费表'!K"&amp;$K$1)),0)</f>
        <v>4090</v>
      </c>
      <c r="C3" s="2102"/>
      <c r="D3" s="2102"/>
      <c r="E3" s="2102"/>
      <c r="F3" s="2102"/>
      <c r="G3" s="2102"/>
      <c r="H3" s="2102"/>
      <c r="I3" s="2102"/>
      <c r="J3" s="2102"/>
      <c r="K3" s="2102"/>
    </row>
    <row r="4" spans="1:31" s="2039" customFormat="1" ht="18" customHeight="1">
      <c r="A4" s="424" t="s">
        <v>468</v>
      </c>
      <c r="B4" s="425">
        <f ca="1">ROUND(B2*10000/IF(B1="",'数据-汇总表'!D3,INDIRECT("'数据-取费表'!R"&amp;$K$1)),0)</f>
        <v>10460</v>
      </c>
      <c r="C4" s="426"/>
      <c r="D4" s="420"/>
      <c r="E4" s="420"/>
      <c r="F4" s="420"/>
      <c r="G4" s="420"/>
      <c r="H4" s="420"/>
      <c r="I4" s="420"/>
      <c r="J4" s="420"/>
      <c r="K4" s="420"/>
    </row>
    <row r="5" spans="1:31" s="2039" customFormat="1" ht="18" customHeight="1" thickBot="1">
      <c r="A5" s="427"/>
      <c r="B5" s="428">
        <f ca="1">ROUND(B2/(IF(B1="",'数据-汇总表'!D3,INDIRECT("'数据-取费表'!R"&amp;$K$1))/666.67),0)</f>
        <v>697</v>
      </c>
      <c r="C5" s="429" t="s">
        <v>469</v>
      </c>
      <c r="D5" s="420"/>
      <c r="E5" s="420"/>
      <c r="F5" s="420"/>
      <c r="G5" s="420"/>
      <c r="H5" s="420"/>
      <c r="I5" s="420"/>
      <c r="J5" s="420"/>
      <c r="K5" s="420"/>
    </row>
    <row r="6" spans="1:31" s="2109" customFormat="1" ht="16.5" customHeight="1">
      <c r="A6" s="2850" t="s">
        <v>1842</v>
      </c>
      <c r="B6" s="2851"/>
      <c r="C6" s="2852">
        <f ca="1">SUM(C10:K10)</f>
        <v>162408</v>
      </c>
      <c r="D6" s="2851"/>
      <c r="E6" s="2851"/>
      <c r="F6" s="2851"/>
      <c r="G6" s="2851"/>
      <c r="H6" s="2851"/>
      <c r="I6" s="2851"/>
      <c r="J6" s="2851"/>
      <c r="K6" s="2853"/>
    </row>
    <row r="7" spans="1:31" s="2111" customFormat="1" ht="15">
      <c r="A7" s="2854" t="s">
        <v>470</v>
      </c>
      <c r="B7" s="2855" t="s">
        <v>471</v>
      </c>
      <c r="C7" s="434" t="s">
        <v>3048</v>
      </c>
      <c r="D7" s="434" t="s">
        <v>3049</v>
      </c>
      <c r="E7" s="434" t="s">
        <v>2991</v>
      </c>
      <c r="F7" s="434" t="s">
        <v>35</v>
      </c>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56">
        <f>'不动产比较法-高层住宅'!B3</f>
        <v>9707</v>
      </c>
      <c r="D8" s="2856">
        <f>'不动产比较法-合院'!B3</f>
        <v>14209</v>
      </c>
      <c r="E8" s="2856">
        <f ca="1">'不动产收益法-商业'!B3</f>
        <v>7884</v>
      </c>
      <c r="F8" s="2856">
        <f ca="1">'不动产收益法-车库'!B3</f>
        <v>2709</v>
      </c>
      <c r="G8" s="2856"/>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124246.52</v>
      </c>
      <c r="D9" s="439">
        <f>SUMIF('数据-汇总表'!$C19:$C33,'剩余法-待开发'!D7,'数据-汇总表'!$E19:$E33)</f>
        <v>23309.88</v>
      </c>
      <c r="E9" s="439">
        <f>SUMIF('数据-汇总表'!$C19:$C33,'剩余法-待开发'!E7,'数据-汇总表'!$E19:$E33)</f>
        <v>2361.6</v>
      </c>
      <c r="F9" s="439">
        <f>SUMIF('数据-汇总表'!$C19:$C33,'剩余法-待开发'!F7,'数据-汇总表'!$E19:$E33)</f>
        <v>25176</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1847</v>
      </c>
      <c r="B10" s="2844" t="s">
        <v>474</v>
      </c>
      <c r="C10" s="3051">
        <f>'不动产比较法-高层住宅'!B2</f>
        <v>120606</v>
      </c>
      <c r="D10" s="3051">
        <f>'不动产比较法-合院'!B2</f>
        <v>33121</v>
      </c>
      <c r="E10" s="3051">
        <f ca="1">'不动产收益法-商业'!B2</f>
        <v>1862</v>
      </c>
      <c r="F10" s="2859">
        <f ca="1">'不动产收益法-车库'!B2</f>
        <v>6819</v>
      </c>
      <c r="G10" s="2859"/>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1843</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1848</v>
      </c>
      <c r="B13" s="2865" t="s">
        <v>479</v>
      </c>
      <c r="C13" s="448">
        <f ca="1">IF(B1="",'数据-取费表'!P16,INDIRECT("'数据-取费表'!p"&amp;$K$1)+INDIRECT("'数据-取费表'!t"&amp;$K$1))</f>
        <v>34360</v>
      </c>
      <c r="D13" s="2866"/>
      <c r="E13" s="2867"/>
      <c r="F13" s="2868"/>
      <c r="G13" s="2834"/>
      <c r="H13" s="2835"/>
      <c r="I13" s="2835"/>
      <c r="J13" s="2835"/>
      <c r="K13" s="2836"/>
    </row>
    <row r="14" spans="1:31" s="2114" customFormat="1" ht="13.5" customHeight="1">
      <c r="A14" s="2864" t="s">
        <v>1849</v>
      </c>
      <c r="B14" s="2865" t="s">
        <v>480</v>
      </c>
      <c r="C14" s="53">
        <f ca="1">ROUND(C13*F14,0)</f>
        <v>1031</v>
      </c>
      <c r="D14" s="2866"/>
      <c r="E14" s="2867"/>
      <c r="F14" s="2869">
        <f>'数据-取费表'!B33</f>
        <v>0.03</v>
      </c>
      <c r="G14" s="2834" t="s">
        <v>481</v>
      </c>
      <c r="H14" s="2835"/>
      <c r="I14" s="2835"/>
      <c r="J14" s="2835"/>
      <c r="K14" s="2836"/>
    </row>
    <row r="15" spans="1:31" s="2114" customFormat="1" ht="13.5" customHeight="1">
      <c r="A15" s="2864" t="s">
        <v>1850</v>
      </c>
      <c r="B15" s="2865" t="s">
        <v>482</v>
      </c>
      <c r="C15" s="53">
        <f ca="1">ROUND(IF(B1="",SUMIF('数据-取费表'!C:C,"住宅",'数据-取费表'!P:P)*F15,IF(INDIRECT("'数据-取费表'!c"&amp;$K$1)="住宅",INDIRECT("'数据-取费表'!P"&amp;$K$1)*F15,0)),0)</f>
        <v>797</v>
      </c>
      <c r="D15" s="2866"/>
      <c r="E15" s="2867"/>
      <c r="F15" s="2869">
        <f>'数据-取费表'!B34</f>
        <v>0.03</v>
      </c>
      <c r="G15" s="2834" t="s">
        <v>483</v>
      </c>
      <c r="H15" s="2835"/>
      <c r="I15" s="2835"/>
      <c r="J15" s="2835"/>
      <c r="K15" s="2836"/>
    </row>
    <row r="16" spans="1:31" s="2115" customFormat="1" ht="13.5" customHeight="1">
      <c r="A16" s="2864" t="s">
        <v>1851</v>
      </c>
      <c r="B16" s="2865" t="s">
        <v>484</v>
      </c>
      <c r="C16" s="53">
        <f ca="1">ROUND(D16*E16/10000,0)</f>
        <v>3835</v>
      </c>
      <c r="D16" s="2866">
        <f ca="1">IF(B1="",'数据-汇总表'!E3,INDIRECT("'数据-取费表'!K"&amp;$K$1)+INDIRECT("'数据-取费表'!S"&amp;$K$1))</f>
        <v>191725</v>
      </c>
      <c r="E16" s="53">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1852</v>
      </c>
      <c r="B17" s="2865" t="s">
        <v>485</v>
      </c>
      <c r="C17" s="2870">
        <f ca="1">ROUND(C13*F17,0)</f>
        <v>515</v>
      </c>
      <c r="D17" s="473"/>
      <c r="E17" s="2870"/>
      <c r="F17" s="2871">
        <f>'数据-取费表'!B36</f>
        <v>1.4999999999999999E-2</v>
      </c>
      <c r="G17" s="259" t="s">
        <v>486</v>
      </c>
      <c r="H17" s="2837"/>
      <c r="I17" s="2837"/>
      <c r="J17" s="2837"/>
      <c r="K17" s="277"/>
    </row>
    <row r="18" spans="1:14" s="2114" customFormat="1" ht="13.5" customHeight="1">
      <c r="A18" s="2872" t="s">
        <v>1853</v>
      </c>
      <c r="B18" s="2873" t="s">
        <v>487</v>
      </c>
      <c r="C18" s="2874">
        <f ca="1">SUM(C13:C17)</f>
        <v>40538</v>
      </c>
      <c r="D18" s="2875"/>
      <c r="E18" s="466"/>
      <c r="F18" s="466"/>
      <c r="G18" s="2838" t="s">
        <v>2431</v>
      </c>
      <c r="H18" s="2839"/>
      <c r="I18" s="2839"/>
      <c r="J18" s="2839"/>
      <c r="K18" s="2840"/>
    </row>
    <row r="19" spans="1:14" s="2114" customFormat="1" ht="13.5" customHeight="1">
      <c r="A19" s="2872" t="s">
        <v>1854</v>
      </c>
      <c r="B19" s="2873" t="s">
        <v>488</v>
      </c>
      <c r="C19" s="2830">
        <f ca="1">ROUND(D19*E19/10000,0)</f>
        <v>1917</v>
      </c>
      <c r="D19" s="2876">
        <f ca="1">D16</f>
        <v>191725</v>
      </c>
      <c r="E19" s="2830">
        <f>'数据-取费表'!B32</f>
        <v>100</v>
      </c>
      <c r="F19" s="466"/>
      <c r="G19" s="2834" t="s">
        <v>489</v>
      </c>
      <c r="H19" s="2835"/>
      <c r="I19" s="2839"/>
      <c r="J19" s="2839"/>
      <c r="K19" s="2840"/>
    </row>
    <row r="20" spans="1:14" s="2114" customFormat="1" ht="13.5" customHeight="1">
      <c r="A20" s="2872" t="s">
        <v>1855</v>
      </c>
      <c r="B20" s="2873" t="s">
        <v>490</v>
      </c>
      <c r="C20" s="2830">
        <f ca="1">C21+C22-IF(B1="",'数据-取费表'!B29,IF(G20="已全部缴纳",C21+C22,H20))</f>
        <v>1047</v>
      </c>
      <c r="D20" s="2876"/>
      <c r="E20" s="2830"/>
      <c r="F20" s="2877"/>
      <c r="G20" s="3110"/>
      <c r="H20" s="2832"/>
      <c r="I20" s="2833" t="s">
        <v>2652</v>
      </c>
      <c r="J20" s="2839"/>
      <c r="K20" s="2840"/>
    </row>
    <row r="21" spans="1:14" s="2114" customFormat="1" ht="13.5" customHeight="1">
      <c r="A21" s="2864" t="s">
        <v>1856</v>
      </c>
      <c r="B21" s="2865" t="s">
        <v>491</v>
      </c>
      <c r="C21" s="53">
        <f ca="1">ROUND(D21*E21/10000,0)</f>
        <v>738</v>
      </c>
      <c r="D21" s="2866">
        <f ca="1">IF(B1="",'数据-汇总表'!E5,IF(INDIRECT("'数据-取费表'!c"&amp;$K$1)="住宅",INDIRECT("'数据-取费表'!k"&amp;$K$1),0))</f>
        <v>147556.4</v>
      </c>
      <c r="E21" s="53">
        <f>'数据-取费表'!B27</f>
        <v>50</v>
      </c>
      <c r="F21" s="2869"/>
      <c r="G21" s="26"/>
      <c r="H21" s="51"/>
      <c r="I21" s="51"/>
      <c r="J21" s="51"/>
      <c r="K21" s="2841"/>
    </row>
    <row r="22" spans="1:14" s="2114" customFormat="1" ht="13.5" customHeight="1">
      <c r="A22" s="2864" t="s">
        <v>1857</v>
      </c>
      <c r="B22" s="2865" t="s">
        <v>492</v>
      </c>
      <c r="C22" s="53">
        <f ca="1">ROUND(D22*E22/10000,0)</f>
        <v>309</v>
      </c>
      <c r="D22" s="2866">
        <f ca="1">IF(B1="",'数据-汇总表'!E6,IF(INDIRECT("'数据-取费表'!c"&amp;$K$1)="住宅",INDIRECT("'数据-取费表'!s"&amp;$K$1),INDIRECT("'数据-取费表'!k"&amp;$K$1)+INDIRECT("'数据-取费表'!s"&amp;$K$1)))</f>
        <v>44168.600000000006</v>
      </c>
      <c r="E22" s="53">
        <f>'数据-取费表'!B28</f>
        <v>70</v>
      </c>
      <c r="F22" s="2869"/>
      <c r="G22" s="26"/>
      <c r="H22" s="51"/>
      <c r="I22" s="51"/>
      <c r="J22" s="51"/>
      <c r="K22" s="2841"/>
    </row>
    <row r="23" spans="1:14" s="2114" customFormat="1" ht="13.5" customHeight="1">
      <c r="A23" s="2872" t="s">
        <v>1858</v>
      </c>
      <c r="B23" s="3057" t="s">
        <v>2835</v>
      </c>
      <c r="C23" s="2874">
        <f ca="1">ROUND((C18+C19+C20)*F23,0)</f>
        <v>870</v>
      </c>
      <c r="D23" s="466"/>
      <c r="E23" s="466"/>
      <c r="F23" s="2878">
        <f>'数据-取费表'!B37</f>
        <v>0.02</v>
      </c>
      <c r="G23" s="2834" t="s">
        <v>2432</v>
      </c>
      <c r="H23" s="2835"/>
      <c r="I23" s="2835"/>
      <c r="J23" s="2835"/>
      <c r="K23" s="2836"/>
      <c r="L23" s="2116"/>
      <c r="M23" s="2116"/>
      <c r="N23" s="2116"/>
    </row>
    <row r="24" spans="1:14" s="2114" customFormat="1" ht="13.5" customHeight="1">
      <c r="A24" s="2872" t="s">
        <v>1859</v>
      </c>
      <c r="B24" s="3057" t="s">
        <v>2838</v>
      </c>
      <c r="C24" s="2874">
        <f ca="1">ROUND(C6*F24,0)</f>
        <v>3248</v>
      </c>
      <c r="D24" s="473"/>
      <c r="E24" s="471"/>
      <c r="F24" s="2878">
        <f>'数据-取费表'!B38</f>
        <v>0.02</v>
      </c>
      <c r="G24" s="2843" t="s">
        <v>499</v>
      </c>
      <c r="H24" s="2837"/>
      <c r="I24" s="2837"/>
      <c r="J24" s="2837"/>
      <c r="K24" s="277"/>
      <c r="L24" s="2116"/>
      <c r="M24" s="2116"/>
      <c r="N24" s="2116"/>
    </row>
    <row r="25" spans="1:14" s="2117" customFormat="1" ht="13.5" customHeight="1">
      <c r="A25" s="2872" t="s">
        <v>1860</v>
      </c>
      <c r="B25" s="3057" t="s">
        <v>2836</v>
      </c>
      <c r="C25" s="465">
        <f>ROUND(F25/(1+'数据-取费表'!C42),4)</f>
        <v>2.9000000000000001E-2</v>
      </c>
      <c r="D25" s="460" t="s">
        <v>2830</v>
      </c>
      <c r="E25" s="467"/>
      <c r="F25" s="2878">
        <f>'数据-取费表'!B48+'数据-取费表'!B49</f>
        <v>3.0499999999999999E-2</v>
      </c>
      <c r="G25" s="2842" t="s">
        <v>2289</v>
      </c>
      <c r="H25" s="2835"/>
      <c r="I25" s="2835"/>
      <c r="J25" s="2835"/>
      <c r="K25" s="2836"/>
    </row>
    <row r="26" spans="1:14" s="2116" customFormat="1" ht="13.5" customHeight="1">
      <c r="A26" s="2872" t="s">
        <v>1861</v>
      </c>
      <c r="B26" s="3058" t="s">
        <v>2837</v>
      </c>
      <c r="C26" s="2879">
        <f ca="1">C28</f>
        <v>2844</v>
      </c>
      <c r="D26" s="465">
        <f ca="1">C27</f>
        <v>0.12659999999999999</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1" t="s">
        <v>1856</v>
      </c>
      <c r="B27" s="2880" t="s">
        <v>496</v>
      </c>
      <c r="C27" s="2881">
        <f ca="1">ROUND(IF('数据-取费表'!B22&lt;=1,(1+C25)*F26*'数据-取费表'!B24,(1+C25)*(POWER((1+F26),'数据-取费表'!B24)-1)),4)</f>
        <v>0.12659999999999999</v>
      </c>
      <c r="D27" s="470"/>
      <c r="E27" s="471"/>
      <c r="F27" s="472"/>
      <c r="G27" s="2594" t="str">
        <f>IF('数据-取费表'!B22&lt;=1,"（1+取得税费率/(1+5%)）×年利率×建设期","（1+取得税费率）/(1+5%)×((1+年利率)^建设期-1)")</f>
        <v>（1+取得税费率）/(1+5%)×((1+年利率)^建设期-1)</v>
      </c>
      <c r="H27" s="2837"/>
      <c r="I27" s="2837"/>
      <c r="J27" s="2837"/>
      <c r="K27" s="277"/>
    </row>
    <row r="28" spans="1:14" s="2118" customFormat="1" ht="13.5" customHeight="1">
      <c r="A28" s="801" t="s">
        <v>1857</v>
      </c>
      <c r="B28" s="2880" t="s">
        <v>2839</v>
      </c>
      <c r="C28" s="2882">
        <f ca="1">ROUND(IF('数据-取费表'!B22&lt;=1,(C18+C19+C20+C23+C24)*F26*'数据-取费表'!B24/2,(C18+C19+C20+C23+C24)*(POWER((1+F26),'数据-取费表'!B24/2)-1)),0)</f>
        <v>2844</v>
      </c>
      <c r="D28" s="470"/>
      <c r="E28" s="471"/>
      <c r="F28" s="472"/>
      <c r="G28" s="2594" t="str">
        <f>IF('数据-取费表'!B22&lt;=1,"（1）-（4）项×年利率×建设期÷2","（1）-（4）项×((1+年利率)^(建设期÷2)-1)")</f>
        <v>（1）-（4）项×((1+年利率)^(建设期÷2)-1)</v>
      </c>
      <c r="H28" s="2837"/>
      <c r="I28" s="2837"/>
      <c r="J28" s="2837"/>
      <c r="K28" s="277"/>
    </row>
    <row r="29" spans="1:14" s="2118" customFormat="1" ht="13.5" customHeight="1">
      <c r="A29" s="2883" t="s">
        <v>1862</v>
      </c>
      <c r="B29" s="2873" t="s">
        <v>497</v>
      </c>
      <c r="C29" s="2874">
        <f ca="1">ROUND(C6*F29/(1+'数据-取费表'!C42),0)</f>
        <v>8507</v>
      </c>
      <c r="D29" s="466"/>
      <c r="E29" s="466"/>
      <c r="F29" s="3059">
        <f>'数据-取费表'!B41</f>
        <v>5.5000000000000007E-2</v>
      </c>
      <c r="G29" s="2843" t="s">
        <v>498</v>
      </c>
      <c r="H29" s="2835"/>
      <c r="I29" s="2835"/>
      <c r="J29" s="2835"/>
      <c r="K29" s="2836"/>
    </row>
    <row r="30" spans="1:14" s="2119" customFormat="1" ht="13.5" customHeight="1">
      <c r="A30" s="1633" t="s">
        <v>1863</v>
      </c>
      <c r="B30" s="2884" t="s">
        <v>500</v>
      </c>
      <c r="C30" s="2879">
        <f ca="1">C31</f>
        <v>58971</v>
      </c>
      <c r="D30" s="475">
        <f ca="1">C32</f>
        <v>0.15559999999999999</v>
      </c>
      <c r="E30" s="467" t="s">
        <v>495</v>
      </c>
      <c r="F30" s="469"/>
      <c r="G30" s="2842" t="s">
        <v>2974</v>
      </c>
      <c r="H30" s="2835"/>
      <c r="I30" s="2835"/>
      <c r="J30" s="2835"/>
      <c r="K30" s="2836"/>
    </row>
    <row r="31" spans="1:14" s="2118" customFormat="1" ht="13.5" customHeight="1">
      <c r="A31" s="801" t="s">
        <v>1856</v>
      </c>
      <c r="B31" s="2880"/>
      <c r="C31" s="448">
        <f ca="1">C18+C19+C20+C23+C24+C26+C29</f>
        <v>58971</v>
      </c>
      <c r="D31" s="470"/>
      <c r="E31" s="471"/>
      <c r="F31" s="472"/>
      <c r="G31" s="259"/>
      <c r="H31" s="2837"/>
      <c r="I31" s="2837"/>
      <c r="J31" s="2837"/>
      <c r="K31" s="277"/>
    </row>
    <row r="32" spans="1:14" s="2118" customFormat="1" ht="13.5" customHeight="1">
      <c r="A32" s="801" t="s">
        <v>1857</v>
      </c>
      <c r="B32" s="2880"/>
      <c r="C32" s="53">
        <f ca="1">ROUND(C25+D26,4)</f>
        <v>0.15559999999999999</v>
      </c>
      <c r="D32" s="470"/>
      <c r="E32" s="471"/>
      <c r="F32" s="472"/>
      <c r="G32" s="259"/>
      <c r="H32" s="2837"/>
      <c r="I32" s="2837"/>
      <c r="J32" s="2837"/>
      <c r="K32" s="277"/>
    </row>
    <row r="33" spans="1:11" s="2120" customFormat="1" ht="13.5" customHeight="1">
      <c r="A33" s="3056" t="s">
        <v>2834</v>
      </c>
      <c r="B33" s="3054" t="s">
        <v>2832</v>
      </c>
      <c r="C33" s="476">
        <f ca="1">C35</f>
        <v>4762</v>
      </c>
      <c r="D33" s="465">
        <f ca="1">C34</f>
        <v>0.10290000000000001</v>
      </c>
      <c r="E33" s="467" t="s">
        <v>495</v>
      </c>
      <c r="F33" s="477">
        <f ca="1">IF(B1="",'数据-取费表'!Q16,INDIRECT("'数据-取费表'!q"&amp;$K$1))</f>
        <v>0.1</v>
      </c>
      <c r="G33" s="2838"/>
      <c r="H33" s="2839"/>
      <c r="I33" s="2839"/>
      <c r="J33" s="2839"/>
      <c r="K33" s="2840"/>
    </row>
    <row r="34" spans="1:11" s="2121" customFormat="1" ht="13.5" customHeight="1">
      <c r="A34" s="373" t="s">
        <v>1856</v>
      </c>
      <c r="B34" s="2885" t="s">
        <v>501</v>
      </c>
      <c r="C34" s="470">
        <f ca="1">ROUND((1+C25)*F33,4)</f>
        <v>0.10290000000000001</v>
      </c>
      <c r="D34" s="470"/>
      <c r="E34" s="471"/>
      <c r="F34" s="478"/>
      <c r="G34" s="259" t="s">
        <v>2290</v>
      </c>
      <c r="H34" s="2837"/>
      <c r="I34" s="2837"/>
      <c r="J34" s="2837"/>
      <c r="K34" s="277"/>
    </row>
    <row r="35" spans="1:11" s="2121" customFormat="1" ht="13.5" customHeight="1" thickBot="1">
      <c r="A35" s="1634" t="s">
        <v>1857</v>
      </c>
      <c r="B35" s="3055" t="s">
        <v>2840</v>
      </c>
      <c r="C35" s="1626">
        <f ca="1">ROUND((C18+C19+C20+C23+C24)*F33,0)</f>
        <v>4762</v>
      </c>
      <c r="D35" s="1627"/>
      <c r="E35" s="2886"/>
      <c r="F35" s="1628"/>
      <c r="G35" s="2844"/>
      <c r="H35" s="2845"/>
      <c r="I35" s="2845"/>
      <c r="J35" s="2845"/>
      <c r="K35" s="2846"/>
    </row>
    <row r="36" spans="1:11" s="2083" customFormat="1" ht="13.5" customHeight="1" thickBot="1">
      <c r="A36" s="282" t="s">
        <v>1844</v>
      </c>
      <c r="B36" s="2848"/>
      <c r="C36" s="2887">
        <f ca="1">ROUND((C6-C30-C33)/(1+D30+D33),0)</f>
        <v>78407</v>
      </c>
      <c r="D36" s="2848"/>
      <c r="E36" s="2848"/>
      <c r="F36" s="2848"/>
      <c r="G36" s="2847" t="s">
        <v>2841</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18" sqref="C18"/>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207" t="str">
        <f>项目基本情况!B1</f>
        <v>安徽省来安县汊河新区长江大街西侧、明发北站新城北侧及黄高路东侧、明发北站新城北侧两宗住宅用地出让国有建设用地使用权抵押价格预评估</v>
      </c>
      <c r="C37" s="3207"/>
      <c r="D37" s="3207"/>
      <c r="E37" s="3207"/>
      <c r="F37" s="3207"/>
      <c r="G37" s="3207"/>
      <c r="H37" s="3207"/>
      <c r="I37" s="3207"/>
    </row>
    <row r="38" spans="1:9">
      <c r="A38" s="1654"/>
      <c r="B38" s="1654"/>
    </row>
    <row r="39" spans="1:9">
      <c r="A39" s="1652" t="s">
        <v>1901</v>
      </c>
      <c r="B39" s="1652" t="s">
        <v>2046</v>
      </c>
    </row>
    <row r="40" spans="1:9">
      <c r="A40" s="1652"/>
      <c r="B40" s="1652" t="str">
        <f>项目基本情况!B5</f>
        <v>大业信托有限责任公司</v>
      </c>
    </row>
    <row r="41" spans="1:9">
      <c r="A41" s="1652"/>
      <c r="B41" s="1652"/>
    </row>
    <row r="42" spans="1:9">
      <c r="A42" s="1652" t="s">
        <v>1901</v>
      </c>
      <c r="B42" s="1652" t="s">
        <v>2047</v>
      </c>
    </row>
    <row r="43" spans="1:9">
      <c r="A43" s="1652"/>
      <c r="B43" s="1652" t="s">
        <v>1903</v>
      </c>
    </row>
    <row r="44" spans="1:9">
      <c r="A44" s="1652"/>
      <c r="B44" s="1652"/>
    </row>
    <row r="45" spans="1:9">
      <c r="A45" s="1652" t="s">
        <v>1901</v>
      </c>
      <c r="B45" s="1652" t="s">
        <v>2045</v>
      </c>
    </row>
    <row r="46" spans="1:9" s="1652" customFormat="1" ht="12.75">
      <c r="B46" s="1652" t="str">
        <f>项目基本情况!K4</f>
        <v>王鹏、郑燚</v>
      </c>
    </row>
    <row r="47" spans="1:9">
      <c r="A47" s="1652"/>
      <c r="B47" s="1652"/>
    </row>
    <row r="48" spans="1:9">
      <c r="A48" s="1652" t="s">
        <v>1901</v>
      </c>
      <c r="B48" s="1652" t="s">
        <v>2048</v>
      </c>
    </row>
    <row r="49" spans="2:2">
      <c r="B49" s="1652" t="str">
        <f>"康正预评字"&amp;项目基本情况!B2&amp;"号"</f>
        <v>康正预评字2018-1-0354-P02DYGJ3号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31"/>
      <c r="C1" s="2102"/>
      <c r="D1" s="2102"/>
      <c r="E1" s="2102"/>
      <c r="F1" s="2102"/>
      <c r="G1" s="2102"/>
      <c r="H1" s="2102"/>
      <c r="I1" s="2102"/>
      <c r="J1" s="2102"/>
      <c r="K1" s="420">
        <f>MATCH(B1,'数据-取费表'!A6:A16,0)+5</f>
        <v>10</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7"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2653</v>
      </c>
      <c r="B6" s="431"/>
      <c r="C6" s="1621">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1847</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1864</v>
      </c>
      <c r="B11" s="1619"/>
      <c r="C11" s="1619"/>
      <c r="D11" s="1619"/>
      <c r="E11" s="1619"/>
      <c r="F11" s="1619"/>
      <c r="G11" s="1619"/>
      <c r="H11" s="1619"/>
      <c r="I11" s="1619"/>
      <c r="J11" s="1619"/>
      <c r="K11" s="1620"/>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1" t="s">
        <v>1848</v>
      </c>
      <c r="B13" s="447" t="s">
        <v>479</v>
      </c>
      <c r="C13" s="448">
        <f ca="1">IF(B1="",'数据-取费表'!M16,INDIRECT("'数据-取费表'!M"&amp;$K$1)+INDIRECT("'数据-取费表'!t"&amp;$K$1))</f>
        <v>34360</v>
      </c>
      <c r="D13" s="449"/>
      <c r="E13" s="363"/>
      <c r="F13" s="450"/>
      <c r="G13" s="442"/>
      <c r="H13" s="445"/>
      <c r="I13" s="445"/>
      <c r="J13" s="445"/>
      <c r="K13" s="446"/>
    </row>
    <row r="14" spans="1:41" s="2114" customFormat="1" ht="13.5" customHeight="1">
      <c r="A14" s="1631" t="s">
        <v>1849</v>
      </c>
      <c r="B14" s="447" t="s">
        <v>480</v>
      </c>
      <c r="C14" s="53">
        <f ca="1">ROUND(C13*F14,0)</f>
        <v>1031</v>
      </c>
      <c r="D14" s="449"/>
      <c r="E14" s="363"/>
      <c r="F14" s="451">
        <f>'数据-取费表'!B33</f>
        <v>0.03</v>
      </c>
      <c r="G14" s="442" t="s">
        <v>502</v>
      </c>
      <c r="H14" s="445"/>
      <c r="I14" s="445"/>
      <c r="J14" s="445"/>
      <c r="K14" s="446"/>
    </row>
    <row r="15" spans="1:41" s="2114" customFormat="1" ht="13.5" customHeight="1">
      <c r="A15" s="1631" t="s">
        <v>1850</v>
      </c>
      <c r="B15" s="447" t="s">
        <v>482</v>
      </c>
      <c r="C15" s="53">
        <f ca="1">ROUND(IF(B1="",SUMIF('数据-取费表'!C:C,"住宅",'数据-取费表'!M:M)*F15,IF(INDIRECT("'数据-取费表'!c"&amp;$K$1)="住宅",INDIRECT("'数据-取费表'!M"&amp;$K$1)*F15,0)),0)</f>
        <v>797</v>
      </c>
      <c r="D15" s="449"/>
      <c r="E15" s="363"/>
      <c r="F15" s="451">
        <f>'数据-取费表'!B34</f>
        <v>0.03</v>
      </c>
      <c r="G15" s="442" t="s">
        <v>502</v>
      </c>
      <c r="H15" s="445"/>
      <c r="I15" s="445"/>
      <c r="J15" s="445"/>
      <c r="K15" s="446"/>
    </row>
    <row r="16" spans="1:41" s="2115" customFormat="1" ht="13.5" customHeight="1">
      <c r="A16" s="1631" t="s">
        <v>1851</v>
      </c>
      <c r="B16" s="447" t="s">
        <v>484</v>
      </c>
      <c r="C16" s="53">
        <f ca="1">ROUND(D16*E16/10000,0)</f>
        <v>3835</v>
      </c>
      <c r="D16" s="449">
        <f ca="1">IF(B1="",'数据-汇总表'!E3,INDIRECT("'数据-取费表'!K"&amp;$K$1)+INDIRECT("'数据-取费表'!S"&amp;$K$1))</f>
        <v>191725</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1852</v>
      </c>
      <c r="B17" s="447" t="s">
        <v>485</v>
      </c>
      <c r="C17" s="452">
        <f ca="1">ROUND(C13*F17,0)</f>
        <v>515</v>
      </c>
      <c r="D17" s="453"/>
      <c r="E17" s="452"/>
      <c r="F17" s="454">
        <f>'数据-取费表'!B36</f>
        <v>1.4999999999999999E-2</v>
      </c>
      <c r="G17" s="442" t="s">
        <v>502</v>
      </c>
      <c r="H17" s="455"/>
      <c r="I17" s="455"/>
      <c r="J17" s="455"/>
      <c r="K17" s="456"/>
    </row>
    <row r="18" spans="1:14" s="2117" customFormat="1" ht="13.5" customHeight="1">
      <c r="A18" s="1632" t="s">
        <v>1853</v>
      </c>
      <c r="B18" s="457" t="s">
        <v>487</v>
      </c>
      <c r="C18" s="458">
        <f ca="1">SUM(C13:C17)</f>
        <v>40538</v>
      </c>
      <c r="D18" s="459"/>
      <c r="E18" s="460"/>
      <c r="F18" s="460"/>
      <c r="G18" s="1324" t="s">
        <v>2433</v>
      </c>
      <c r="H18" s="445"/>
      <c r="I18" s="445"/>
      <c r="J18" s="445"/>
      <c r="K18" s="446"/>
    </row>
    <row r="19" spans="1:14" s="2117" customFormat="1" ht="13.5" customHeight="1">
      <c r="A19" s="1632" t="s">
        <v>1854</v>
      </c>
      <c r="B19" s="457" t="s">
        <v>493</v>
      </c>
      <c r="C19" s="458">
        <f ca="1">ROUND(C18*F19,0)</f>
        <v>811</v>
      </c>
      <c r="D19" s="460"/>
      <c r="E19" s="460"/>
      <c r="F19" s="464">
        <f>'数据-取费表'!B37</f>
        <v>0.02</v>
      </c>
      <c r="G19" s="442" t="s">
        <v>503</v>
      </c>
      <c r="H19" s="445"/>
      <c r="I19" s="445"/>
      <c r="J19" s="445"/>
      <c r="K19" s="446"/>
      <c r="L19" s="2119"/>
      <c r="M19" s="2119"/>
      <c r="N19" s="2119"/>
    </row>
    <row r="20" spans="1:14" s="2117" customFormat="1" ht="13.5" customHeight="1">
      <c r="A20" s="1632" t="s">
        <v>1855</v>
      </c>
      <c r="B20" s="457" t="s">
        <v>504</v>
      </c>
      <c r="C20" s="3052">
        <f>F20</f>
        <v>0.02</v>
      </c>
      <c r="D20" s="467" t="s">
        <v>505</v>
      </c>
      <c r="E20" s="467"/>
      <c r="F20" s="484">
        <f>'数据-取费表'!B38</f>
        <v>0.02</v>
      </c>
      <c r="G20" s="1324" t="s">
        <v>506</v>
      </c>
      <c r="H20" s="445"/>
      <c r="I20" s="445"/>
      <c r="J20" s="445"/>
      <c r="K20" s="446"/>
      <c r="L20" s="2119"/>
      <c r="M20" s="2119"/>
      <c r="N20" s="2119"/>
    </row>
    <row r="21" spans="1:14" s="2119" customFormat="1" ht="13.5" customHeight="1">
      <c r="A21" s="1632" t="s">
        <v>1858</v>
      </c>
      <c r="B21" s="459" t="s">
        <v>494</v>
      </c>
      <c r="C21" s="468">
        <f ca="1">C22</f>
        <v>2470</v>
      </c>
      <c r="D21" s="465">
        <f ca="1">C23</f>
        <v>1.1999999999999999E-3</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2455</v>
      </c>
    </row>
    <row r="22" spans="1:14" s="2118" customFormat="1" ht="13.5" customHeight="1">
      <c r="A22" s="1631" t="s">
        <v>1848</v>
      </c>
      <c r="B22" s="1325" t="s">
        <v>2436</v>
      </c>
      <c r="C22" s="485">
        <f ca="1">ROUND(IF('数据-取费表'!B22&lt;=1,(C18+C19)*F21*'数据-取费表'!B20/2,(C18+C19)*(POWER((1+F21),'数据-取费表'!B20/2)-1)),0)</f>
        <v>2470</v>
      </c>
      <c r="D22" s="470"/>
      <c r="E22" s="471"/>
      <c r="F22" s="472"/>
      <c r="G22" s="2589" t="str">
        <f>IF('数据-取费表'!B22&lt;=1,"((1)+(2))×年利率×建设期÷2","((1)+(2))×((1+年利率)^(建设期÷2)-1)")</f>
        <v>((1)+(2))×((1+年利率)^(建设期÷2)-1)</v>
      </c>
      <c r="H22" s="455"/>
      <c r="I22" s="455"/>
      <c r="J22" s="455"/>
      <c r="K22" s="456"/>
    </row>
    <row r="23" spans="1:14" s="2118" customFormat="1" ht="13.5" customHeight="1">
      <c r="A23" s="1631" t="s">
        <v>1849</v>
      </c>
      <c r="B23" s="1325" t="s">
        <v>508</v>
      </c>
      <c r="C23" s="486">
        <f ca="1">ROUND(IF('数据-取费表'!B22&lt;=1,F20*F21*'数据-取费表'!B20/2,F20*(POWER((1+F21),'数据-取费表'!B20/2)-1)),4)</f>
        <v>1.1999999999999999E-3</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2" t="s">
        <v>1859</v>
      </c>
      <c r="B24" s="3054" t="s">
        <v>2833</v>
      </c>
      <c r="C24" s="476">
        <f ca="1">C25</f>
        <v>4135</v>
      </c>
      <c r="D24" s="487">
        <f ca="1">C26</f>
        <v>2E-3</v>
      </c>
      <c r="E24" s="467" t="s">
        <v>507</v>
      </c>
      <c r="F24" s="477">
        <f ca="1">IF(B1="",'数据-取费表'!Q16,INDIRECT("'数据-取费表'!q"&amp;$K$1))</f>
        <v>0.1</v>
      </c>
      <c r="G24" s="442"/>
      <c r="H24" s="445"/>
      <c r="I24" s="445"/>
      <c r="J24" s="445"/>
      <c r="K24" s="446"/>
    </row>
    <row r="25" spans="1:14" s="2118" customFormat="1" ht="13.5" customHeight="1">
      <c r="A25" s="1631" t="s">
        <v>1848</v>
      </c>
      <c r="B25" s="1325" t="s">
        <v>2437</v>
      </c>
      <c r="C25" s="488">
        <f ca="1">ROUND((C18+C19)*F24,0)</f>
        <v>4135</v>
      </c>
      <c r="D25" s="470"/>
      <c r="E25" s="471"/>
      <c r="F25" s="478"/>
      <c r="G25" s="1323" t="s">
        <v>2434</v>
      </c>
      <c r="H25" s="455"/>
      <c r="I25" s="455"/>
      <c r="J25" s="455"/>
      <c r="K25" s="456"/>
    </row>
    <row r="26" spans="1:14" s="2118" customFormat="1" ht="13.5" customHeight="1">
      <c r="A26" s="1631" t="s">
        <v>1849</v>
      </c>
      <c r="B26" s="1325" t="s">
        <v>509</v>
      </c>
      <c r="C26" s="489">
        <f ca="1">ROUND(F20*F24,4)</f>
        <v>2E-3</v>
      </c>
      <c r="D26" s="470"/>
      <c r="E26" s="479"/>
      <c r="F26" s="478"/>
      <c r="G26" s="1323" t="s">
        <v>510</v>
      </c>
      <c r="H26" s="455"/>
      <c r="I26" s="455"/>
      <c r="J26" s="455"/>
      <c r="K26" s="456"/>
    </row>
    <row r="27" spans="1:14" s="2118" customFormat="1" ht="13.5" customHeight="1">
      <c r="A27" s="1635" t="s">
        <v>1867</v>
      </c>
      <c r="B27" s="457" t="s">
        <v>511</v>
      </c>
      <c r="C27" s="3053">
        <f>ROUND(F27/(1+'数据-取费表'!C42),4)</f>
        <v>5.2400000000000002E-2</v>
      </c>
      <c r="D27" s="460" t="s">
        <v>2831</v>
      </c>
      <c r="E27" s="460"/>
      <c r="F27" s="464">
        <f>'数据-取费表'!B41</f>
        <v>5.5000000000000007E-2</v>
      </c>
      <c r="G27" s="1958" t="s">
        <v>2291</v>
      </c>
      <c r="H27" s="445"/>
      <c r="I27" s="445"/>
      <c r="J27" s="445"/>
      <c r="K27" s="446"/>
    </row>
    <row r="28" spans="1:14" s="2119" customFormat="1" ht="13.5" customHeight="1">
      <c r="A28" s="1635" t="s">
        <v>1868</v>
      </c>
      <c r="B28" s="474" t="s">
        <v>512</v>
      </c>
      <c r="C28" s="468">
        <f ca="1">ROUND((C18+C19+C21+C24)/(1-C20-D21-D24-C27),0)</f>
        <v>51876</v>
      </c>
      <c r="D28" s="475"/>
      <c r="E28" s="467"/>
      <c r="F28" s="469"/>
      <c r="G28" s="1324" t="s">
        <v>2435</v>
      </c>
      <c r="H28" s="445"/>
      <c r="I28" s="445"/>
      <c r="J28" s="445"/>
      <c r="K28" s="446"/>
    </row>
    <row r="29" spans="1:14" s="2119" customFormat="1" ht="13.5" customHeight="1">
      <c r="A29" s="1635"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6" t="s">
        <v>515</v>
      </c>
      <c r="H30" s="494"/>
      <c r="I30" s="494"/>
      <c r="J30" s="445"/>
      <c r="K30" s="446"/>
    </row>
    <row r="31" spans="1:14" s="2124" customFormat="1" ht="13.5" customHeight="1">
      <c r="A31" s="2504" t="s">
        <v>1865</v>
      </c>
      <c r="B31" s="1327"/>
      <c r="C31" s="498">
        <f>ROUND(C6*F31/(1+'数据-取费表'!C42),0)</f>
        <v>0</v>
      </c>
      <c r="D31" s="1328"/>
      <c r="E31" s="1328"/>
      <c r="F31" s="499">
        <f>'数据-取费表'!B41</f>
        <v>5.5000000000000007E-2</v>
      </c>
      <c r="G31" s="1329"/>
      <c r="H31" s="1329"/>
      <c r="I31" s="1329"/>
      <c r="J31" s="1330"/>
      <c r="K31" s="1331"/>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505"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506"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1685</v>
      </c>
      <c r="B3" s="508"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6"/>
      <c r="AC3" s="426"/>
    </row>
    <row r="4" spans="1:29" s="1333"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29" s="1333"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6"/>
    </row>
    <row r="6" spans="1:29" ht="15">
      <c r="A6" s="510" t="s">
        <v>521</v>
      </c>
      <c r="B6" s="511"/>
      <c r="C6" s="3398" t="s">
        <v>522</v>
      </c>
      <c r="D6" s="3399"/>
      <c r="E6" s="3423" t="s">
        <v>523</v>
      </c>
      <c r="F6" s="3424"/>
      <c r="G6" s="3398" t="s">
        <v>524</v>
      </c>
      <c r="H6" s="3399"/>
      <c r="I6" s="3398" t="s">
        <v>525</v>
      </c>
      <c r="J6" s="3399"/>
      <c r="K6" s="512" t="s">
        <v>526</v>
      </c>
      <c r="L6" s="2131"/>
      <c r="M6" s="2132"/>
      <c r="N6" s="2132"/>
      <c r="O6" s="2132"/>
      <c r="P6" s="3400" t="s">
        <v>527</v>
      </c>
      <c r="Q6" s="3401"/>
      <c r="R6" s="3386" t="s">
        <v>523</v>
      </c>
      <c r="S6" s="3387"/>
      <c r="T6" s="3386" t="s">
        <v>524</v>
      </c>
      <c r="U6" s="3387"/>
      <c r="V6" s="3406" t="s">
        <v>525</v>
      </c>
      <c r="W6" s="3406"/>
      <c r="X6" s="1565"/>
      <c r="Y6" s="3386" t="s">
        <v>527</v>
      </c>
      <c r="Z6" s="3387"/>
      <c r="AA6" s="3381" t="s">
        <v>523</v>
      </c>
      <c r="AB6" s="3382" t="s">
        <v>524</v>
      </c>
      <c r="AC6" s="3381" t="s">
        <v>525</v>
      </c>
    </row>
    <row r="7" spans="1:29" ht="15">
      <c r="A7" s="513"/>
      <c r="B7" s="514"/>
      <c r="C7" s="3427" t="s">
        <v>2929</v>
      </c>
      <c r="D7" s="3410"/>
      <c r="E7" s="3425" t="s">
        <v>2930</v>
      </c>
      <c r="F7" s="3426"/>
      <c r="G7" s="3427" t="s">
        <v>2931</v>
      </c>
      <c r="H7" s="3410"/>
      <c r="I7" s="3427" t="s">
        <v>2932</v>
      </c>
      <c r="J7" s="3410"/>
      <c r="K7" s="512"/>
      <c r="L7" s="2131"/>
      <c r="M7" s="2132"/>
      <c r="N7" s="2132"/>
      <c r="O7" s="2132"/>
      <c r="P7" s="3402"/>
      <c r="Q7" s="3403"/>
      <c r="R7" s="3388"/>
      <c r="S7" s="3389"/>
      <c r="T7" s="3388"/>
      <c r="U7" s="3389"/>
      <c r="V7" s="3406"/>
      <c r="W7" s="3406"/>
      <c r="X7" s="1565"/>
      <c r="Y7" s="3388"/>
      <c r="Z7" s="3389"/>
      <c r="AA7" s="3382"/>
      <c r="AB7" s="3382"/>
      <c r="AC7" s="3382"/>
    </row>
    <row r="8" spans="1:29" ht="15.75" thickBot="1">
      <c r="A8" s="515"/>
      <c r="B8" s="516"/>
      <c r="C8" s="3407" t="s">
        <v>2933</v>
      </c>
      <c r="D8" s="3408"/>
      <c r="E8" s="3428" t="s">
        <v>2933</v>
      </c>
      <c r="F8" s="3429"/>
      <c r="G8" s="3407" t="s">
        <v>2933</v>
      </c>
      <c r="H8" s="3408"/>
      <c r="I8" s="3407" t="s">
        <v>2933</v>
      </c>
      <c r="J8" s="3408"/>
      <c r="K8" s="512" t="s">
        <v>528</v>
      </c>
      <c r="L8" s="2131"/>
      <c r="M8" s="2132"/>
      <c r="N8" s="2132"/>
      <c r="O8" s="2132"/>
      <c r="P8" s="3404"/>
      <c r="Q8" s="3405"/>
      <c r="R8" s="3388"/>
      <c r="S8" s="3389"/>
      <c r="T8" s="3390"/>
      <c r="U8" s="3391"/>
      <c r="V8" s="3406"/>
      <c r="W8" s="3406"/>
      <c r="X8" s="1565"/>
      <c r="Y8" s="3390"/>
      <c r="Z8" s="3391"/>
      <c r="AA8" s="3383"/>
      <c r="AB8" s="3383"/>
      <c r="AC8" s="3383"/>
    </row>
    <row r="9" spans="1:29" s="1217" customFormat="1" ht="15.75" thickBot="1">
      <c r="A9" s="2934"/>
      <c r="B9" s="2941" t="s">
        <v>529</v>
      </c>
      <c r="C9" s="517">
        <f>'数据-取费表'!B2</f>
        <v>43239</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384" t="s">
        <v>530</v>
      </c>
      <c r="Q9" s="3393"/>
      <c r="R9" s="1566" t="s">
        <v>8</v>
      </c>
      <c r="S9" s="1567">
        <f t="shared" ref="S9:S17" si="0">F9</f>
        <v>0</v>
      </c>
      <c r="T9" s="1566" t="s">
        <v>8</v>
      </c>
      <c r="U9" s="1567">
        <f t="shared" ref="U9:U17" si="1">H9</f>
        <v>0</v>
      </c>
      <c r="V9" s="1566" t="s">
        <v>8</v>
      </c>
      <c r="W9" s="1567">
        <f t="shared" ref="W9:W17" si="2">J9</f>
        <v>0</v>
      </c>
      <c r="X9" s="1568"/>
      <c r="Y9" s="3384" t="s">
        <v>530</v>
      </c>
      <c r="Z9" s="3385"/>
      <c r="AA9" s="1569" t="e">
        <f>D9/F9</f>
        <v>#DIV/0!</v>
      </c>
      <c r="AB9" s="1569" t="e">
        <f>D9/H9</f>
        <v>#DIV/0!</v>
      </c>
      <c r="AC9" s="1569" t="e">
        <f>D9/J9</f>
        <v>#DIV/0!</v>
      </c>
    </row>
    <row r="10" spans="1:29" s="1217"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384" t="s">
        <v>533</v>
      </c>
      <c r="Q10" s="3385"/>
      <c r="R10" s="1566" t="s">
        <v>8</v>
      </c>
      <c r="S10" s="1567">
        <f t="shared" si="0"/>
        <v>0</v>
      </c>
      <c r="T10" s="1566" t="s">
        <v>8</v>
      </c>
      <c r="U10" s="1567">
        <f t="shared" si="1"/>
        <v>0</v>
      </c>
      <c r="V10" s="1566" t="s">
        <v>8</v>
      </c>
      <c r="W10" s="1567">
        <f t="shared" si="2"/>
        <v>0</v>
      </c>
      <c r="X10" s="1568"/>
      <c r="Y10" s="3384" t="s">
        <v>533</v>
      </c>
      <c r="Z10" s="3385"/>
      <c r="AA10" s="1569" t="e">
        <f t="shared" ref="AA10:AA42" si="3">D10/F10</f>
        <v>#DIV/0!</v>
      </c>
      <c r="AB10" s="1569" t="e">
        <f t="shared" ref="AB10:AB42" si="4">D10/H10</f>
        <v>#DIV/0!</v>
      </c>
      <c r="AC10" s="1569" t="e">
        <f t="shared" ref="AC10:AC42" si="5">D10/J10</f>
        <v>#DIV/0!</v>
      </c>
    </row>
    <row r="11" spans="1:29" s="1217" customFormat="1" ht="15">
      <c r="A11" s="2936"/>
      <c r="B11" s="2943"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92" t="s">
        <v>535</v>
      </c>
      <c r="Q11" s="1148" t="str">
        <f t="shared" ref="Q11:Q17" si="6">B11</f>
        <v>用途</v>
      </c>
      <c r="R11" s="1566" t="s">
        <v>8</v>
      </c>
      <c r="S11" s="1567">
        <f t="shared" si="0"/>
        <v>100</v>
      </c>
      <c r="T11" s="1566" t="s">
        <v>8</v>
      </c>
      <c r="U11" s="1567">
        <f t="shared" si="1"/>
        <v>100</v>
      </c>
      <c r="V11" s="1566" t="s">
        <v>8</v>
      </c>
      <c r="W11" s="1567">
        <f t="shared" si="2"/>
        <v>100</v>
      </c>
      <c r="X11" s="1568"/>
      <c r="Y11" s="3349" t="s">
        <v>536</v>
      </c>
      <c r="Z11" s="1147" t="str">
        <f t="shared" ref="Z11:Z17" si="7">Q11</f>
        <v>用途</v>
      </c>
      <c r="AA11" s="1569">
        <f t="shared" si="3"/>
        <v>1</v>
      </c>
      <c r="AB11" s="1569">
        <f t="shared" si="4"/>
        <v>1</v>
      </c>
      <c r="AC11" s="1569">
        <f t="shared" si="5"/>
        <v>1</v>
      </c>
    </row>
    <row r="12" spans="1:29" s="1335" customFormat="1" ht="27">
      <c r="A12" s="2937"/>
      <c r="B12" s="2942" t="s">
        <v>2758</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392"/>
      <c r="Q12" s="1148" t="str">
        <f t="shared" si="6"/>
        <v>土地使用年限（年）</v>
      </c>
      <c r="R12" s="1566" t="s">
        <v>8</v>
      </c>
      <c r="S12" s="1567">
        <f t="shared" si="0"/>
        <v>100</v>
      </c>
      <c r="T12" s="1566" t="s">
        <v>8</v>
      </c>
      <c r="U12" s="1567">
        <f t="shared" si="1"/>
        <v>100</v>
      </c>
      <c r="V12" s="1566" t="s">
        <v>8</v>
      </c>
      <c r="W12" s="1567">
        <f t="shared" si="2"/>
        <v>100</v>
      </c>
      <c r="X12" s="1568"/>
      <c r="Y12" s="3349"/>
      <c r="Z12" s="1147" t="str">
        <f t="shared" si="7"/>
        <v>土地使用年限（年）</v>
      </c>
      <c r="AA12" s="1569">
        <f t="shared" si="3"/>
        <v>1</v>
      </c>
      <c r="AB12" s="1569">
        <f t="shared" si="4"/>
        <v>1</v>
      </c>
      <c r="AC12" s="1569">
        <f t="shared" si="5"/>
        <v>1</v>
      </c>
    </row>
    <row r="13" spans="1:29" ht="15">
      <c r="A13" s="2938"/>
      <c r="B13" s="2942"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92"/>
      <c r="Q13" s="1148" t="str">
        <f t="shared" si="6"/>
        <v>容积率</v>
      </c>
      <c r="R13" s="1566" t="s">
        <v>8</v>
      </c>
      <c r="S13" s="1567" t="e">
        <f t="shared" si="0"/>
        <v>#N/A</v>
      </c>
      <c r="T13" s="1566" t="s">
        <v>8</v>
      </c>
      <c r="U13" s="1567" t="e">
        <f t="shared" si="1"/>
        <v>#N/A</v>
      </c>
      <c r="V13" s="1566" t="s">
        <v>8</v>
      </c>
      <c r="W13" s="1567" t="e">
        <f t="shared" si="2"/>
        <v>#N/A</v>
      </c>
      <c r="X13" s="1568"/>
      <c r="Y13" s="3349"/>
      <c r="Z13" s="1147" t="str">
        <f t="shared" si="7"/>
        <v>容积率</v>
      </c>
      <c r="AA13" s="1569" t="e">
        <f t="shared" si="3"/>
        <v>#N/A</v>
      </c>
      <c r="AB13" s="1569" t="e">
        <f t="shared" si="4"/>
        <v>#N/A</v>
      </c>
      <c r="AC13" s="1569" t="e">
        <f t="shared" si="5"/>
        <v>#N/A</v>
      </c>
    </row>
    <row r="14" spans="1:29" s="1217"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92"/>
      <c r="Q14" s="1148">
        <f t="shared" si="6"/>
        <v>111</v>
      </c>
      <c r="R14" s="1566" t="s">
        <v>8</v>
      </c>
      <c r="S14" s="1567">
        <f t="shared" si="0"/>
        <v>100</v>
      </c>
      <c r="T14" s="1566" t="s">
        <v>8</v>
      </c>
      <c r="U14" s="1567">
        <f t="shared" si="1"/>
        <v>100</v>
      </c>
      <c r="V14" s="1566" t="s">
        <v>8</v>
      </c>
      <c r="W14" s="1567">
        <f t="shared" si="2"/>
        <v>100</v>
      </c>
      <c r="X14" s="1568"/>
      <c r="Y14" s="3349"/>
      <c r="Z14" s="1147">
        <f t="shared" si="7"/>
        <v>111</v>
      </c>
      <c r="AA14" s="1569">
        <f>D14/F14</f>
        <v>1</v>
      </c>
      <c r="AB14" s="1569">
        <f>D14/H14</f>
        <v>1</v>
      </c>
      <c r="AC14" s="1569">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92"/>
      <c r="Q15" s="1148">
        <f t="shared" si="6"/>
        <v>111</v>
      </c>
      <c r="R15" s="1566" t="s">
        <v>8</v>
      </c>
      <c r="S15" s="1567">
        <f t="shared" si="0"/>
        <v>100</v>
      </c>
      <c r="T15" s="1566" t="s">
        <v>8</v>
      </c>
      <c r="U15" s="1567">
        <f t="shared" si="1"/>
        <v>100</v>
      </c>
      <c r="V15" s="1566" t="s">
        <v>8</v>
      </c>
      <c r="W15" s="1567">
        <f t="shared" si="2"/>
        <v>100</v>
      </c>
      <c r="X15" s="1568"/>
      <c r="Y15" s="3349"/>
      <c r="Z15" s="1147">
        <f t="shared" si="7"/>
        <v>111</v>
      </c>
      <c r="AA15" s="1569">
        <f t="shared" si="3"/>
        <v>1</v>
      </c>
      <c r="AB15" s="1569">
        <f t="shared" si="4"/>
        <v>1</v>
      </c>
      <c r="AC15" s="1569">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92"/>
      <c r="Q16" s="1148">
        <f t="shared" si="6"/>
        <v>111</v>
      </c>
      <c r="R16" s="1566" t="s">
        <v>8</v>
      </c>
      <c r="S16" s="1567">
        <f t="shared" si="0"/>
        <v>100</v>
      </c>
      <c r="T16" s="1566" t="s">
        <v>8</v>
      </c>
      <c r="U16" s="1567">
        <f t="shared" si="1"/>
        <v>100</v>
      </c>
      <c r="V16" s="1566" t="s">
        <v>8</v>
      </c>
      <c r="W16" s="1567">
        <f t="shared" si="2"/>
        <v>100</v>
      </c>
      <c r="X16" s="1568"/>
      <c r="Y16" s="3349"/>
      <c r="Z16" s="1147">
        <f t="shared" si="7"/>
        <v>111</v>
      </c>
      <c r="AA16" s="1569">
        <f t="shared" si="3"/>
        <v>1</v>
      </c>
      <c r="AB16" s="1569">
        <f t="shared" si="4"/>
        <v>1</v>
      </c>
      <c r="AC16" s="1569">
        <f t="shared" si="5"/>
        <v>1</v>
      </c>
    </row>
    <row r="17" spans="1:29" ht="57">
      <c r="A17" s="2932" t="s">
        <v>2755</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394" t="s">
        <v>540</v>
      </c>
      <c r="Q17" s="1570" t="str">
        <f t="shared" si="6"/>
        <v>产业集聚程度</v>
      </c>
      <c r="R17" s="1571" t="s">
        <v>8</v>
      </c>
      <c r="S17" s="1572">
        <f t="shared" si="0"/>
        <v>100</v>
      </c>
      <c r="T17" s="1571" t="s">
        <v>8</v>
      </c>
      <c r="U17" s="1572">
        <f t="shared" si="1"/>
        <v>100</v>
      </c>
      <c r="V17" s="1571" t="s">
        <v>8</v>
      </c>
      <c r="W17" s="1572">
        <f t="shared" si="2"/>
        <v>100</v>
      </c>
      <c r="X17" s="1565"/>
      <c r="Y17" s="3394"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0"/>
      <c r="M18" s="2132"/>
      <c r="N18" s="2132"/>
      <c r="O18" s="2139"/>
      <c r="P18" s="3395"/>
      <c r="Q18" s="1570"/>
      <c r="R18" s="1571"/>
      <c r="S18" s="1572"/>
      <c r="T18" s="1571"/>
      <c r="U18" s="1572"/>
      <c r="V18" s="1571"/>
      <c r="W18" s="1572"/>
      <c r="X18" s="1565"/>
      <c r="Y18" s="3395"/>
      <c r="Z18" s="1573"/>
      <c r="AA18" s="1574">
        <v>1</v>
      </c>
      <c r="AB18" s="1574">
        <v>1</v>
      </c>
      <c r="AC18" s="1574">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395"/>
      <c r="Q19" s="1570" t="str">
        <f>B19</f>
        <v>交通便捷度</v>
      </c>
      <c r="R19" s="1571" t="s">
        <v>8</v>
      </c>
      <c r="S19" s="1572">
        <f>F19</f>
        <v>100</v>
      </c>
      <c r="T19" s="1571" t="s">
        <v>8</v>
      </c>
      <c r="U19" s="1572">
        <f>H19</f>
        <v>100</v>
      </c>
      <c r="V19" s="1571" t="s">
        <v>8</v>
      </c>
      <c r="W19" s="1572">
        <f>J19</f>
        <v>100</v>
      </c>
      <c r="X19" s="1565"/>
      <c r="Y19" s="3395"/>
      <c r="Z19" s="1573" t="str">
        <f>Q19</f>
        <v>交通便捷度</v>
      </c>
      <c r="AA19" s="1574">
        <f t="shared" si="3"/>
        <v>1</v>
      </c>
      <c r="AB19" s="1574">
        <f t="shared" si="4"/>
        <v>1</v>
      </c>
      <c r="AC19" s="1574">
        <f t="shared" si="5"/>
        <v>1</v>
      </c>
    </row>
    <row r="20" spans="1:29" ht="15">
      <c r="A20" s="530"/>
      <c r="B20" s="919"/>
      <c r="C20" s="574"/>
      <c r="D20" s="553"/>
      <c r="E20" s="554"/>
      <c r="F20" s="553"/>
      <c r="G20" s="554"/>
      <c r="H20" s="553"/>
      <c r="I20" s="556"/>
      <c r="J20" s="553"/>
      <c r="K20" s="529"/>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40"/>
      <c r="M21" s="2132"/>
      <c r="N21" s="2132"/>
      <c r="O21" s="2139"/>
      <c r="P21" s="3395"/>
      <c r="Q21" s="1570" t="str">
        <f t="shared" ref="Q21:Q35" si="8">B21</f>
        <v>区域土地利用方向</v>
      </c>
      <c r="R21" s="1571" t="s">
        <v>8</v>
      </c>
      <c r="S21" s="1572">
        <f>F21</f>
        <v>100</v>
      </c>
      <c r="T21" s="1571" t="s">
        <v>8</v>
      </c>
      <c r="U21" s="1572">
        <f>H21</f>
        <v>100</v>
      </c>
      <c r="V21" s="1571" t="s">
        <v>8</v>
      </c>
      <c r="W21" s="1572">
        <f>J21</f>
        <v>100</v>
      </c>
      <c r="X21" s="1565"/>
      <c r="Y21" s="3395"/>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5"/>
      <c r="L22" s="2140"/>
      <c r="M22" s="2132"/>
      <c r="N22" s="2132"/>
      <c r="O22" s="2139"/>
      <c r="P22" s="3395"/>
      <c r="Q22" s="1570"/>
      <c r="R22" s="1571"/>
      <c r="S22" s="1572"/>
      <c r="T22" s="1571"/>
      <c r="U22" s="1572"/>
      <c r="V22" s="1571"/>
      <c r="W22" s="1572"/>
      <c r="X22" s="1565"/>
      <c r="Y22" s="3395"/>
      <c r="Z22" s="1573"/>
      <c r="AA22" s="1574"/>
      <c r="AB22" s="1574"/>
      <c r="AC22" s="1574"/>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395"/>
      <c r="Q23" s="1570" t="str">
        <f t="shared" si="8"/>
        <v>环境状况</v>
      </c>
      <c r="R23" s="1571" t="s">
        <v>8</v>
      </c>
      <c r="S23" s="1572">
        <f>F23</f>
        <v>100</v>
      </c>
      <c r="T23" s="1571" t="s">
        <v>8</v>
      </c>
      <c r="U23" s="1572">
        <f>H23</f>
        <v>100</v>
      </c>
      <c r="V23" s="1571" t="s">
        <v>8</v>
      </c>
      <c r="W23" s="1572">
        <f>J23</f>
        <v>100</v>
      </c>
      <c r="X23" s="1565"/>
      <c r="Y23" s="3395"/>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0"/>
      <c r="M24" s="2132"/>
      <c r="N24" s="2132"/>
      <c r="O24" s="2139"/>
      <c r="P24" s="3395"/>
      <c r="Q24" s="1570"/>
      <c r="R24" s="1571"/>
      <c r="S24" s="1572"/>
      <c r="T24" s="1571"/>
      <c r="U24" s="1572"/>
      <c r="V24" s="1571"/>
      <c r="W24" s="1572"/>
      <c r="X24" s="1565"/>
      <c r="Y24" s="3395"/>
      <c r="Z24" s="1573"/>
      <c r="AA24" s="1574">
        <v>1</v>
      </c>
      <c r="AB24" s="1574">
        <v>1</v>
      </c>
      <c r="AC24" s="1574">
        <v>1</v>
      </c>
    </row>
    <row r="25" spans="1:29" s="1217" customFormat="1" ht="42.75">
      <c r="A25" s="575"/>
      <c r="B25" s="2615" t="s">
        <v>2549</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395"/>
      <c r="Q25" s="1148" t="str">
        <f t="shared" si="8"/>
        <v>公共配套设施</v>
      </c>
      <c r="R25" s="1566" t="s">
        <v>8</v>
      </c>
      <c r="S25" s="1567">
        <f>F25</f>
        <v>100</v>
      </c>
      <c r="T25" s="1566" t="s">
        <v>8</v>
      </c>
      <c r="U25" s="1567">
        <f>H25</f>
        <v>100</v>
      </c>
      <c r="V25" s="1566" t="s">
        <v>8</v>
      </c>
      <c r="W25" s="1567">
        <f>J25</f>
        <v>100</v>
      </c>
      <c r="X25" s="1568"/>
      <c r="Y25" s="3395"/>
      <c r="Z25" s="1147" t="str">
        <f>Q25</f>
        <v>公共配套设施</v>
      </c>
      <c r="AA25" s="1574">
        <f>D25/F25</f>
        <v>1</v>
      </c>
      <c r="AB25" s="1574">
        <f>D25/H25</f>
        <v>1</v>
      </c>
      <c r="AC25" s="1574">
        <f>D25/J25</f>
        <v>1</v>
      </c>
    </row>
    <row r="26" spans="1:29" s="1217" customFormat="1" ht="15">
      <c r="A26" s="575"/>
      <c r="B26" s="593"/>
      <c r="C26" s="2614"/>
      <c r="D26" s="553"/>
      <c r="E26" s="552"/>
      <c r="F26" s="553"/>
      <c r="G26" s="552"/>
      <c r="H26" s="553"/>
      <c r="I26" s="574"/>
      <c r="J26" s="553"/>
      <c r="K26" s="529"/>
      <c r="L26" s="2133"/>
      <c r="M26" s="2134"/>
      <c r="N26" s="2134"/>
      <c r="O26" s="2135"/>
      <c r="P26" s="3395"/>
      <c r="Q26" s="1148"/>
      <c r="R26" s="1566"/>
      <c r="S26" s="1567"/>
      <c r="T26" s="1566"/>
      <c r="U26" s="1567"/>
      <c r="V26" s="1566"/>
      <c r="W26" s="1567"/>
      <c r="X26" s="1568"/>
      <c r="Y26" s="3395"/>
      <c r="Z26" s="1147"/>
      <c r="AA26" s="1569">
        <v>1</v>
      </c>
      <c r="AB26" s="1569">
        <v>1</v>
      </c>
      <c r="AC26" s="1569">
        <v>1</v>
      </c>
    </row>
    <row r="27" spans="1:29" s="1217" customFormat="1" ht="28.5">
      <c r="A27" s="575"/>
      <c r="B27" s="2615" t="s">
        <v>2550</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395"/>
      <c r="Q27" s="2600" t="str">
        <f t="shared" ref="Q27" si="9">B27</f>
        <v>基础设施水平</v>
      </c>
      <c r="R27" s="1566" t="s">
        <v>8</v>
      </c>
      <c r="S27" s="1567">
        <f>F27</f>
        <v>100</v>
      </c>
      <c r="T27" s="1566" t="s">
        <v>8</v>
      </c>
      <c r="U27" s="1567">
        <f>H27</f>
        <v>100</v>
      </c>
      <c r="V27" s="1566" t="s">
        <v>8</v>
      </c>
      <c r="W27" s="1567">
        <f>J27</f>
        <v>100</v>
      </c>
      <c r="X27" s="1568"/>
      <c r="Y27" s="3395"/>
      <c r="Z27" s="2597" t="str">
        <f>Q27</f>
        <v>基础设施水平</v>
      </c>
      <c r="AA27" s="1574">
        <f>D27/F27</f>
        <v>1</v>
      </c>
      <c r="AB27" s="1574">
        <f>D27/H27</f>
        <v>1</v>
      </c>
      <c r="AC27" s="1574">
        <f>D27/J27</f>
        <v>1</v>
      </c>
    </row>
    <row r="28" spans="1:29" s="1217" customFormat="1" ht="15">
      <c r="A28" s="575"/>
      <c r="B28" s="593"/>
      <c r="C28" s="2614"/>
      <c r="D28" s="553"/>
      <c r="E28" s="577"/>
      <c r="F28" s="553"/>
      <c r="G28" s="577"/>
      <c r="H28" s="553"/>
      <c r="I28" s="577"/>
      <c r="J28" s="553"/>
      <c r="K28" s="529"/>
      <c r="L28" s="2133"/>
      <c r="M28" s="2134"/>
      <c r="N28" s="2134"/>
      <c r="O28" s="2135"/>
      <c r="P28" s="3395"/>
      <c r="Q28" s="2600"/>
      <c r="R28" s="1566"/>
      <c r="S28" s="1567"/>
      <c r="T28" s="1566"/>
      <c r="U28" s="1567"/>
      <c r="V28" s="1566"/>
      <c r="W28" s="1567"/>
      <c r="X28" s="1568"/>
      <c r="Y28" s="3395"/>
      <c r="Z28" s="2597"/>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395"/>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5"/>
      <c r="Z29" s="1573" t="str">
        <f t="shared" ref="Z29:Z42" si="13">Q29</f>
        <v>临街状况</v>
      </c>
      <c r="AA29" s="1574">
        <f t="shared" si="3"/>
        <v>1</v>
      </c>
      <c r="AB29" s="1574">
        <f t="shared" si="4"/>
        <v>1</v>
      </c>
      <c r="AC29" s="1574">
        <f t="shared" si="5"/>
        <v>1</v>
      </c>
    </row>
    <row r="30" spans="1:29" ht="27">
      <c r="A30" s="530"/>
      <c r="B30" s="919"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395"/>
      <c r="Q30" s="1570" t="str">
        <f t="shared" si="8"/>
        <v>毗邻道路的类型与等级</v>
      </c>
      <c r="R30" s="1571" t="s">
        <v>8</v>
      </c>
      <c r="S30" s="1572">
        <f t="shared" si="10"/>
        <v>100</v>
      </c>
      <c r="T30" s="1571" t="s">
        <v>8</v>
      </c>
      <c r="U30" s="1572">
        <f t="shared" si="11"/>
        <v>100</v>
      </c>
      <c r="V30" s="1571" t="s">
        <v>8</v>
      </c>
      <c r="W30" s="1572">
        <f t="shared" si="12"/>
        <v>100</v>
      </c>
      <c r="X30" s="1565"/>
      <c r="Y30" s="3395"/>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0"/>
      <c r="M31" s="2132"/>
      <c r="N31" s="2132"/>
      <c r="O31" s="2139"/>
      <c r="P31" s="3395"/>
      <c r="Q31" s="1570"/>
      <c r="R31" s="1571"/>
      <c r="S31" s="1572"/>
      <c r="T31" s="1571"/>
      <c r="U31" s="1572"/>
      <c r="V31" s="1571"/>
      <c r="W31" s="1572"/>
      <c r="X31" s="1565"/>
      <c r="Y31" s="3395"/>
      <c r="Z31" s="1573"/>
      <c r="AA31" s="1574">
        <v>1</v>
      </c>
      <c r="AB31" s="1574">
        <v>1</v>
      </c>
      <c r="AC31" s="1574">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395"/>
      <c r="Q32" s="1570" t="str">
        <f t="shared" si="8"/>
        <v>土地级别</v>
      </c>
      <c r="R32" s="1571" t="s">
        <v>8</v>
      </c>
      <c r="S32" s="1572">
        <f t="shared" si="10"/>
        <v>100</v>
      </c>
      <c r="T32" s="1571" t="s">
        <v>8</v>
      </c>
      <c r="U32" s="1572">
        <f t="shared" si="11"/>
        <v>100</v>
      </c>
      <c r="V32" s="1571" t="s">
        <v>8</v>
      </c>
      <c r="W32" s="1572">
        <f t="shared" si="12"/>
        <v>100</v>
      </c>
      <c r="X32" s="1565"/>
      <c r="Y32" s="3395"/>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395"/>
      <c r="Q33" s="1570">
        <f t="shared" si="8"/>
        <v>111</v>
      </c>
      <c r="R33" s="1571" t="s">
        <v>8</v>
      </c>
      <c r="S33" s="1572">
        <f t="shared" si="10"/>
        <v>100</v>
      </c>
      <c r="T33" s="1571" t="s">
        <v>8</v>
      </c>
      <c r="U33" s="1572">
        <f t="shared" si="11"/>
        <v>100</v>
      </c>
      <c r="V33" s="1571" t="s">
        <v>8</v>
      </c>
      <c r="W33" s="1572">
        <f t="shared" si="12"/>
        <v>100</v>
      </c>
      <c r="X33" s="1565"/>
      <c r="Y33" s="3395"/>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396" t="s">
        <v>550</v>
      </c>
      <c r="Q34" s="1570">
        <f t="shared" si="8"/>
        <v>111</v>
      </c>
      <c r="R34" s="1571" t="s">
        <v>8</v>
      </c>
      <c r="S34" s="1572">
        <f t="shared" si="10"/>
        <v>100</v>
      </c>
      <c r="T34" s="1571" t="s">
        <v>8</v>
      </c>
      <c r="U34" s="1572">
        <f t="shared" si="11"/>
        <v>100</v>
      </c>
      <c r="V34" s="1571" t="s">
        <v>8</v>
      </c>
      <c r="W34" s="1572">
        <f t="shared" si="12"/>
        <v>100</v>
      </c>
      <c r="X34" s="1565"/>
      <c r="Y34" s="3397" t="s">
        <v>550</v>
      </c>
      <c r="Z34" s="1573">
        <f t="shared" si="13"/>
        <v>111</v>
      </c>
      <c r="AA34" s="1574">
        <f t="shared" si="3"/>
        <v>1</v>
      </c>
      <c r="AB34" s="1574">
        <f t="shared" si="4"/>
        <v>1</v>
      </c>
      <c r="AC34" s="1574">
        <f t="shared" si="5"/>
        <v>1</v>
      </c>
    </row>
    <row r="35" spans="1:29" s="1336"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397"/>
      <c r="Q35" s="1570">
        <f t="shared" si="8"/>
        <v>111</v>
      </c>
      <c r="R35" s="1575" t="s">
        <v>8</v>
      </c>
      <c r="S35" s="1576">
        <f t="shared" si="10"/>
        <v>100</v>
      </c>
      <c r="T35" s="1575" t="s">
        <v>8</v>
      </c>
      <c r="U35" s="1576">
        <f t="shared" si="11"/>
        <v>100</v>
      </c>
      <c r="V35" s="1575" t="s">
        <v>8</v>
      </c>
      <c r="W35" s="1576">
        <f t="shared" si="12"/>
        <v>100</v>
      </c>
      <c r="X35" s="1577"/>
      <c r="Y35" s="3397"/>
      <c r="Z35" s="1578">
        <f t="shared" si="13"/>
        <v>111</v>
      </c>
      <c r="AA35" s="1574">
        <f t="shared" si="3"/>
        <v>1</v>
      </c>
      <c r="AB35" s="1574">
        <f t="shared" si="4"/>
        <v>1</v>
      </c>
      <c r="AC35" s="1574">
        <f t="shared" si="5"/>
        <v>1</v>
      </c>
    </row>
    <row r="36" spans="1:29" ht="15">
      <c r="A36" s="2929"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397"/>
      <c r="Q36" s="1570" t="str">
        <f>B36</f>
        <v>宗地面积</v>
      </c>
      <c r="R36" s="1571" t="s">
        <v>8</v>
      </c>
      <c r="S36" s="1572" t="e">
        <f t="shared" si="10"/>
        <v>#N/A</v>
      </c>
      <c r="T36" s="1571" t="s">
        <v>8</v>
      </c>
      <c r="U36" s="1572" t="e">
        <f t="shared" si="11"/>
        <v>#N/A</v>
      </c>
      <c r="V36" s="1571" t="s">
        <v>8</v>
      </c>
      <c r="W36" s="1572" t="e">
        <f t="shared" si="12"/>
        <v>#N/A</v>
      </c>
      <c r="X36" s="1565"/>
      <c r="Y36" s="3397"/>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397"/>
      <c r="Q37" s="1570" t="str">
        <f t="shared" ref="Q37:Q42" si="14">B37</f>
        <v>宗地形状</v>
      </c>
      <c r="R37" s="1571" t="s">
        <v>8</v>
      </c>
      <c r="S37" s="1572">
        <f t="shared" si="10"/>
        <v>100</v>
      </c>
      <c r="T37" s="1571" t="s">
        <v>8</v>
      </c>
      <c r="U37" s="1572">
        <f t="shared" si="11"/>
        <v>100</v>
      </c>
      <c r="V37" s="1571" t="s">
        <v>8</v>
      </c>
      <c r="W37" s="1572">
        <f t="shared" si="12"/>
        <v>100</v>
      </c>
      <c r="X37" s="1565"/>
      <c r="Y37" s="3397"/>
      <c r="Z37" s="1573" t="str">
        <f t="shared" si="13"/>
        <v>宗地形状</v>
      </c>
      <c r="AA37" s="1574">
        <f t="shared" si="3"/>
        <v>1</v>
      </c>
      <c r="AB37" s="1574">
        <f t="shared" si="4"/>
        <v>1</v>
      </c>
      <c r="AC37" s="1574">
        <f t="shared" si="5"/>
        <v>1</v>
      </c>
    </row>
    <row r="38" spans="1:29" s="1217" customFormat="1" ht="15">
      <c r="A38" s="598"/>
      <c r="B38" s="1893"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397"/>
      <c r="Q38" s="1570" t="str">
        <f t="shared" si="14"/>
        <v>宗地开发程度</v>
      </c>
      <c r="R38" s="1566" t="s">
        <v>8</v>
      </c>
      <c r="S38" s="1567">
        <f t="shared" si="10"/>
        <v>100</v>
      </c>
      <c r="T38" s="1566" t="s">
        <v>8</v>
      </c>
      <c r="U38" s="1567">
        <f t="shared" si="11"/>
        <v>100</v>
      </c>
      <c r="V38" s="1566" t="s">
        <v>8</v>
      </c>
      <c r="W38" s="1567">
        <f t="shared" si="12"/>
        <v>100</v>
      </c>
      <c r="X38" s="1568"/>
      <c r="Y38" s="3397"/>
      <c r="Z38" s="1147"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97" t="s">
        <v>601</v>
      </c>
      <c r="Q39" s="1570" t="str">
        <f t="shared" si="14"/>
        <v>工程地质条件</v>
      </c>
      <c r="R39" s="1571" t="s">
        <v>8</v>
      </c>
      <c r="S39" s="1572">
        <f t="shared" si="10"/>
        <v>100</v>
      </c>
      <c r="T39" s="1571" t="s">
        <v>8</v>
      </c>
      <c r="U39" s="1572">
        <f t="shared" si="11"/>
        <v>100</v>
      </c>
      <c r="V39" s="1571" t="s">
        <v>8</v>
      </c>
      <c r="W39" s="1572">
        <f t="shared" si="12"/>
        <v>100</v>
      </c>
      <c r="X39" s="1565"/>
      <c r="Y39" s="3397"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397"/>
      <c r="Q40" s="1570">
        <f t="shared" si="14"/>
        <v>111</v>
      </c>
      <c r="R40" s="1571" t="s">
        <v>8</v>
      </c>
      <c r="S40" s="1572">
        <f t="shared" si="10"/>
        <v>100</v>
      </c>
      <c r="T40" s="1571" t="s">
        <v>8</v>
      </c>
      <c r="U40" s="1572">
        <f t="shared" si="11"/>
        <v>100</v>
      </c>
      <c r="V40" s="1571" t="s">
        <v>8</v>
      </c>
      <c r="W40" s="1572">
        <f t="shared" si="12"/>
        <v>100</v>
      </c>
      <c r="X40" s="1565"/>
      <c r="Y40" s="3397"/>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397"/>
      <c r="Q41" s="1570">
        <f t="shared" si="14"/>
        <v>111</v>
      </c>
      <c r="R41" s="1571" t="s">
        <v>8</v>
      </c>
      <c r="S41" s="1572">
        <f t="shared" si="10"/>
        <v>100</v>
      </c>
      <c r="T41" s="1571" t="s">
        <v>8</v>
      </c>
      <c r="U41" s="1572">
        <f t="shared" si="11"/>
        <v>100</v>
      </c>
      <c r="V41" s="1571" t="s">
        <v>8</v>
      </c>
      <c r="W41" s="1572">
        <f t="shared" si="12"/>
        <v>100</v>
      </c>
      <c r="X41" s="1565"/>
      <c r="Y41" s="3397"/>
      <c r="Z41" s="1573">
        <f t="shared" si="13"/>
        <v>111</v>
      </c>
      <c r="AA41" s="1574">
        <f t="shared" si="3"/>
        <v>1</v>
      </c>
      <c r="AB41" s="1574">
        <f t="shared" si="4"/>
        <v>1</v>
      </c>
      <c r="AC41" s="1574">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397"/>
      <c r="Q42" s="1570">
        <f t="shared" si="14"/>
        <v>111</v>
      </c>
      <c r="R42" s="1575" t="s">
        <v>8</v>
      </c>
      <c r="S42" s="1576">
        <f t="shared" si="10"/>
        <v>100</v>
      </c>
      <c r="T42" s="1575" t="s">
        <v>8</v>
      </c>
      <c r="U42" s="1576">
        <f t="shared" si="11"/>
        <v>100</v>
      </c>
      <c r="V42" s="1575" t="s">
        <v>8</v>
      </c>
      <c r="W42" s="1576">
        <f t="shared" si="12"/>
        <v>100</v>
      </c>
      <c r="X42" s="1577"/>
      <c r="Y42" s="3397"/>
      <c r="Z42" s="1578">
        <f t="shared" si="13"/>
        <v>111</v>
      </c>
      <c r="AA42" s="1574">
        <f t="shared" si="3"/>
        <v>1</v>
      </c>
      <c r="AB42" s="1574">
        <f t="shared" si="4"/>
        <v>1</v>
      </c>
      <c r="AC42" s="1574">
        <f t="shared" si="5"/>
        <v>1</v>
      </c>
    </row>
    <row r="43" spans="1:29" ht="15">
      <c r="A43" s="605" t="s">
        <v>556</v>
      </c>
      <c r="B43" s="606" t="s">
        <v>2934</v>
      </c>
      <c r="C43" s="607" t="s">
        <v>1</v>
      </c>
      <c r="D43" s="608"/>
      <c r="E43" s="609"/>
      <c r="F43" s="610"/>
      <c r="G43" s="611"/>
      <c r="H43" s="612"/>
      <c r="I43" s="609"/>
      <c r="J43" s="612"/>
      <c r="K43" s="1337"/>
      <c r="L43" s="2142"/>
      <c r="M43" s="2132"/>
      <c r="N43" s="2132"/>
      <c r="O43" s="2143"/>
      <c r="P43" s="3392" t="str">
        <f>A43</f>
        <v>成交单价</v>
      </c>
      <c r="Q43" s="3392"/>
      <c r="R43" s="3406">
        <f>E43</f>
        <v>0</v>
      </c>
      <c r="S43" s="3406"/>
      <c r="T43" s="3406">
        <f>G43</f>
        <v>0</v>
      </c>
      <c r="U43" s="3406"/>
      <c r="V43" s="3406">
        <f>I43</f>
        <v>0</v>
      </c>
      <c r="W43" s="3406"/>
      <c r="X43" s="1557"/>
      <c r="Y43" s="1579"/>
      <c r="Z43" s="1557"/>
      <c r="AA43" s="1557"/>
      <c r="AB43" s="1557"/>
      <c r="AC43" s="1557"/>
    </row>
    <row r="44" spans="1:29" ht="15.75" thickBot="1">
      <c r="A44" s="613" t="s">
        <v>2694</v>
      </c>
      <c r="B44" s="614"/>
      <c r="C44" s="615" t="e">
        <f>R45</f>
        <v>#DIV/0!</v>
      </c>
      <c r="D44" s="616"/>
      <c r="E44" s="615" t="e">
        <f>R44</f>
        <v>#DIV/0!</v>
      </c>
      <c r="F44" s="617"/>
      <c r="G44" s="618" t="e">
        <f>T44</f>
        <v>#DIV/0!</v>
      </c>
      <c r="H44" s="616"/>
      <c r="I44" s="615" t="e">
        <f>V44</f>
        <v>#DIV/0!</v>
      </c>
      <c r="J44" s="616"/>
      <c r="K44" s="1338"/>
      <c r="L44" s="2142"/>
      <c r="M44" s="2132"/>
      <c r="N44" s="2132"/>
      <c r="O44" s="2143"/>
      <c r="P44" s="3392" t="str">
        <f>A44</f>
        <v>比较价格（元/平方米）</v>
      </c>
      <c r="Q44" s="3392"/>
      <c r="R44" s="3417" t="e">
        <f>ROUND(PRODUCT(R43,AA9:AA42),0)</f>
        <v>#DIV/0!</v>
      </c>
      <c r="S44" s="3417"/>
      <c r="T44" s="3417" t="e">
        <f>ROUND(PRODUCT(T43,AB9:AB42),0)</f>
        <v>#DIV/0!</v>
      </c>
      <c r="U44" s="3417"/>
      <c r="V44" s="3417" t="e">
        <f>ROUND(PRODUCT(V43,AC9:AC42),0)</f>
        <v>#DIV/0!</v>
      </c>
      <c r="W44" s="3417"/>
      <c r="X44" s="1557"/>
      <c r="Y44" s="1557"/>
      <c r="Z44" s="1557"/>
      <c r="AA44" s="1557"/>
      <c r="AB44" s="1557"/>
      <c r="AC44" s="1557"/>
    </row>
    <row r="45" spans="1:29" ht="15.75" thickBot="1">
      <c r="A45" s="619" t="s">
        <v>2935</v>
      </c>
      <c r="B45" s="620"/>
      <c r="C45" s="621" t="e">
        <f>R45</f>
        <v>#DIV/0!</v>
      </c>
      <c r="D45" s="621"/>
      <c r="E45" s="621"/>
      <c r="F45" s="621"/>
      <c r="G45" s="621"/>
      <c r="H45" s="621"/>
      <c r="I45" s="621"/>
      <c r="J45" s="621"/>
      <c r="K45" s="1339"/>
      <c r="L45" s="2142"/>
      <c r="M45" s="2132"/>
      <c r="N45" s="2132"/>
      <c r="O45" s="2143"/>
      <c r="P45" s="3414" t="str">
        <f>A45</f>
        <v>估价对象XX用房的比较价格（楼面单价，元/平方米）</v>
      </c>
      <c r="Q45" s="3415"/>
      <c r="R45" s="3416" t="e">
        <f>ROUND(AVERAGE(R44:V44),0)</f>
        <v>#DIV/0!</v>
      </c>
      <c r="S45" s="3416"/>
      <c r="T45" s="3416"/>
      <c r="U45" s="3416"/>
      <c r="V45" s="3416"/>
      <c r="W45" s="3416"/>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8" t="s">
        <v>1724</v>
      </c>
      <c r="D52" s="2225" t="s">
        <v>2293</v>
      </c>
      <c r="E52" s="629" t="s">
        <v>562</v>
      </c>
      <c r="F52" s="1949" t="s">
        <v>563</v>
      </c>
      <c r="G52" s="3418" t="s">
        <v>2284</v>
      </c>
      <c r="H52" s="3419"/>
      <c r="I52" s="1950" t="s">
        <v>1947</v>
      </c>
      <c r="J52" s="1553" t="str">
        <f>项目基本情况!F41</f>
        <v>安徽省</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1" t="s">
        <v>564</v>
      </c>
      <c r="B53" s="632" t="e">
        <f>C45</f>
        <v>#DIV/0!</v>
      </c>
      <c r="C53" s="633">
        <v>1</v>
      </c>
      <c r="D53" s="2226">
        <v>1</v>
      </c>
      <c r="E53" s="633">
        <f>'数据-汇总表'!E8+'数据-汇总表'!E9</f>
        <v>149918</v>
      </c>
      <c r="F53" s="1948" t="e">
        <f t="shared" ref="F53:F62" si="15">ROUND(B53*E53/10000,0)</f>
        <v>#DIV/0!</v>
      </c>
      <c r="G53" s="3420"/>
      <c r="H53" s="3421"/>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5" t="s">
        <v>565</v>
      </c>
      <c r="B54" s="636" t="e">
        <f>ROUND($C$45*C54*D54,0)</f>
        <v>#DIV/0!</v>
      </c>
      <c r="C54" s="376">
        <f t="shared" ref="C54:C62" si="16">IF($C$52="北京市系数",I54,J54)</f>
        <v>0</v>
      </c>
      <c r="D54" s="2227">
        <v>0.25</v>
      </c>
      <c r="E54" s="637"/>
      <c r="F54" s="1948" t="e">
        <f t="shared" si="15"/>
        <v>#DIV/0!</v>
      </c>
      <c r="G54" s="3422" t="s">
        <v>2285</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5" t="s">
        <v>566</v>
      </c>
      <c r="B55" s="636" t="e">
        <f t="shared" ref="B55:B62" si="17">ROUND($C$45*C55*D55,0)</f>
        <v>#DIV/0!</v>
      </c>
      <c r="C55" s="376">
        <f t="shared" si="16"/>
        <v>0</v>
      </c>
      <c r="D55" s="2227">
        <v>0.25</v>
      </c>
      <c r="E55" s="637"/>
      <c r="F55" s="1948" t="e">
        <f t="shared" si="15"/>
        <v>#DIV/0!</v>
      </c>
      <c r="G55" s="3422"/>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5" t="s">
        <v>567</v>
      </c>
      <c r="B56" s="636" t="e">
        <f t="shared" si="17"/>
        <v>#DIV/0!</v>
      </c>
      <c r="C56" s="376">
        <f t="shared" si="16"/>
        <v>0</v>
      </c>
      <c r="D56" s="2227">
        <v>0.25</v>
      </c>
      <c r="E56" s="637"/>
      <c r="F56" s="1948" t="e">
        <f t="shared" si="15"/>
        <v>#DIV/0!</v>
      </c>
      <c r="G56" s="3422"/>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5" t="s">
        <v>568</v>
      </c>
      <c r="B57" s="636" t="e">
        <f t="shared" si="17"/>
        <v>#DIV/0!</v>
      </c>
      <c r="C57" s="376">
        <f t="shared" si="16"/>
        <v>0</v>
      </c>
      <c r="D57" s="2227">
        <v>0.25</v>
      </c>
      <c r="E57" s="637"/>
      <c r="F57" s="1948" t="e">
        <f t="shared" si="15"/>
        <v>#DIV/0!</v>
      </c>
      <c r="G57" s="3422"/>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2328</v>
      </c>
      <c r="B58" s="636" t="e">
        <f t="shared" si="17"/>
        <v>#DIV/0!</v>
      </c>
      <c r="C58" s="376">
        <f t="shared" si="16"/>
        <v>0</v>
      </c>
      <c r="D58" s="2227">
        <v>0.25</v>
      </c>
      <c r="E58" s="639">
        <f>'数据-汇总表'!E11</f>
        <v>0</v>
      </c>
      <c r="F58" s="1948" t="e">
        <f t="shared" si="15"/>
        <v>#DIV/0!</v>
      </c>
      <c r="G58" s="1954" t="s">
        <v>2286</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569</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570</v>
      </c>
      <c r="B60" s="636" t="e">
        <f t="shared" si="17"/>
        <v>#DIV/0!</v>
      </c>
      <c r="C60" s="376">
        <f t="shared" si="16"/>
        <v>0</v>
      </c>
      <c r="D60" s="2227">
        <v>0.25</v>
      </c>
      <c r="E60" s="639">
        <f>'数据-汇总表'!E13</f>
        <v>25176</v>
      </c>
      <c r="F60" s="1948" t="e">
        <f t="shared" si="15"/>
        <v>#DIV/0!</v>
      </c>
      <c r="G60" s="1944" t="s">
        <v>922</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571</v>
      </c>
      <c r="B61" s="636" t="e">
        <f t="shared" si="17"/>
        <v>#DIV/0!</v>
      </c>
      <c r="C61" s="376">
        <f t="shared" si="16"/>
        <v>0</v>
      </c>
      <c r="D61" s="2227">
        <v>0.25</v>
      </c>
      <c r="E61" s="639">
        <f>'数据-汇总表'!E14</f>
        <v>0</v>
      </c>
      <c r="F61" s="1948" t="e">
        <f t="shared" si="15"/>
        <v>#DIV/0!</v>
      </c>
      <c r="G61" s="1954" t="s">
        <v>2285</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5" t="s">
        <v>572</v>
      </c>
      <c r="B62" s="636" t="e">
        <f t="shared" si="17"/>
        <v>#DIV/0!</v>
      </c>
      <c r="C62" s="376">
        <f t="shared" si="16"/>
        <v>0</v>
      </c>
      <c r="D62" s="2227">
        <v>0.25</v>
      </c>
      <c r="E62" s="639">
        <f>'数据-汇总表'!E15</f>
        <v>0</v>
      </c>
      <c r="F62" s="1948" t="e">
        <f t="shared" si="15"/>
        <v>#DIV/0!</v>
      </c>
      <c r="G62" s="1955" t="s">
        <v>2286</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0" t="s">
        <v>573</v>
      </c>
      <c r="B63" s="641" t="s">
        <v>17</v>
      </c>
      <c r="C63" s="641" t="s">
        <v>18</v>
      </c>
      <c r="D63" s="641" t="s">
        <v>2294</v>
      </c>
      <c r="E63" s="641">
        <f>IF(B43="楼面地价",SUM(E53:E62),'数据-汇总表'!D3)</f>
        <v>74959</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90" t="s">
        <v>2534</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7" customFormat="1" ht="27.75" customHeight="1">
      <c r="A68" s="2820" t="s">
        <v>2650</v>
      </c>
      <c r="B68" s="477" t="str">
        <f>"北京市平均增长率"&amp;TEXT(基准地价!P24,"0.00%")</f>
        <v>北京市平均增长率1.35%</v>
      </c>
      <c r="C68" s="891">
        <v>100</v>
      </c>
      <c r="D68" s="728"/>
      <c r="E68" s="728"/>
      <c r="F68" s="728"/>
      <c r="G68" s="728"/>
      <c r="H68" s="728"/>
      <c r="I68" s="728"/>
      <c r="J68" s="728"/>
      <c r="K68" s="728"/>
      <c r="L68" s="728"/>
      <c r="M68" s="2814"/>
      <c r="N68" s="2815"/>
      <c r="O68" s="2160"/>
      <c r="P68" s="2156"/>
      <c r="Q68" s="1991"/>
      <c r="R68" s="1991"/>
      <c r="S68" s="1991"/>
      <c r="T68" s="1991"/>
      <c r="U68" s="1991"/>
      <c r="V68" s="1991"/>
      <c r="W68" s="1991"/>
      <c r="X68" s="1991"/>
      <c r="Y68" s="1991"/>
      <c r="Z68" s="1991"/>
      <c r="AA68" s="1991"/>
      <c r="AB68" s="1991"/>
      <c r="AC68" s="1991"/>
    </row>
    <row r="69" spans="1:29" s="1217" customFormat="1" ht="15.75" thickBot="1">
      <c r="A69" s="651" t="s">
        <v>575</v>
      </c>
      <c r="B69" s="652"/>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7"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5"/>
      <c r="B93" s="1894" t="s">
        <v>2549</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5"/>
      <c r="B95" s="2619" t="s">
        <v>2551</v>
      </c>
      <c r="C95" s="2620" t="s">
        <v>2552</v>
      </c>
      <c r="D95" s="2620" t="s">
        <v>2553</v>
      </c>
      <c r="E95" s="2620" t="s">
        <v>2554</v>
      </c>
      <c r="F95" s="2620" t="s">
        <v>2555</v>
      </c>
      <c r="G95" s="2620" t="s">
        <v>2556</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612"/>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4" t="str">
        <f t="shared" si="25"/>
        <v>(含)-</v>
      </c>
      <c r="L109" s="3115" t="str">
        <f t="shared" si="25"/>
        <v>(含)-</v>
      </c>
      <c r="M109" s="3116"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6"/>
      <c r="B114" s="1894" t="s">
        <v>2426</v>
      </c>
      <c r="C114" s="1373"/>
      <c r="D114" s="1373"/>
      <c r="E114" s="1373"/>
      <c r="F114" s="1373"/>
      <c r="G114" s="1373"/>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2427</v>
      </c>
      <c r="D1" s="1519">
        <f>SUM(D29:D30,D33:D39)</f>
        <v>0</v>
      </c>
      <c r="E1" s="1404" t="s">
        <v>2428</v>
      </c>
      <c r="F1" s="2474"/>
      <c r="G1" s="1399"/>
      <c r="H1" s="1399"/>
      <c r="I1" s="1399"/>
      <c r="J1" s="1399"/>
      <c r="K1" s="1399"/>
      <c r="L1" s="1880" t="s">
        <v>2238</v>
      </c>
      <c r="M1" s="1881">
        <f>SUMPRODUCT((区片价!B5:B9=I2)*(区片价!C3:F3=E2)*(区片价!C5:F9))</f>
        <v>0</v>
      </c>
      <c r="N1" s="1882">
        <f>SUMPRODUCT((因素修正幅度!B5:B9=I2)*(因素修正幅度!C3:F3=E2)*(因素修正幅度!C5:F9))</f>
        <v>0</v>
      </c>
      <c r="O1" s="2187"/>
      <c r="P1" s="2187"/>
      <c r="Q1" s="2187"/>
      <c r="R1" s="2958" t="s">
        <v>2763</v>
      </c>
      <c r="S1" s="2958" t="s">
        <v>2764</v>
      </c>
      <c r="T1" s="2958" t="s">
        <v>2785</v>
      </c>
      <c r="U1" s="2958" t="s">
        <v>2786</v>
      </c>
      <c r="V1" s="2958" t="s">
        <v>2787</v>
      </c>
      <c r="W1" s="2187"/>
      <c r="X1" s="2187"/>
      <c r="Y1" s="2187"/>
      <c r="Z1" s="2187"/>
      <c r="AA1" s="2187"/>
      <c r="AB1" s="2187"/>
      <c r="AC1" s="2188"/>
    </row>
    <row r="2" spans="1:39" ht="15.75">
      <c r="A2" s="1404" t="s">
        <v>919</v>
      </c>
      <c r="B2" s="1035" t="e">
        <f>C26</f>
        <v>#DIV/0!</v>
      </c>
      <c r="C2" s="1405" t="s">
        <v>920</v>
      </c>
      <c r="D2" s="1406" t="s">
        <v>921</v>
      </c>
      <c r="E2" s="1407"/>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3" t="s">
        <v>2239</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9" t="s">
        <v>1687</v>
      </c>
      <c r="B3" s="1035" t="e">
        <f>ROUND(B2*10000/D1,0)</f>
        <v>#DIV/0!</v>
      </c>
      <c r="C3" s="1405" t="s">
        <v>926</v>
      </c>
      <c r="D3" s="1406" t="s">
        <v>927</v>
      </c>
      <c r="E3" s="1410"/>
      <c r="F3" s="1411" t="s">
        <v>2936</v>
      </c>
      <c r="G3" s="1036">
        <f>IF(F3="宗地容积率",'数据-汇总表'!I4,IF(F3="估价对象容积率",'数据-汇总表'!I6,'数据-汇总表'!I7))</f>
        <v>2.0299999999999998</v>
      </c>
      <c r="H3" s="1412" t="s">
        <v>928</v>
      </c>
      <c r="I3" s="1037">
        <v>8</v>
      </c>
      <c r="J3" s="1408" t="s">
        <v>929</v>
      </c>
      <c r="K3" s="1399"/>
      <c r="L3" s="1883" t="s">
        <v>2240</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2280</v>
      </c>
      <c r="B4" s="2475" t="e">
        <f>ROUND(B2*10000/F1,0)</f>
        <v>#DIV/0!</v>
      </c>
      <c r="C4" s="1892" t="s">
        <v>2254</v>
      </c>
      <c r="D4" s="1892" t="e">
        <f>ROUND(B2/(F1/666.67),0)</f>
        <v>#DIV/0!</v>
      </c>
      <c r="E4" s="1892" t="s">
        <v>2255</v>
      </c>
      <c r="F4" s="1890"/>
      <c r="G4" s="1890"/>
      <c r="H4" s="1890"/>
      <c r="I4" s="1890"/>
      <c r="J4" s="1891"/>
      <c r="K4" s="1399"/>
      <c r="L4" s="1883" t="s">
        <v>2241</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9" customFormat="1" ht="15.75" thickBot="1">
      <c r="A5" s="1636" t="s">
        <v>1823</v>
      </c>
      <c r="B5" s="1413" t="s">
        <v>930</v>
      </c>
      <c r="C5" s="1038" t="e">
        <f>ROUND(IF(E2="商业",IF(F16="增加",C6*C7+C16,C6*C7-C16),IF(E2="住宅",IF(F16="增加",C6*C12+C16,C6*C12-C16),IF(F16="增加",C6+C16,C6-C16))),0)</f>
        <v>#DIV/0!</v>
      </c>
      <c r="D5" s="3146">
        <f>ROUND(IF(E2="商业",IF(F16="增加",C6+C16,C6-C16)),0)</f>
        <v>0</v>
      </c>
      <c r="E5" s="1414"/>
      <c r="F5" s="1414"/>
      <c r="G5" s="1415"/>
      <c r="H5" s="1415"/>
      <c r="I5" s="1415"/>
      <c r="J5" s="1416"/>
      <c r="K5" s="1592"/>
      <c r="L5" s="1883" t="s">
        <v>2242</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1870</v>
      </c>
      <c r="B6" s="1420" t="s">
        <v>930</v>
      </c>
      <c r="C6" s="1039">
        <f>SUMIF(L1:L12,基准地价!G2,M1:M12)</f>
        <v>0</v>
      </c>
      <c r="D6" s="1421" t="s">
        <v>1695</v>
      </c>
      <c r="E6" s="1422"/>
      <c r="F6" s="1422"/>
      <c r="G6" s="1423"/>
      <c r="H6" s="1423"/>
      <c r="I6" s="1423"/>
      <c r="J6" s="1424"/>
      <c r="K6" s="1593"/>
      <c r="L6" s="1883" t="s">
        <v>2243</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7"/>
      <c r="AE6" s="1417"/>
      <c r="AF6" s="1417"/>
      <c r="AG6" s="1417"/>
      <c r="AH6" s="1417"/>
      <c r="AI6" s="1417"/>
      <c r="AJ6" s="1418"/>
    </row>
    <row r="7" spans="1:39" ht="24">
      <c r="A7" s="3431" t="str">
        <f>IF(E2="商业",IF(C8="不临58条商业街","",2),"")</f>
        <v/>
      </c>
      <c r="B7" s="1425" t="s">
        <v>931</v>
      </c>
      <c r="C7" s="1040" t="e">
        <f>IF(C8="不临58条商业街",1,ROUND(1+(1.6*E8+1.2*E9+0.8*E10+0.4*E11)*C9,4))</f>
        <v>#DIV/0!</v>
      </c>
      <c r="D7" s="1426" t="s">
        <v>932</v>
      </c>
      <c r="E7" s="1041"/>
      <c r="F7" s="1427"/>
      <c r="G7" s="1428"/>
      <c r="H7" s="1428"/>
      <c r="I7" s="1428"/>
      <c r="J7" s="1429"/>
      <c r="K7" s="1593"/>
      <c r="L7" s="1883" t="s">
        <v>2244</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2766</v>
      </c>
      <c r="X7" s="2949">
        <f>G2</f>
        <v>0</v>
      </c>
      <c r="Y7" s="2949" t="s">
        <v>2767</v>
      </c>
      <c r="Z7" s="2950">
        <f>G3</f>
        <v>2.0299999999999998</v>
      </c>
      <c r="AA7" s="2190"/>
      <c r="AB7" s="2190"/>
      <c r="AC7" s="2191"/>
      <c r="AD7" s="2951"/>
      <c r="AE7" s="2951"/>
      <c r="AF7" s="2951"/>
      <c r="AG7" s="2951"/>
      <c r="AH7" s="2951"/>
      <c r="AI7" s="2951"/>
      <c r="AJ7" s="2952"/>
    </row>
    <row r="8" spans="1:39" ht="15">
      <c r="A8" s="3432"/>
      <c r="B8" s="1412" t="s">
        <v>933</v>
      </c>
      <c r="C8" s="1527"/>
      <c r="D8" s="1042" t="s">
        <v>934</v>
      </c>
      <c r="E8" s="1043" t="e">
        <f>ROUND(C11/E7,4)</f>
        <v>#DIV/0!</v>
      </c>
      <c r="F8" s="1430" t="s">
        <v>935</v>
      </c>
      <c r="G8" s="1431"/>
      <c r="H8" s="1431"/>
      <c r="I8" s="1431"/>
      <c r="J8" s="1432"/>
      <c r="K8" s="1399"/>
      <c r="L8" s="1883" t="s">
        <v>2245</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41" t="s">
        <v>2784</v>
      </c>
      <c r="X8" s="3442"/>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32"/>
      <c r="B9" s="1412" t="s">
        <v>936</v>
      </c>
      <c r="C9" s="1044">
        <f>SUMIF(修正!C59:C119,C8,修正!E59:E119)</f>
        <v>0</v>
      </c>
      <c r="D9" s="1045" t="s">
        <v>937</v>
      </c>
      <c r="E9" s="1045" t="e">
        <f>ROUND(C11/E7,4)</f>
        <v>#DIV/0!</v>
      </c>
      <c r="F9" s="1430" t="s">
        <v>938</v>
      </c>
      <c r="G9" s="1431"/>
      <c r="H9" s="1431"/>
      <c r="I9" s="1431"/>
      <c r="J9" s="1432"/>
      <c r="K9" s="1399"/>
      <c r="L9" s="1883" t="s">
        <v>2246</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40" t="s">
        <v>2780</v>
      </c>
      <c r="X9" s="2953" t="s">
        <v>2781</v>
      </c>
      <c r="Y9" s="3120"/>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32"/>
      <c r="B10" s="1412" t="s">
        <v>939</v>
      </c>
      <c r="C10" s="1045">
        <f>SUMIF(修正!C59:C119,C8,修正!F59:F119)</f>
        <v>0</v>
      </c>
      <c r="D10" s="1045" t="s">
        <v>940</v>
      </c>
      <c r="E10" s="1045" t="e">
        <f>ROUND(C11/E7,4)</f>
        <v>#DIV/0!</v>
      </c>
      <c r="F10" s="1430" t="s">
        <v>941</v>
      </c>
      <c r="G10" s="1431"/>
      <c r="H10" s="1431"/>
      <c r="I10" s="1431"/>
      <c r="J10" s="1432"/>
      <c r="K10" s="1399"/>
      <c r="L10" s="1883" t="s">
        <v>2247</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40"/>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32"/>
      <c r="B11" s="1433" t="s">
        <v>942</v>
      </c>
      <c r="C11" s="1046">
        <f>C10/4</f>
        <v>0</v>
      </c>
      <c r="D11" s="1046" t="s">
        <v>943</v>
      </c>
      <c r="E11" s="1046" t="e">
        <f>ROUND(C11/E7,4)</f>
        <v>#DIV/0!</v>
      </c>
      <c r="F11" s="1434" t="s">
        <v>944</v>
      </c>
      <c r="G11" s="1435"/>
      <c r="H11" s="1435"/>
      <c r="I11" s="1435"/>
      <c r="J11" s="1436"/>
      <c r="K11" s="1399"/>
      <c r="L11" s="1883" t="s">
        <v>2248</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40" t="s">
        <v>2782</v>
      </c>
      <c r="X11" s="1045" t="s">
        <v>2767</v>
      </c>
      <c r="Y11" s="1651">
        <f>$G$3</f>
        <v>2.0299999999999998</v>
      </c>
      <c r="Z11" s="1651">
        <f t="shared" ref="Z11:AJ11" si="3">$G$3</f>
        <v>2.0299999999999998</v>
      </c>
      <c r="AA11" s="1651">
        <f t="shared" si="3"/>
        <v>2.0299999999999998</v>
      </c>
      <c r="AB11" s="1651">
        <f t="shared" si="3"/>
        <v>2.0299999999999998</v>
      </c>
      <c r="AC11" s="1651">
        <f t="shared" si="3"/>
        <v>2.0299999999999998</v>
      </c>
      <c r="AD11" s="1651">
        <f t="shared" si="3"/>
        <v>2.0299999999999998</v>
      </c>
      <c r="AE11" s="1651">
        <f t="shared" si="3"/>
        <v>2.0299999999999998</v>
      </c>
      <c r="AF11" s="1651">
        <f t="shared" si="3"/>
        <v>2.0299999999999998</v>
      </c>
      <c r="AG11" s="1651">
        <f t="shared" si="3"/>
        <v>2.0299999999999998</v>
      </c>
      <c r="AH11" s="1651">
        <f t="shared" si="3"/>
        <v>2.0299999999999998</v>
      </c>
      <c r="AI11" s="1651">
        <f t="shared" si="3"/>
        <v>2.0299999999999998</v>
      </c>
      <c r="AJ11" s="1651">
        <f t="shared" si="3"/>
        <v>2.0299999999999998</v>
      </c>
    </row>
    <row r="12" spans="1:39" ht="25.5" thickBot="1">
      <c r="A12" s="3431" t="s">
        <v>1871</v>
      </c>
      <c r="B12" s="1437" t="s">
        <v>945</v>
      </c>
      <c r="C12" s="1040">
        <f>ROUND(C15*D15*E15*F15*G15*H15*I15*J15,4)</f>
        <v>1</v>
      </c>
      <c r="D12" s="1438" t="s">
        <v>946</v>
      </c>
      <c r="E12" s="1439"/>
      <c r="F12" s="1439"/>
      <c r="G12" s="1440"/>
      <c r="H12" s="1440"/>
      <c r="I12" s="1440"/>
      <c r="J12" s="1441"/>
      <c r="K12" s="1399"/>
      <c r="L12" s="1886" t="s">
        <v>2249</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40"/>
      <c r="X12" s="2956" t="s">
        <v>2783</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33"/>
      <c r="B13" s="1442" t="s">
        <v>1696</v>
      </c>
      <c r="C13" s="1443" t="s">
        <v>1697</v>
      </c>
      <c r="D13" s="1086" t="s">
        <v>1698</v>
      </c>
      <c r="E13" s="1086" t="s">
        <v>1699</v>
      </c>
      <c r="F13" s="1444" t="s">
        <v>947</v>
      </c>
      <c r="G13" s="1445" t="s">
        <v>1642</v>
      </c>
      <c r="H13" s="1446" t="s">
        <v>1642</v>
      </c>
      <c r="I13" s="1447" t="s">
        <v>1642</v>
      </c>
      <c r="J13" s="1448" t="s">
        <v>1642</v>
      </c>
      <c r="K13" s="1399"/>
      <c r="L13" s="2187"/>
      <c r="M13" s="2187"/>
      <c r="N13" s="2187"/>
      <c r="O13" s="2187"/>
      <c r="P13" s="2187"/>
      <c r="Q13" s="2187"/>
      <c r="R13" s="2959">
        <v>12</v>
      </c>
      <c r="S13" s="2948"/>
      <c r="T13" s="2959" t="e">
        <f t="shared" si="0"/>
        <v>#DIV/0!</v>
      </c>
      <c r="U13" s="2948"/>
      <c r="V13" s="2959" t="e">
        <f t="shared" si="1"/>
        <v>#DIV/0!</v>
      </c>
      <c r="W13" s="3440"/>
      <c r="X13" s="2956"/>
      <c r="Y13" s="2955">
        <f>(-0.163*(Y12^2)-0.59*Y12+7617)*(10^(-4))/Y11</f>
        <v>0.37522167487684732</v>
      </c>
      <c r="Z13" s="2955">
        <f t="shared" ref="Z13:AJ13" si="5">(-0.163*(Z12^2)-0.59*Z12+7617)*(10^(-4))/Z11</f>
        <v>0.37522167487684732</v>
      </c>
      <c r="AA13" s="2955">
        <f t="shared" si="5"/>
        <v>0.37522167487684732</v>
      </c>
      <c r="AB13" s="2955">
        <f t="shared" si="5"/>
        <v>0.37522167487684732</v>
      </c>
      <c r="AC13" s="2955">
        <f t="shared" si="5"/>
        <v>0.37522167487684732</v>
      </c>
      <c r="AD13" s="2955">
        <f t="shared" si="5"/>
        <v>0.37522167487684732</v>
      </c>
      <c r="AE13" s="2955">
        <f t="shared" si="5"/>
        <v>0.37522167487684732</v>
      </c>
      <c r="AF13" s="2955">
        <f t="shared" si="5"/>
        <v>0.37522167487684732</v>
      </c>
      <c r="AG13" s="2955">
        <f t="shared" si="5"/>
        <v>0.37522167487684732</v>
      </c>
      <c r="AH13" s="2955">
        <f t="shared" si="5"/>
        <v>0.37522167487684732</v>
      </c>
      <c r="AI13" s="2955">
        <f t="shared" si="5"/>
        <v>0.37522167487684732</v>
      </c>
      <c r="AJ13" s="2955">
        <f t="shared" si="5"/>
        <v>0.37522167487684732</v>
      </c>
    </row>
    <row r="14" spans="1:39" ht="12.75" customHeight="1" thickBot="1">
      <c r="A14" s="3433"/>
      <c r="B14" s="1449"/>
      <c r="C14" s="1450"/>
      <c r="D14" s="1451"/>
      <c r="E14" s="1451"/>
      <c r="F14" s="1452"/>
      <c r="G14" s="1453" t="s">
        <v>948</v>
      </c>
      <c r="H14" s="1454"/>
      <c r="I14" s="1455"/>
      <c r="J14" s="1456"/>
      <c r="K14" s="1399"/>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34"/>
      <c r="B15" s="1457" t="s">
        <v>1700</v>
      </c>
      <c r="C15" s="1048">
        <f>IF(C14="有",1.1,1)</f>
        <v>1</v>
      </c>
      <c r="D15" s="1048">
        <f>IF(D14="有",1.1,1)</f>
        <v>1</v>
      </c>
      <c r="E15" s="1048">
        <f>IF(E14="有",1.1,1)</f>
        <v>1</v>
      </c>
      <c r="F15" s="1048">
        <f>IF(F14="500米范围内",1.2,IF(F14="500-1000米",1.1,1))</f>
        <v>1</v>
      </c>
      <c r="G15" s="1049">
        <v>1</v>
      </c>
      <c r="H15" s="1049">
        <v>1</v>
      </c>
      <c r="I15" s="1049">
        <v>1</v>
      </c>
      <c r="J15" s="1050">
        <v>1</v>
      </c>
      <c r="K15" s="1399"/>
      <c r="L15" s="1596" t="s">
        <v>897</v>
      </c>
      <c r="M15" s="1426" t="s">
        <v>983</v>
      </c>
      <c r="N15" s="1426" t="s">
        <v>984</v>
      </c>
      <c r="O15" s="1426" t="s">
        <v>901</v>
      </c>
      <c r="P15" s="1474" t="s">
        <v>985</v>
      </c>
      <c r="Q15" s="2187"/>
      <c r="R15" s="2959">
        <v>14</v>
      </c>
      <c r="S15" s="2948"/>
      <c r="T15" s="2959" t="e">
        <f t="shared" si="0"/>
        <v>#DIV/0!</v>
      </c>
      <c r="U15" s="2948"/>
      <c r="V15" s="2959" t="e">
        <f t="shared" si="1"/>
        <v>#DIV/0!</v>
      </c>
      <c r="W15" s="2187"/>
      <c r="X15" s="2187"/>
      <c r="Y15" s="2187"/>
      <c r="Z15" s="2187"/>
      <c r="AA15" s="2187"/>
      <c r="AB15" s="2187"/>
      <c r="AC15" s="2188"/>
    </row>
    <row r="16" spans="1:39" ht="24">
      <c r="A16" s="3431" t="s">
        <v>1838</v>
      </c>
      <c r="B16" s="1425" t="s">
        <v>949</v>
      </c>
      <c r="C16" s="1051" t="e">
        <f>ROUND(SUM(G17:J17)/C17,0)</f>
        <v>#DIV/0!</v>
      </c>
      <c r="D16" s="1458" t="s">
        <v>950</v>
      </c>
      <c r="E16" s="1459"/>
      <c r="F16" s="1460"/>
      <c r="G16" s="1461"/>
      <c r="H16" s="1461"/>
      <c r="I16" s="1461"/>
      <c r="J16" s="1461"/>
      <c r="K16" s="1399"/>
      <c r="L16" s="1462" t="s">
        <v>987</v>
      </c>
      <c r="M16" s="1044">
        <v>0.25</v>
      </c>
      <c r="N16" s="1044">
        <v>0.2</v>
      </c>
      <c r="O16" s="1044">
        <v>0.15</v>
      </c>
      <c r="P16" s="1537">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32"/>
      <c r="B17" s="1463" t="s">
        <v>952</v>
      </c>
      <c r="C17" s="1052">
        <f>SUMPRODUCT((修正!A2:A5=E2)*(修正!B1:M1=G2)*(修正!B2:M5))</f>
        <v>0</v>
      </c>
      <c r="D17" s="1465" t="s">
        <v>953</v>
      </c>
      <c r="E17" s="1466" t="str">
        <f>IF(OR(G2="八级",G2="九级",G2="十级",G2="十一级",G2="十二级"),"五通一平","七通一平")</f>
        <v>七通一平</v>
      </c>
      <c r="F17" s="1464"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1829</v>
      </c>
      <c r="B18" s="2794" t="s">
        <v>955</v>
      </c>
      <c r="C18" s="2795">
        <f>SUMIF(修正!C18:C39,E3,修正!E18:E39)</f>
        <v>0</v>
      </c>
      <c r="D18" s="2796"/>
      <c r="E18" s="2797"/>
      <c r="F18" s="2798"/>
      <c r="G18" s="2792"/>
      <c r="H18" s="2792"/>
      <c r="I18" s="2792"/>
      <c r="J18" s="2799"/>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1835</v>
      </c>
      <c r="B19" s="1468" t="s">
        <v>956</v>
      </c>
      <c r="C19" s="1054" t="e">
        <f>ROUND(IF(H19="按公示增长率计算",SUMPRODUCT((地价!A3:A22=YEAR(G19)&amp;"-"&amp;ROUNDUP(MONTH(G19)/3,0))*(地价!X2:AB2=E2)*(地价!X3:AB22)),IF(H19="地价指数",M20/M19,(1+I19)^O19)),4)</f>
        <v>#DIV/0!</v>
      </c>
      <c r="D19" s="1472" t="s">
        <v>957</v>
      </c>
      <c r="E19" s="1055">
        <v>41640</v>
      </c>
      <c r="F19" s="1472" t="s">
        <v>958</v>
      </c>
      <c r="G19" s="1056">
        <f>'数据-取费表'!B2</f>
        <v>43239</v>
      </c>
      <c r="H19" s="1473" t="s">
        <v>2937</v>
      </c>
      <c r="I19" s="2806" t="str">
        <f>IF(H19="季度增幅（自定义）",SUMIF(N21:N24,E2,O21:O24),"")</f>
        <v/>
      </c>
      <c r="J19" s="1469"/>
      <c r="K19" s="1479"/>
      <c r="L19" s="3061" t="s">
        <v>2842</v>
      </c>
      <c r="M19" s="3062">
        <f>ROUND(SUMIF(地价!B2:F2,E2,地价!B22:F22),0)</f>
        <v>0</v>
      </c>
      <c r="N19" s="2808" t="s">
        <v>1676</v>
      </c>
      <c r="O19" s="2807">
        <f>ROUNDDOWN(DATEDIF(E19,G19,"M")/3,0)</f>
        <v>17</v>
      </c>
      <c r="P19" s="1594"/>
      <c r="R19" s="2947"/>
      <c r="S19" s="2947"/>
      <c r="T19" s="2947"/>
      <c r="U19" s="2947"/>
      <c r="V19" s="2947"/>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800" t="s">
        <v>1836</v>
      </c>
      <c r="B20" s="2801" t="s">
        <v>971</v>
      </c>
      <c r="C20" s="2802" t="e">
        <f>ROUND(POWER(1+G20,J20-I20)*(POWER(1+G20,I20)-1)/(POWER(1+G20,J20)-1),4)</f>
        <v>#DIV/0!</v>
      </c>
      <c r="D20" s="2803" t="s">
        <v>972</v>
      </c>
      <c r="E20" s="3117">
        <f ca="1">存贷款利率!I4/100</f>
        <v>4.3499999999999997E-2</v>
      </c>
      <c r="F20" s="2803" t="s">
        <v>973</v>
      </c>
      <c r="G20" s="2804">
        <f>SUMIF(M15:P15,E2,M17:P17)</f>
        <v>0</v>
      </c>
      <c r="H20" s="2803" t="s">
        <v>974</v>
      </c>
      <c r="I20" s="2793" t="e">
        <f>SUMIF('数据-取费表'!C6:C15,E2,'数据-取费表'!F6:F15)/COUNTIF('数据-取费表'!C6:C15,E2)</f>
        <v>#DIV/0!</v>
      </c>
      <c r="J20" s="2805">
        <f>IF(E2="住宅",70,IF(E2="商业",40,50))</f>
        <v>50</v>
      </c>
      <c r="K20" s="1479"/>
      <c r="L20" s="3063" t="s">
        <v>2843</v>
      </c>
      <c r="M20" s="3064">
        <f>ROUND(SUMPRODUCT((地价!A4:A22=YEAR(G19)&amp;"-"&amp;ROUNDUP(MONTH(G19)/3,0))*(地价!B2:F2=E2)*(地价!B4:F22)),0)</f>
        <v>0</v>
      </c>
      <c r="N20" s="2811" t="s">
        <v>2646</v>
      </c>
      <c r="O20" s="2809" t="s">
        <v>2645</v>
      </c>
      <c r="P20" s="2810" t="s">
        <v>2651</v>
      </c>
      <c r="R20" s="2947"/>
      <c r="S20" s="2947"/>
      <c r="T20" s="2947"/>
      <c r="U20" s="2947"/>
      <c r="V20" s="2947"/>
      <c r="W20" s="2193"/>
      <c r="X20" s="2193"/>
      <c r="Y20" s="2193"/>
      <c r="Z20" s="2193"/>
      <c r="AA20" s="2193"/>
      <c r="AB20" s="2193"/>
      <c r="AC20" s="2193"/>
      <c r="AD20" s="1470"/>
      <c r="AE20" s="1470"/>
      <c r="AF20" s="1470"/>
      <c r="AG20" s="1470"/>
      <c r="AH20" s="1470"/>
      <c r="AI20" s="1470"/>
    </row>
    <row r="21" spans="1:40" s="1419" customFormat="1" ht="14.25">
      <c r="A21" s="1640" t="s">
        <v>1837</v>
      </c>
      <c r="B21" s="1478" t="s">
        <v>2762</v>
      </c>
      <c r="C21" s="1155">
        <f>IF(B21="容积率修正",IF(G3&lt;=10,D22,J22),C23)</f>
        <v>0</v>
      </c>
      <c r="D21" s="1479"/>
      <c r="E21" s="1479"/>
      <c r="F21" s="1479"/>
      <c r="G21" s="1479"/>
      <c r="H21" s="1479"/>
      <c r="I21" s="1479"/>
      <c r="J21" s="1480"/>
      <c r="K21" s="1479"/>
      <c r="L21" s="1479"/>
      <c r="M21" s="1479"/>
      <c r="N21" s="1476" t="s">
        <v>975</v>
      </c>
      <c r="O21" s="1540"/>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1"/>
      <c r="AE21" s="1401"/>
      <c r="AF21" s="1401"/>
      <c r="AG21" s="1401"/>
      <c r="AH21" s="1470"/>
      <c r="AI21" s="1470"/>
    </row>
    <row r="22" spans="1:40" s="1419" customFormat="1" ht="14.25">
      <c r="A22" s="1641" t="s">
        <v>1870</v>
      </c>
      <c r="B22" s="1481" t="s">
        <v>976</v>
      </c>
      <c r="C22" s="1057" t="s">
        <v>1702</v>
      </c>
      <c r="D22" s="1057">
        <f>IF(E22=G22,F22,IF(G3&lt;=10,ROUND(F22+(H22-F22)*(G3-E22)/(G22-E22),4),"——"))</f>
        <v>0</v>
      </c>
      <c r="E22" s="1036">
        <f>ROUNDDOWN(G3,1)</f>
        <v>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2.1</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977</v>
      </c>
      <c r="J22" s="1057" t="str">
        <f>IF(G3&gt;10,D113,"——")</f>
        <v>——</v>
      </c>
      <c r="K22" s="1479"/>
      <c r="L22" s="1479"/>
      <c r="M22" s="1479"/>
      <c r="N22" s="1476" t="s">
        <v>978</v>
      </c>
      <c r="O22" s="1540"/>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70"/>
      <c r="AE22" s="1470"/>
      <c r="AF22" s="1470"/>
      <c r="AG22" s="1470"/>
      <c r="AH22" s="1470"/>
      <c r="AI22" s="1470"/>
    </row>
    <row r="23" spans="1:40" ht="27.75" thickBot="1">
      <c r="A23" s="1641" t="s">
        <v>1871</v>
      </c>
      <c r="B23" s="1481" t="s">
        <v>979</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2"/>
    </row>
    <row r="24" spans="1:40" s="1419" customFormat="1" ht="15.75" thickBot="1">
      <c r="A24" s="1639" t="s">
        <v>1872</v>
      </c>
      <c r="B24" s="1413" t="s">
        <v>980</v>
      </c>
      <c r="C24" s="1059">
        <f>SUMIF(A44:A87,E2,B44:B87)</f>
        <v>0</v>
      </c>
      <c r="D24" s="1533"/>
      <c r="E24" s="1534"/>
      <c r="F24" s="1534"/>
      <c r="G24" s="1534"/>
      <c r="H24" s="1534"/>
      <c r="I24" s="1534"/>
      <c r="J24" s="1534"/>
      <c r="K24" s="1479"/>
      <c r="L24" s="1479"/>
      <c r="M24" s="1479"/>
      <c r="N24" s="1482" t="s">
        <v>981</v>
      </c>
      <c r="O24" s="1541"/>
      <c r="P24" s="1539">
        <f>SUMPRODUCT((地价!A3:A22=YEAR(G19)&amp;"-"&amp;ROUNDUP(MONTH(G19)/3,0))*(地价!AD2:AH2=N24)*(地价!AD3:AH22))</f>
        <v>1.35E-2</v>
      </c>
      <c r="R24" s="2947"/>
      <c r="S24" s="2947"/>
      <c r="T24" s="2947"/>
      <c r="U24" s="2947"/>
      <c r="V24" s="2947"/>
      <c r="W24" s="2193"/>
      <c r="X24" s="2193"/>
      <c r="Y24" s="2193"/>
      <c r="Z24" s="2193"/>
      <c r="AA24" s="2193"/>
      <c r="AB24" s="2193"/>
      <c r="AC24" s="2193"/>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3"/>
      <c r="M25" s="2193"/>
      <c r="N25" s="2819" t="s">
        <v>2649</v>
      </c>
      <c r="O25" s="2193"/>
      <c r="P25" s="1539">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7"/>
      <c r="B26" s="1481" t="s">
        <v>986</v>
      </c>
      <c r="C26" s="1060" t="e">
        <f>E29+SUM(E33:E39)</f>
        <v>#DIV/0!</v>
      </c>
      <c r="D26" s="1488"/>
      <c r="E26" s="1454"/>
      <c r="F26" s="1489"/>
      <c r="G26" s="1454"/>
      <c r="H26" s="1454"/>
      <c r="I26" s="1454"/>
      <c r="J26" s="1490"/>
      <c r="K26" s="1399"/>
      <c r="L26" s="2193"/>
      <c r="M26" s="2193"/>
      <c r="N26" s="2193"/>
      <c r="O26" s="2193"/>
      <c r="P26" s="2193"/>
      <c r="Q26" s="2193"/>
      <c r="R26" s="2947"/>
      <c r="S26" s="2947"/>
      <c r="T26" s="2947"/>
      <c r="U26" s="2947"/>
      <c r="V26" s="2947"/>
      <c r="W26" s="2193"/>
      <c r="X26" s="2193"/>
      <c r="Y26" s="2193"/>
      <c r="Z26" s="2193"/>
      <c r="AA26" s="2193"/>
      <c r="AB26" s="2193"/>
      <c r="AC26" s="2193"/>
      <c r="AD26" s="1470"/>
      <c r="AE26" s="1470"/>
      <c r="AF26" s="1470"/>
      <c r="AG26" s="1470"/>
    </row>
    <row r="27" spans="1:40" ht="15" thickBot="1">
      <c r="A27" s="1487"/>
      <c r="B27" s="1491" t="s">
        <v>988</v>
      </c>
      <c r="C27" s="1061" t="e">
        <f>E30+SUM(I33:I39)</f>
        <v>#DIV/0!</v>
      </c>
      <c r="D27" s="1492"/>
      <c r="E27" s="1493"/>
      <c r="F27" s="1494"/>
      <c r="G27" s="1493"/>
      <c r="H27" s="1493"/>
      <c r="I27" s="1493"/>
      <c r="J27" s="1495"/>
      <c r="K27" s="1399"/>
      <c r="L27" s="2193"/>
      <c r="M27" s="2193"/>
      <c r="N27" s="2193"/>
      <c r="O27" s="2193"/>
      <c r="P27" s="2193"/>
      <c r="Q27" s="2193"/>
      <c r="R27" s="2947"/>
      <c r="S27" s="2947"/>
      <c r="T27" s="2947"/>
      <c r="U27" s="2947"/>
      <c r="V27" s="2947"/>
      <c r="W27" s="2193"/>
      <c r="X27" s="2193"/>
      <c r="Y27" s="2193"/>
      <c r="Z27" s="2193"/>
      <c r="AA27" s="2193"/>
      <c r="AB27" s="2193"/>
      <c r="AC27" s="2193"/>
    </row>
    <row r="28" spans="1:40" ht="14.25">
      <c r="A28" s="1483"/>
      <c r="B28" s="1496" t="s">
        <v>989</v>
      </c>
      <c r="C28" s="1497" t="s">
        <v>990</v>
      </c>
      <c r="D28" s="1497" t="s">
        <v>991</v>
      </c>
      <c r="E28" s="1498" t="s">
        <v>992</v>
      </c>
      <c r="F28" s="1499"/>
      <c r="G28" s="1440"/>
      <c r="H28" s="1440"/>
      <c r="I28" s="1440"/>
      <c r="J28" s="1441"/>
      <c r="K28" s="1399"/>
      <c r="L28" s="2193"/>
      <c r="M28" s="2193"/>
      <c r="N28" s="2193"/>
      <c r="O28" s="2193"/>
      <c r="P28" s="2193"/>
      <c r="Q28" s="2193"/>
      <c r="R28" s="2947"/>
      <c r="S28" s="2947"/>
      <c r="T28" s="2947"/>
      <c r="U28" s="2947"/>
      <c r="V28" s="2947"/>
      <c r="W28" s="2193"/>
      <c r="X28" s="2193"/>
      <c r="Y28" s="2193"/>
      <c r="Z28" s="2193"/>
      <c r="AA28" s="2193"/>
      <c r="AB28" s="2193"/>
      <c r="AC28" s="2193"/>
      <c r="AD28" s="1470"/>
      <c r="AE28" s="1470"/>
      <c r="AF28" s="1470"/>
      <c r="AG28" s="1470"/>
    </row>
    <row r="29" spans="1:40" ht="24">
      <c r="A29" s="1500"/>
      <c r="B29" s="1501" t="s">
        <v>993</v>
      </c>
      <c r="C29" s="1060" t="e">
        <f>ROUND(C5*C18*C19*C20*C21*C24,0)</f>
        <v>#DIV/0!</v>
      </c>
      <c r="D29" s="1502"/>
      <c r="E29" s="1847" t="e">
        <f>ROUND(C29*D29/10000,0)</f>
        <v>#DIV/0!</v>
      </c>
      <c r="F29" s="1503" t="s">
        <v>1701</v>
      </c>
      <c r="G29" s="1504"/>
      <c r="H29" s="1504"/>
      <c r="I29" s="1504"/>
      <c r="J29" s="1505"/>
      <c r="K29" s="1399"/>
      <c r="L29" s="2193"/>
      <c r="M29" s="2193"/>
      <c r="N29" s="2193"/>
      <c r="O29" s="2193"/>
      <c r="P29" s="2193"/>
      <c r="Q29" s="2193"/>
      <c r="R29" s="2947"/>
      <c r="S29" s="2947"/>
      <c r="T29" s="2947"/>
      <c r="U29" s="2947"/>
      <c r="V29" s="2947"/>
      <c r="W29" s="2193"/>
      <c r="X29" s="2193"/>
      <c r="Y29" s="2193"/>
      <c r="Z29" s="2193"/>
      <c r="AA29" s="2193"/>
      <c r="AB29" s="2193"/>
      <c r="AC29" s="2193"/>
      <c r="AH29" s="1400"/>
      <c r="AI29" s="1400"/>
      <c r="AJ29" s="1403"/>
      <c r="AK29" s="1403"/>
      <c r="AL29" s="1403"/>
      <c r="AM29" s="1403"/>
    </row>
    <row r="30" spans="1:40" ht="24.75" thickBot="1">
      <c r="A30" s="1506"/>
      <c r="B30" s="1507" t="s">
        <v>994</v>
      </c>
      <c r="C30" s="1048" t="e">
        <f>ROUND(IF(E2="工业",C29*M39,C29*M38),0)</f>
        <v>#DIV/0!</v>
      </c>
      <c r="D30" s="1508"/>
      <c r="E30" s="1847" t="e">
        <f>ROUND(C30*D30/10000,0)</f>
        <v>#DIV/0!</v>
      </c>
      <c r="F30" s="1509" t="s">
        <v>995</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37" t="s">
        <v>2963</v>
      </c>
      <c r="B33" s="1522" t="s">
        <v>999</v>
      </c>
      <c r="C33" s="1060" t="e">
        <f>ROUND(D5*C19*C20*C24*F33,0)</f>
        <v>#DIV/0!</v>
      </c>
      <c r="D33" s="1535"/>
      <c r="E33" s="1045" t="e">
        <f>ROUND(C33*D33/10000,0)</f>
        <v>#DIV/0!</v>
      </c>
      <c r="F33" s="1045">
        <f>SUMIF(修正!A45:A56,G2,修正!B45:B56)</f>
        <v>0</v>
      </c>
      <c r="G33" s="1045" t="e">
        <f t="shared" ref="G33:G39" si="6">ROUND(IF(E2="工业",C33*$M$39,C33*$M$38),0)</f>
        <v>#DIV/0!</v>
      </c>
      <c r="H33" s="1045">
        <f>D33</f>
        <v>0</v>
      </c>
      <c r="I33" s="1045"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8"/>
      <c r="B34" s="1443" t="s">
        <v>1000</v>
      </c>
      <c r="C34" s="1060" t="e">
        <f>ROUND(D5*C19*C20*C24*F34,0)</f>
        <v>#DIV/0!</v>
      </c>
      <c r="D34" s="1535"/>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8"/>
      <c r="B35" s="1443" t="s">
        <v>1001</v>
      </c>
      <c r="C35" s="1060" t="e">
        <f>ROUND(D5*C19*C20*C24*F35,0)</f>
        <v>#DIV/0!</v>
      </c>
      <c r="D35" s="1535"/>
      <c r="E35" s="1045" t="e">
        <f t="shared" si="7"/>
        <v>#DIV/0!</v>
      </c>
      <c r="F35" s="1045">
        <f>SUMIF(修正!A45:A56,G2,修正!D45:D56)</f>
        <v>0</v>
      </c>
      <c r="G35" s="1045" t="e">
        <f t="shared" si="6"/>
        <v>#DIV/0!</v>
      </c>
      <c r="H35" s="1045">
        <f t="shared" si="8"/>
        <v>0</v>
      </c>
      <c r="I35" s="1045"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9"/>
      <c r="B36" s="1443" t="s">
        <v>1002</v>
      </c>
      <c r="C36" s="1060" t="e">
        <f>ROUND(D5*C19*C20*C24*F36,0)</f>
        <v>#DIV/0!</v>
      </c>
      <c r="D36" s="1535"/>
      <c r="E36" s="1045" t="e">
        <f t="shared" si="7"/>
        <v>#DIV/0!</v>
      </c>
      <c r="F36" s="1045">
        <f>SUMIF(修正!A45:A56,G2,修正!E45:E56)</f>
        <v>0</v>
      </c>
      <c r="G36" s="1045" t="e">
        <f t="shared" si="6"/>
        <v>#DIV/0!</v>
      </c>
      <c r="H36" s="1045">
        <f t="shared" si="8"/>
        <v>0</v>
      </c>
      <c r="I36" s="1045"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1003</v>
      </c>
      <c r="C37" s="1045" t="e">
        <f>ROUND(C5*C19*C20*C24*F37,0)</f>
        <v>#DIV/0!</v>
      </c>
      <c r="D37" s="1535"/>
      <c r="E37" s="1045" t="e">
        <f t="shared" si="7"/>
        <v>#DIV/0!</v>
      </c>
      <c r="F37" s="1060">
        <f>SUMIF(修正!A45:A56,G2,修正!F45:F56)</f>
        <v>0</v>
      </c>
      <c r="G37" s="1045" t="e">
        <f t="shared" si="6"/>
        <v>#DIV/0!</v>
      </c>
      <c r="H37" s="1045">
        <f t="shared" si="8"/>
        <v>0</v>
      </c>
      <c r="I37" s="1045" t="e">
        <f t="shared" si="9"/>
        <v>#DIV/0!</v>
      </c>
      <c r="J37" s="1523"/>
      <c r="K37" s="1399"/>
      <c r="L37" s="1542" t="s">
        <v>1703</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1004</v>
      </c>
      <c r="C38" s="1045" t="e">
        <f>ROUND(C5*C19*C20*C24*F38,0)</f>
        <v>#DIV/0!</v>
      </c>
      <c r="D38" s="1535"/>
      <c r="E38" s="1045" t="e">
        <f t="shared" si="7"/>
        <v>#DIV/0!</v>
      </c>
      <c r="F38" s="1060">
        <f>SUMIF(修正!A45:A56,G2,修正!G45:G56)</f>
        <v>0</v>
      </c>
      <c r="G38" s="1045" t="e">
        <f t="shared" si="6"/>
        <v>#DIV/0!</v>
      </c>
      <c r="H38" s="1045">
        <f t="shared" si="8"/>
        <v>0</v>
      </c>
      <c r="I38" s="1045" t="e">
        <f t="shared" si="9"/>
        <v>#DIV/0!</v>
      </c>
      <c r="J38" s="1523"/>
      <c r="K38" s="1399"/>
      <c r="L38" s="1544" t="s">
        <v>1705</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1005</v>
      </c>
      <c r="C39" s="1048" t="e">
        <f>ROUND(C5*C19*C20*C24*F39,0)</f>
        <v>#DIV/0!</v>
      </c>
      <c r="D39" s="1536"/>
      <c r="E39" s="1048" t="e">
        <f t="shared" si="7"/>
        <v>#DIV/0!</v>
      </c>
      <c r="F39" s="1062">
        <f>SUMIF(修正!A45:A56,G2,修正!H45:H56)</f>
        <v>0</v>
      </c>
      <c r="G39" s="1048" t="e">
        <f t="shared" si="6"/>
        <v>#DIV/0!</v>
      </c>
      <c r="H39" s="1048">
        <f t="shared" si="8"/>
        <v>0</v>
      </c>
      <c r="I39" s="1048" t="e">
        <f t="shared" si="9"/>
        <v>#DIV/0!</v>
      </c>
      <c r="J39" s="1525"/>
      <c r="K39" s="1399"/>
      <c r="L39" s="1546" t="s">
        <v>1704</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41" t="s">
        <v>1006</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46" t="s">
        <v>1007</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1008</v>
      </c>
      <c r="B46" s="2430" t="s">
        <v>1009</v>
      </c>
      <c r="C46" s="2452" t="s">
        <v>1010</v>
      </c>
      <c r="D46" s="2453" t="s">
        <v>1011</v>
      </c>
      <c r="E46" s="2454" t="s">
        <v>1013</v>
      </c>
      <c r="F46" s="2455" t="s">
        <v>2250</v>
      </c>
      <c r="G46" s="2453" t="s">
        <v>1014</v>
      </c>
      <c r="H46" s="2436" t="s">
        <v>2419</v>
      </c>
      <c r="I46" s="2453" t="s">
        <v>1012</v>
      </c>
      <c r="J46" s="2456" t="s">
        <v>1015</v>
      </c>
      <c r="K46" s="2456" t="s">
        <v>1016</v>
      </c>
      <c r="L46" s="2456" t="s">
        <v>1017</v>
      </c>
      <c r="M46" s="2456" t="s">
        <v>1018</v>
      </c>
      <c r="N46" s="2456" t="s">
        <v>1019</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4" t="s">
        <v>1020</v>
      </c>
      <c r="B47" s="2433" t="str">
        <f>估价对象房地状况!C16</f>
        <v>估价对象位于XX商圈，周边商业氛围成熟，人流量大，商业繁华度好</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1021</v>
      </c>
      <c r="B48" s="2430" t="str">
        <f>估价对象房地状况!C18</f>
        <v>估价对象周边道路状况、公共交通通达情况、停车便捷程度，综合评价交通便捷度较好</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1022</v>
      </c>
      <c r="B49" s="2430">
        <f>估价对象房地状况!C19</f>
        <v>0</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1023</v>
      </c>
      <c r="B50" s="3119" t="s">
        <v>2939</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1024</v>
      </c>
      <c r="B51" s="2430">
        <f>估价对象房地状况!C24</f>
        <v>0</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1025</v>
      </c>
      <c r="B52" s="3118" t="s">
        <v>2938</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62" t="s">
        <v>1026</v>
      </c>
      <c r="B53" s="2431" t="str">
        <f>估价对象房地状况!C21</f>
        <v>估价对象所在区域公共配套设施齐备情况</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62" t="s">
        <v>1027</v>
      </c>
      <c r="B54" s="2430" t="str">
        <f>估价对象房地状况!C22</f>
        <v>估价对象所在区域基础设施水平</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63" t="s">
        <v>1028</v>
      </c>
      <c r="B55" s="2434" t="str">
        <f>估价对象房地状况!C20</f>
        <v>区域自然环境：；人文环境；综合评价环境状况一般</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46" t="s">
        <v>1029</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1008</v>
      </c>
      <c r="B57" s="2430"/>
      <c r="C57" s="2452" t="s">
        <v>1010</v>
      </c>
      <c r="D57" s="2453" t="s">
        <v>1011</v>
      </c>
      <c r="E57" s="2454" t="s">
        <v>1013</v>
      </c>
      <c r="F57" s="2455" t="s">
        <v>2251</v>
      </c>
      <c r="G57" s="2453" t="s">
        <v>1014</v>
      </c>
      <c r="H57" s="2436" t="s">
        <v>2419</v>
      </c>
      <c r="I57" s="2453" t="s">
        <v>1012</v>
      </c>
      <c r="J57" s="2456" t="s">
        <v>1015</v>
      </c>
      <c r="K57" s="2456" t="s">
        <v>1016</v>
      </c>
      <c r="L57" s="2456" t="s">
        <v>1017</v>
      </c>
      <c r="M57" s="2456" t="s">
        <v>1018</v>
      </c>
      <c r="N57" s="2456" t="s">
        <v>1019</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4" t="s">
        <v>1030</v>
      </c>
      <c r="B58" s="2433" t="str">
        <f>估价对象房地状况!C17</f>
        <v>估价对象位于XX商圈，周边办公楼项目较多，入驻率高，办公集聚程度较好</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1021</v>
      </c>
      <c r="B59" s="2430" t="str">
        <f>估价对象房地状况!C18</f>
        <v>估价对象周边道路状况、公共交通通达情况、停车便捷程度，综合评价交通便捷度较好</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1022</v>
      </c>
      <c r="B60" s="2430">
        <f>估价对象房地状况!C19</f>
        <v>0</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1023</v>
      </c>
      <c r="B61" s="3119" t="s">
        <v>2940</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1024</v>
      </c>
      <c r="B62" s="2430">
        <f>估价对象房地状况!C24</f>
        <v>0</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1025</v>
      </c>
      <c r="B63" s="3118" t="s">
        <v>2938</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1026</v>
      </c>
      <c r="B64" s="2431" t="str">
        <f>估价对象房地状况!C21</f>
        <v>估价对象所在区域公共配套设施齐备情况</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1027</v>
      </c>
      <c r="B65" s="2431" t="str">
        <f>估价对象房地状况!C22</f>
        <v>估价对象所在区域基础设施水平</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63" t="s">
        <v>1028</v>
      </c>
      <c r="B66" s="2435" t="str">
        <f>估价对象房地状况!C20</f>
        <v>区域自然环境：；人文环境；综合评价环境状况一般</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46" t="s">
        <v>1031</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1008</v>
      </c>
      <c r="B68" s="2430"/>
      <c r="C68" s="2452" t="s">
        <v>1010</v>
      </c>
      <c r="D68" s="2453" t="s">
        <v>1011</v>
      </c>
      <c r="E68" s="2454" t="s">
        <v>1013</v>
      </c>
      <c r="F68" s="2455" t="s">
        <v>2252</v>
      </c>
      <c r="G68" s="2453" t="s">
        <v>1014</v>
      </c>
      <c r="H68" s="2436" t="s">
        <v>2419</v>
      </c>
      <c r="I68" s="2453" t="s">
        <v>1012</v>
      </c>
      <c r="J68" s="2456" t="s">
        <v>1015</v>
      </c>
      <c r="K68" s="2456" t="s">
        <v>1016</v>
      </c>
      <c r="L68" s="2456" t="s">
        <v>1017</v>
      </c>
      <c r="M68" s="2456" t="s">
        <v>1018</v>
      </c>
      <c r="N68" s="2456" t="s">
        <v>1019</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1032</v>
      </c>
      <c r="B69" s="2433" t="str">
        <f>估价对象房地状况!C15</f>
        <v>估价对象周边居住用地比例、居住小区规模和社区发展完善程度，综合评价居住社区成熟度一般</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1033</v>
      </c>
      <c r="B70" s="2430" t="str">
        <f>估价对象房地状况!C18</f>
        <v>估价对象周边道路状况、公共交通通达情况、停车便捷程度，综合评价交通便捷度较好</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1022</v>
      </c>
      <c r="B71" s="2430">
        <f>估价对象房地状况!C19</f>
        <v>0</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1034</v>
      </c>
      <c r="B72" s="2430">
        <f>估价对象房地状况!C24</f>
        <v>0</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1026</v>
      </c>
      <c r="B73" s="2431" t="str">
        <f>估价对象房地状况!C21</f>
        <v>估价对象所在区域公共配套设施齐备情况</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1027</v>
      </c>
      <c r="B74" s="2431" t="str">
        <f>估价对象房地状况!C22</f>
        <v>估价对象所在区域基础设施水平</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1025</v>
      </c>
      <c r="B75" s="3118" t="s">
        <v>2938</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1028</v>
      </c>
      <c r="B76" s="2433" t="str">
        <f>估价对象房地状况!C20</f>
        <v>区域自然环境：；人文环境；综合评价环境状况一般</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63" t="s">
        <v>1035</v>
      </c>
      <c r="B77" s="1848"/>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3"/>
      <c r="AD77" s="1402"/>
      <c r="AJ77" s="1401"/>
      <c r="AN77" s="1402"/>
    </row>
    <row r="78" spans="1:40" ht="15">
      <c r="A78" s="2446" t="s">
        <v>1036</v>
      </c>
      <c r="B78" s="2447">
        <f>1+E80</f>
        <v>1</v>
      </c>
      <c r="C78" s="2466"/>
      <c r="D78" s="2449"/>
      <c r="E78" s="2450"/>
      <c r="F78" s="2451"/>
      <c r="G78" s="2445"/>
      <c r="H78" s="2445"/>
      <c r="I78" s="2445"/>
      <c r="J78" s="1063"/>
      <c r="K78" s="1063"/>
      <c r="L78" s="1063"/>
      <c r="M78" s="1063"/>
      <c r="N78" s="1063"/>
      <c r="AC78" s="1403"/>
      <c r="AD78" s="1402"/>
      <c r="AJ78" s="1401"/>
      <c r="AN78" s="1402"/>
    </row>
    <row r="79" spans="1:40" ht="24">
      <c r="A79" s="1064" t="s">
        <v>1008</v>
      </c>
      <c r="B79" s="2430"/>
      <c r="C79" s="2452" t="s">
        <v>1010</v>
      </c>
      <c r="D79" s="2453" t="s">
        <v>1011</v>
      </c>
      <c r="E79" s="2454" t="s">
        <v>1013</v>
      </c>
      <c r="F79" s="2455" t="s">
        <v>2253</v>
      </c>
      <c r="G79" s="2453" t="s">
        <v>1014</v>
      </c>
      <c r="H79" s="2436" t="s">
        <v>2419</v>
      </c>
      <c r="I79" s="2453" t="s">
        <v>1012</v>
      </c>
      <c r="J79" s="2456" t="s">
        <v>1015</v>
      </c>
      <c r="K79" s="2456" t="s">
        <v>1016</v>
      </c>
      <c r="L79" s="2456" t="s">
        <v>1017</v>
      </c>
      <c r="M79" s="2456" t="s">
        <v>1018</v>
      </c>
      <c r="N79" s="2456" t="s">
        <v>1019</v>
      </c>
      <c r="AC79" s="1403"/>
      <c r="AD79" s="1402"/>
      <c r="AJ79" s="1401"/>
      <c r="AN79" s="1402"/>
    </row>
    <row r="80" spans="1:40" ht="36">
      <c r="A80" s="1064" t="s">
        <v>1037</v>
      </c>
      <c r="B80" s="2430" t="str">
        <f>估价对象房地状况!G15</f>
        <v>估价对象位于XX开发区，园区建设成熟度XX，产业集聚程度XX</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3"/>
      <c r="AD80" s="1402"/>
      <c r="AJ80" s="1401"/>
      <c r="AN80" s="1402"/>
    </row>
    <row r="81" spans="1:40" ht="48">
      <c r="A81" s="1064" t="s">
        <v>1033</v>
      </c>
      <c r="B81" s="2430" t="str">
        <f>估价对象房地状况!G16</f>
        <v>估价对象周边道路状况、公共交通通达情况、停车便捷程度，综合评价交通便捷度较好</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3"/>
      <c r="AD81" s="1402"/>
      <c r="AJ81" s="1401"/>
      <c r="AN81" s="1402"/>
    </row>
    <row r="82" spans="1:40" ht="24">
      <c r="A82" s="1064" t="s">
        <v>1022</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3"/>
      <c r="AD82" s="1402"/>
      <c r="AJ82" s="1401"/>
      <c r="AN82" s="1402"/>
    </row>
    <row r="83" spans="1:40" ht="14.25">
      <c r="A83" s="1064" t="s">
        <v>1034</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3"/>
      <c r="AD83" s="1402"/>
      <c r="AJ83" s="1401"/>
      <c r="AN83" s="1402"/>
    </row>
    <row r="84" spans="1:40" ht="24">
      <c r="A84" s="1064" t="s">
        <v>1026</v>
      </c>
      <c r="B84" s="2431" t="str">
        <f>估价对象房地状况!G19</f>
        <v>估价对象所在区域公共配套设施齐备情况</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3"/>
      <c r="AD84" s="1402"/>
      <c r="AJ84" s="1401"/>
      <c r="AN84" s="1402"/>
    </row>
    <row r="85" spans="1:40" ht="24">
      <c r="A85" s="1064" t="s">
        <v>1027</v>
      </c>
      <c r="B85" s="2431" t="str">
        <f>估价对象房地状况!G20</f>
        <v>估价对象所在区域基础设施水平</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3"/>
      <c r="AD85" s="1402"/>
      <c r="AJ85" s="1401"/>
      <c r="AN85" s="1402"/>
    </row>
    <row r="86" spans="1:40" ht="24">
      <c r="A86" s="1064" t="s">
        <v>1025</v>
      </c>
      <c r="B86" s="3118" t="s">
        <v>2938</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3"/>
      <c r="AD86" s="1402"/>
      <c r="AJ86" s="1401"/>
      <c r="AN86" s="1402"/>
    </row>
    <row r="87" spans="1:40" ht="36.75" thickBot="1">
      <c r="A87" s="2463" t="s">
        <v>1038</v>
      </c>
      <c r="B87" s="2432" t="str">
        <f>估价对象房地状况!G18</f>
        <v>该园区内是否有污染型企业，绿化情况，卫生条件，整体环境状况判断</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3"/>
      <c r="AD87" s="1402"/>
      <c r="AJ87" s="1401"/>
      <c r="AN87" s="1402"/>
    </row>
    <row r="90" spans="1:40">
      <c r="A90" s="3435" t="s">
        <v>1633</v>
      </c>
      <c r="B90" s="3435"/>
      <c r="C90" s="3435"/>
      <c r="D90" s="3435"/>
      <c r="E90" s="3435"/>
      <c r="F90" s="3435"/>
      <c r="G90" s="3435"/>
      <c r="H90" s="3435"/>
      <c r="I90" s="3435"/>
      <c r="J90" s="3435"/>
      <c r="K90" s="2472"/>
      <c r="L90" s="2472"/>
      <c r="M90" s="2472"/>
      <c r="N90" s="2472"/>
    </row>
    <row r="91" spans="1:40">
      <c r="A91" s="3436" t="s">
        <v>1443</v>
      </c>
      <c r="B91" s="3436" t="s">
        <v>1634</v>
      </c>
      <c r="C91" s="1137" t="s">
        <v>1635</v>
      </c>
      <c r="D91" s="1138"/>
      <c r="E91" s="1138"/>
      <c r="F91" s="1138"/>
      <c r="G91" s="1138"/>
      <c r="H91" s="1138"/>
      <c r="I91" s="1138"/>
      <c r="J91" s="1139"/>
      <c r="K91" s="1131"/>
      <c r="L91" s="1131"/>
      <c r="M91" s="1131"/>
      <c r="N91" s="1131"/>
    </row>
    <row r="92" spans="1:40">
      <c r="A92" s="3436"/>
      <c r="B92" s="3436"/>
      <c r="C92" s="2471" t="s">
        <v>906</v>
      </c>
      <c r="D92" s="2471" t="s">
        <v>884</v>
      </c>
      <c r="E92" s="2471" t="s">
        <v>885</v>
      </c>
      <c r="F92" s="2471" t="s">
        <v>909</v>
      </c>
      <c r="G92" s="2471" t="s">
        <v>887</v>
      </c>
      <c r="H92" s="2471" t="s">
        <v>888</v>
      </c>
      <c r="I92" s="2471" t="s">
        <v>889</v>
      </c>
      <c r="J92" s="2471" t="s">
        <v>890</v>
      </c>
      <c r="K92" s="2471" t="s">
        <v>914</v>
      </c>
      <c r="L92" s="2471" t="s">
        <v>892</v>
      </c>
      <c r="M92" s="2471" t="s">
        <v>893</v>
      </c>
      <c r="N92" s="2471" t="s">
        <v>917</v>
      </c>
    </row>
    <row r="93" spans="1:40">
      <c r="A93" s="3443"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4"/>
      <c r="B99" s="1140" t="s">
        <v>1636</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5"/>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3" t="s">
        <v>1637</v>
      </c>
      <c r="B101" s="1144" t="s">
        <v>905</v>
      </c>
      <c r="C101" s="1145">
        <f>$G$3</f>
        <v>2.0299999999999998</v>
      </c>
      <c r="D101" s="1145">
        <f t="shared" ref="D101:N101" si="31">$G$3</f>
        <v>2.0299999999999998</v>
      </c>
      <c r="E101" s="1145">
        <f t="shared" si="31"/>
        <v>2.0299999999999998</v>
      </c>
      <c r="F101" s="1145">
        <f t="shared" si="31"/>
        <v>2.0299999999999998</v>
      </c>
      <c r="G101" s="1145">
        <f t="shared" si="31"/>
        <v>2.0299999999999998</v>
      </c>
      <c r="H101" s="1145">
        <f t="shared" si="31"/>
        <v>2.0299999999999998</v>
      </c>
      <c r="I101" s="1145">
        <f t="shared" si="31"/>
        <v>2.0299999999999998</v>
      </c>
      <c r="J101" s="1145">
        <f t="shared" si="31"/>
        <v>2.0299999999999998</v>
      </c>
      <c r="K101" s="1145">
        <f t="shared" si="31"/>
        <v>2.0299999999999998</v>
      </c>
      <c r="L101" s="1145">
        <f t="shared" si="31"/>
        <v>2.0299999999999998</v>
      </c>
      <c r="M101" s="1145">
        <f t="shared" si="31"/>
        <v>2.0299999999999998</v>
      </c>
      <c r="N101" s="1145">
        <f t="shared" si="31"/>
        <v>2.0299999999999998</v>
      </c>
    </row>
    <row r="102" spans="1:14">
      <c r="A102" s="3444"/>
      <c r="B102" s="1140">
        <v>1</v>
      </c>
      <c r="C102" s="1141">
        <f>1.9362/C101</f>
        <v>0.95379310344827595</v>
      </c>
      <c r="D102" s="1141">
        <f>1.9362/D101</f>
        <v>0.95379310344827595</v>
      </c>
      <c r="E102" s="1141">
        <f>1.8629/E101</f>
        <v>0.91768472906403953</v>
      </c>
      <c r="F102" s="1141">
        <f>1.8629/F101</f>
        <v>0.91768472906403953</v>
      </c>
      <c r="G102" s="1141">
        <f>1.8629/G101</f>
        <v>0.91768472906403953</v>
      </c>
      <c r="H102" s="1141">
        <f>1.8629/H101</f>
        <v>0.91768472906403953</v>
      </c>
      <c r="I102" s="1141">
        <f>1.8629/I101</f>
        <v>0.91768472906403953</v>
      </c>
      <c r="J102" s="1141">
        <f>1.942/J101</f>
        <v>0.95665024630541884</v>
      </c>
      <c r="K102" s="1141">
        <f>1.942/K101</f>
        <v>0.95665024630541884</v>
      </c>
      <c r="L102" s="1141">
        <f>1.942/L101</f>
        <v>0.95665024630541884</v>
      </c>
      <c r="M102" s="1141">
        <f>1.942/M101</f>
        <v>0.95665024630541884</v>
      </c>
      <c r="N102" s="1141">
        <f>1.942/N101</f>
        <v>0.95665024630541884</v>
      </c>
    </row>
    <row r="103" spans="1:14">
      <c r="A103" s="3444"/>
      <c r="B103" s="1140">
        <v>2</v>
      </c>
      <c r="C103" s="1141">
        <f>1.4198/C101</f>
        <v>0.69940886699507399</v>
      </c>
      <c r="D103" s="1141">
        <f>1.4198/D101</f>
        <v>0.69940886699507399</v>
      </c>
      <c r="E103" s="1141">
        <f>1.3372/E101</f>
        <v>0.65871921182266013</v>
      </c>
      <c r="F103" s="1141">
        <f>1.3372/F101</f>
        <v>0.65871921182266013</v>
      </c>
      <c r="G103" s="1141">
        <f>1.3372/G101</f>
        <v>0.65871921182266013</v>
      </c>
      <c r="H103" s="1141">
        <f>1.3372/H101</f>
        <v>0.65871921182266013</v>
      </c>
      <c r="I103" s="1141">
        <f>1.3372/I101</f>
        <v>0.65871921182266013</v>
      </c>
      <c r="J103" s="1141">
        <f>1.2799/J101</f>
        <v>0.63049261083743846</v>
      </c>
      <c r="K103" s="1141">
        <f>1.2799/K101</f>
        <v>0.63049261083743846</v>
      </c>
      <c r="L103" s="1141">
        <f>1.2799/L101</f>
        <v>0.63049261083743846</v>
      </c>
      <c r="M103" s="1141">
        <f>1.2799/M101</f>
        <v>0.63049261083743846</v>
      </c>
      <c r="N103" s="1141">
        <f>1.2799/N101</f>
        <v>0.63049261083743846</v>
      </c>
    </row>
    <row r="104" spans="1:14">
      <c r="A104" s="3444"/>
      <c r="B104" s="1140">
        <v>3</v>
      </c>
      <c r="C104" s="1141">
        <f>1.1594/C101</f>
        <v>0.57113300492610841</v>
      </c>
      <c r="D104" s="1141">
        <f>1.1594/D101</f>
        <v>0.57113300492610841</v>
      </c>
      <c r="E104" s="1141">
        <f>1.0788/E101</f>
        <v>0.53142857142857147</v>
      </c>
      <c r="F104" s="1141">
        <f>1.0788/F101</f>
        <v>0.53142857142857147</v>
      </c>
      <c r="G104" s="1141">
        <f>1.0788/G101</f>
        <v>0.53142857142857147</v>
      </c>
      <c r="H104" s="1141">
        <f>1.0788/H101</f>
        <v>0.53142857142857147</v>
      </c>
      <c r="I104" s="1141">
        <f>1.0788/I101</f>
        <v>0.53142857142857147</v>
      </c>
      <c r="J104" s="1141">
        <f>1.0072/J101</f>
        <v>0.49615763546798042</v>
      </c>
      <c r="K104" s="1141">
        <f>1.0072/K101</f>
        <v>0.49615763546798042</v>
      </c>
      <c r="L104" s="1141">
        <f>1.0072/L101</f>
        <v>0.49615763546798042</v>
      </c>
      <c r="M104" s="1141">
        <f>1.0072/M101</f>
        <v>0.49615763546798042</v>
      </c>
      <c r="N104" s="1141">
        <f>1.0072/N101</f>
        <v>0.49615763546798042</v>
      </c>
    </row>
    <row r="105" spans="1:14">
      <c r="A105" s="3444"/>
      <c r="B105" s="1140">
        <v>4</v>
      </c>
      <c r="C105" s="1141">
        <f>0.9622/C101</f>
        <v>0.47399014778325133</v>
      </c>
      <c r="D105" s="1141">
        <f>0.9622/D101</f>
        <v>0.47399014778325133</v>
      </c>
      <c r="E105" s="1141">
        <f>0.8656/E101</f>
        <v>0.42640394088669958</v>
      </c>
      <c r="F105" s="1141">
        <f>0.8656/F101</f>
        <v>0.42640394088669958</v>
      </c>
      <c r="G105" s="1141">
        <f>0.8656/G101</f>
        <v>0.42640394088669958</v>
      </c>
      <c r="H105" s="1141">
        <f>0.8656/H101</f>
        <v>0.42640394088669958</v>
      </c>
      <c r="I105" s="1141">
        <f>0.8656/I101</f>
        <v>0.42640394088669958</v>
      </c>
      <c r="J105" s="1141">
        <f>0.7525/J101</f>
        <v>0.37068965517241381</v>
      </c>
      <c r="K105" s="1141">
        <f>0.7525/K101</f>
        <v>0.37068965517241381</v>
      </c>
      <c r="L105" s="1141">
        <f>0.7525/L101</f>
        <v>0.37068965517241381</v>
      </c>
      <c r="M105" s="1141">
        <f>0.7525/M101</f>
        <v>0.37068965517241381</v>
      </c>
      <c r="N105" s="1141">
        <f>0.7525/N101</f>
        <v>0.37068965517241381</v>
      </c>
    </row>
    <row r="106" spans="1:14">
      <c r="A106" s="3444"/>
      <c r="B106" s="1140">
        <v>5</v>
      </c>
      <c r="C106" s="1141">
        <f>0.8417/C101</f>
        <v>0.41463054187192122</v>
      </c>
      <c r="D106" s="1141">
        <f>0.8417/D101</f>
        <v>0.41463054187192122</v>
      </c>
      <c r="E106" s="1141">
        <f>0.7371/E101</f>
        <v>0.36310344827586211</v>
      </c>
      <c r="F106" s="1141">
        <f>0.7371/F101</f>
        <v>0.36310344827586211</v>
      </c>
      <c r="G106" s="1141">
        <f>0.7371/G101</f>
        <v>0.36310344827586211</v>
      </c>
      <c r="H106" s="1141">
        <f>0.7371/H101</f>
        <v>0.36310344827586211</v>
      </c>
      <c r="I106" s="1141">
        <f>0.7371/I101</f>
        <v>0.36310344827586211</v>
      </c>
      <c r="J106" s="1141">
        <f>0.5659/J101</f>
        <v>0.27876847290640394</v>
      </c>
      <c r="K106" s="1141">
        <f>0.5659/K101</f>
        <v>0.27876847290640394</v>
      </c>
      <c r="L106" s="1141">
        <f>0.5659/L101</f>
        <v>0.27876847290640394</v>
      </c>
      <c r="M106" s="1141">
        <f>0.5659/M101</f>
        <v>0.27876847290640394</v>
      </c>
      <c r="N106" s="1141">
        <f>0.5659/N101</f>
        <v>0.27876847290640394</v>
      </c>
    </row>
    <row r="107" spans="1:14">
      <c r="A107" s="3444"/>
      <c r="B107" s="1140">
        <v>6</v>
      </c>
      <c r="C107" s="1141">
        <f>0.7608/C101</f>
        <v>0.37477832512315273</v>
      </c>
      <c r="D107" s="1141">
        <f>0.7608/D101</f>
        <v>0.37477832512315273</v>
      </c>
      <c r="E107" s="1141">
        <f>0.6482/E101</f>
        <v>0.31931034482758625</v>
      </c>
      <c r="F107" s="1141">
        <f>0.6482/F101</f>
        <v>0.31931034482758625</v>
      </c>
      <c r="G107" s="1141">
        <f>0.6482/G101</f>
        <v>0.31931034482758625</v>
      </c>
      <c r="H107" s="1141">
        <f>0.6482/H101</f>
        <v>0.31931034482758625</v>
      </c>
      <c r="I107" s="1141">
        <f>0.6482/I101</f>
        <v>0.31931034482758625</v>
      </c>
      <c r="J107" s="1141">
        <f>0.4525/J101</f>
        <v>0.22290640394088673</v>
      </c>
      <c r="K107" s="1141">
        <f>0.4525/K101</f>
        <v>0.22290640394088673</v>
      </c>
      <c r="L107" s="1141">
        <f>0.4525/L101</f>
        <v>0.22290640394088673</v>
      </c>
      <c r="M107" s="1141">
        <f>0.4525/M101</f>
        <v>0.22290640394088673</v>
      </c>
      <c r="N107" s="1141">
        <f>0.4525/N101</f>
        <v>0.22290640394088673</v>
      </c>
    </row>
    <row r="108" spans="1:14">
      <c r="A108" s="3444"/>
      <c r="B108" s="3446" t="s">
        <v>1638</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5"/>
      <c r="B109" s="3447"/>
      <c r="C109" s="1143">
        <f>(-0.163*(C108^2)-0.59*C108+7617)*(10^(-4))/C101</f>
        <v>0.37447527093596061</v>
      </c>
      <c r="D109" s="1143">
        <f>(-0.163*(D108^2)-0.59*D108+7617)*(10^(-4))/D101</f>
        <v>0.37447527093596061</v>
      </c>
      <c r="E109" s="1143">
        <f>(-0.161*(E108^2)-7.509*E108+6533)*(10^(-4))/E101</f>
        <v>0.31835586206896554</v>
      </c>
      <c r="F109" s="1143">
        <f>(-0.161*(F108^2)-7.509*F108+6533)*(10^(-4))/F101</f>
        <v>0.31835586206896554</v>
      </c>
      <c r="G109" s="1143">
        <f>(-0.161*(G108^2)-7.509*G108+6533)*(10^(-4))/G101</f>
        <v>0.31835586206896554</v>
      </c>
      <c r="H109" s="1143">
        <f>(-0.161*(H108^2)-7.509*H108+6533)*(10^(-4))/H101</f>
        <v>0.31835586206896554</v>
      </c>
      <c r="I109" s="1143">
        <f>(-0.161*(I108^2)-7.509*I108+6533)*(10^(-4))/I101</f>
        <v>0.31835586206896554</v>
      </c>
      <c r="J109" s="1143">
        <f>(-0.214*(J108^2)-21.991*J108+4665)*(10^(-4))/J101</f>
        <v>0.2204618719211823</v>
      </c>
      <c r="K109" s="1143">
        <f>(-0.214*(K108^2)-21.991*K108+4665)*(10^(-4))/K101</f>
        <v>0.2204618719211823</v>
      </c>
      <c r="L109" s="1143">
        <f>(-0.214*(L108^2)-21.991*L108+4665)*(10^(-4))/L101</f>
        <v>0.2204618719211823</v>
      </c>
      <c r="M109" s="1143">
        <f>(-0.214*(M108^2)-21.991*M108+4665)*(10^(-4))/M101</f>
        <v>0.2204618719211823</v>
      </c>
      <c r="N109" s="1143">
        <f>(-0.214*(N108^2)-21.991*N108+4665)*(10^(-4))/N101</f>
        <v>0.2204618719211823</v>
      </c>
    </row>
    <row r="110" spans="1:14">
      <c r="A110" s="3430" t="s">
        <v>1639</v>
      </c>
      <c r="B110" s="3430"/>
      <c r="C110" s="3430"/>
      <c r="D110" s="3430"/>
      <c r="E110" s="3430"/>
      <c r="F110" s="3430"/>
      <c r="G110" s="3430"/>
      <c r="H110" s="3430"/>
      <c r="I110" s="3430"/>
      <c r="J110" s="3430"/>
      <c r="K110" s="2470"/>
      <c r="L110" s="2470"/>
      <c r="M110" s="2470"/>
      <c r="N110" s="2470"/>
    </row>
    <row r="112" spans="1:14" ht="12.75" thickBot="1"/>
    <row r="113" spans="1:13" ht="25.5" thickBot="1">
      <c r="A113" s="1013" t="s">
        <v>895</v>
      </c>
      <c r="B113" s="2473">
        <f>G3</f>
        <v>2.0299999999999998</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0.91439999999999999</v>
      </c>
      <c r="C115" s="1027">
        <f>B115</f>
        <v>0.91439999999999999</v>
      </c>
      <c r="D115" s="1027">
        <f>ROUND(0.8331-0.0109*B113,4)</f>
        <v>0.81100000000000005</v>
      </c>
      <c r="E115" s="1027">
        <f>D115</f>
        <v>0.81100000000000005</v>
      </c>
      <c r="F115" s="1027">
        <f>E115</f>
        <v>0.81100000000000005</v>
      </c>
      <c r="G115" s="1027">
        <f>F115</f>
        <v>0.81100000000000005</v>
      </c>
      <c r="H115" s="1027">
        <f>G115</f>
        <v>0.81100000000000005</v>
      </c>
      <c r="I115" s="1027">
        <f>ROUND(0.689-0.0155*B113,4)</f>
        <v>0.65749999999999997</v>
      </c>
      <c r="J115" s="1027">
        <f t="shared" ref="J115:M118" si="33">I115</f>
        <v>0.65749999999999997</v>
      </c>
      <c r="K115" s="1027">
        <f t="shared" si="33"/>
        <v>0.65749999999999997</v>
      </c>
      <c r="L115" s="1027">
        <f t="shared" si="33"/>
        <v>0.65749999999999997</v>
      </c>
      <c r="M115" s="1028">
        <f t="shared" si="33"/>
        <v>0.65749999999999997</v>
      </c>
    </row>
    <row r="116" spans="1:13" ht="12.75">
      <c r="A116" s="1026" t="s">
        <v>900</v>
      </c>
      <c r="B116" s="1027">
        <f>ROUND(0.949-0.012*B113,4)</f>
        <v>0.92459999999999998</v>
      </c>
      <c r="C116" s="1027">
        <f>B116</f>
        <v>0.92459999999999998</v>
      </c>
      <c r="D116" s="1027">
        <f>ROUND(0.8567-0.013*B113,4)</f>
        <v>0.83030000000000004</v>
      </c>
      <c r="E116" s="1027">
        <f t="shared" ref="E116:H117" si="34">D116</f>
        <v>0.83030000000000004</v>
      </c>
      <c r="F116" s="1027">
        <f t="shared" si="34"/>
        <v>0.83030000000000004</v>
      </c>
      <c r="G116" s="1027">
        <f t="shared" si="34"/>
        <v>0.83030000000000004</v>
      </c>
      <c r="H116" s="1027">
        <f t="shared" si="34"/>
        <v>0.83030000000000004</v>
      </c>
      <c r="I116" s="1027">
        <f>ROUND(0.7694-0.014*B113,4)</f>
        <v>0.74099999999999999</v>
      </c>
      <c r="J116" s="1027">
        <f t="shared" si="33"/>
        <v>0.74099999999999999</v>
      </c>
      <c r="K116" s="1027">
        <f t="shared" si="33"/>
        <v>0.74099999999999999</v>
      </c>
      <c r="L116" s="1027">
        <f t="shared" si="33"/>
        <v>0.74099999999999999</v>
      </c>
      <c r="M116" s="1028">
        <f t="shared" si="33"/>
        <v>0.74099999999999999</v>
      </c>
    </row>
    <row r="117" spans="1:13" ht="12.75">
      <c r="A117" s="1029" t="s">
        <v>901</v>
      </c>
      <c r="B117" s="1027">
        <f>ROUND(0.8808-0.006*B113,4)</f>
        <v>0.86860000000000004</v>
      </c>
      <c r="C117" s="1027">
        <f>B117</f>
        <v>0.86860000000000004</v>
      </c>
      <c r="D117" s="1027">
        <f>ROUND(0.8748-0.008*B113,4)</f>
        <v>0.85860000000000003</v>
      </c>
      <c r="E117" s="1027">
        <f t="shared" si="34"/>
        <v>0.85860000000000003</v>
      </c>
      <c r="F117" s="1027">
        <f t="shared" si="34"/>
        <v>0.85860000000000003</v>
      </c>
      <c r="G117" s="1027">
        <f t="shared" si="34"/>
        <v>0.85860000000000003</v>
      </c>
      <c r="H117" s="1027">
        <f t="shared" si="34"/>
        <v>0.85860000000000003</v>
      </c>
      <c r="I117" s="1027">
        <f>ROUND(0.7412-0.0095*B113,4)</f>
        <v>0.72189999999999999</v>
      </c>
      <c r="J117" s="1027">
        <f t="shared" si="33"/>
        <v>0.72189999999999999</v>
      </c>
      <c r="K117" s="1027">
        <f t="shared" si="33"/>
        <v>0.72189999999999999</v>
      </c>
      <c r="L117" s="1027">
        <f t="shared" si="33"/>
        <v>0.72189999999999999</v>
      </c>
      <c r="M117" s="1028">
        <f t="shared" si="33"/>
        <v>0.72189999999999999</v>
      </c>
    </row>
    <row r="118" spans="1:13" ht="13.5" thickBot="1">
      <c r="A118" s="1030" t="s">
        <v>902</v>
      </c>
      <c r="B118" s="1031">
        <f>ROUND(0.7275-0.01*B113,4)</f>
        <v>0.70720000000000005</v>
      </c>
      <c r="C118" s="1031">
        <f>B118</f>
        <v>0.70720000000000005</v>
      </c>
      <c r="D118" s="1031">
        <f>ROUND(0.7043-0.012*B113,4)</f>
        <v>0.67989999999999995</v>
      </c>
      <c r="E118" s="1031">
        <f>D118</f>
        <v>0.67989999999999995</v>
      </c>
      <c r="F118" s="1031">
        <f>E118</f>
        <v>0.67989999999999995</v>
      </c>
      <c r="G118" s="1031">
        <f>ROUND(0.6299-0.0122*B113,4)</f>
        <v>0.60509999999999997</v>
      </c>
      <c r="H118" s="1031">
        <f>G118</f>
        <v>0.60509999999999997</v>
      </c>
      <c r="I118" s="1031">
        <f>ROUND(0.5667-0.0136*B113,4)</f>
        <v>0.53910000000000002</v>
      </c>
      <c r="J118" s="1031">
        <f t="shared" si="33"/>
        <v>0.53910000000000002</v>
      </c>
      <c r="K118" s="1031">
        <f t="shared" si="33"/>
        <v>0.53910000000000002</v>
      </c>
      <c r="L118" s="1031">
        <f t="shared" si="33"/>
        <v>0.53910000000000002</v>
      </c>
      <c r="M118" s="1032">
        <f t="shared" si="33"/>
        <v>0.53910000000000002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7" customFormat="1" ht="19.5" customHeight="1">
      <c r="A18" s="3436" t="s">
        <v>1007</v>
      </c>
      <c r="B18" s="1151" t="s">
        <v>1446</v>
      </c>
      <c r="C18" s="1128" t="s">
        <v>1447</v>
      </c>
      <c r="D18" s="1129"/>
      <c r="E18" s="1151">
        <v>1</v>
      </c>
      <c r="F18" s="1130" t="s">
        <v>1448</v>
      </c>
      <c r="G18" s="1131"/>
      <c r="H18" s="1102"/>
      <c r="I18" s="1102"/>
    </row>
    <row r="19" spans="1:9" s="1597" customFormat="1" ht="19.5" customHeight="1">
      <c r="A19" s="3436"/>
      <c r="B19" s="3436" t="s">
        <v>1449</v>
      </c>
      <c r="C19" s="1128" t="s">
        <v>1450</v>
      </c>
      <c r="D19" s="1129"/>
      <c r="E19" s="1151">
        <v>0.9</v>
      </c>
      <c r="F19" s="1130" t="s">
        <v>1451</v>
      </c>
      <c r="G19" s="1131"/>
      <c r="H19" s="1102"/>
      <c r="I19" s="1102"/>
    </row>
    <row r="20" spans="1:9" s="1597" customFormat="1" ht="19.5" customHeight="1">
      <c r="A20" s="3436"/>
      <c r="B20" s="3436"/>
      <c r="C20" s="1128" t="s">
        <v>1452</v>
      </c>
      <c r="D20" s="1129"/>
      <c r="E20" s="1151">
        <v>1.1000000000000001</v>
      </c>
      <c r="F20" s="1130" t="s">
        <v>1453</v>
      </c>
      <c r="G20" s="1131"/>
      <c r="H20" s="1102"/>
      <c r="I20" s="1102"/>
    </row>
    <row r="21" spans="1:9" s="1597" customFormat="1" ht="19.5" customHeight="1">
      <c r="A21" s="3436"/>
      <c r="B21" s="3436"/>
      <c r="C21" s="1128" t="s">
        <v>1454</v>
      </c>
      <c r="D21" s="1129"/>
      <c r="E21" s="1151">
        <v>0.8</v>
      </c>
      <c r="F21" s="1130" t="s">
        <v>1455</v>
      </c>
      <c r="G21" s="1131"/>
      <c r="H21" s="1102"/>
      <c r="I21" s="1102"/>
    </row>
    <row r="22" spans="1:9" s="1597" customFormat="1" ht="19.5" customHeight="1">
      <c r="A22" s="3436"/>
      <c r="B22" s="3436"/>
      <c r="C22" s="1128" t="s">
        <v>1456</v>
      </c>
      <c r="D22" s="1129"/>
      <c r="E22" s="1151">
        <v>0.5</v>
      </c>
      <c r="F22" s="1130"/>
      <c r="G22" s="1131"/>
      <c r="H22" s="1102"/>
      <c r="I22" s="1102"/>
    </row>
    <row r="23" spans="1:9" s="1597" customFormat="1" ht="19.5" customHeight="1">
      <c r="A23" s="3436" t="s">
        <v>1029</v>
      </c>
      <c r="B23" s="1151" t="s">
        <v>1446</v>
      </c>
      <c r="C23" s="1128" t="s">
        <v>1457</v>
      </c>
      <c r="D23" s="1129"/>
      <c r="E23" s="1151">
        <v>1</v>
      </c>
      <c r="F23" s="1130" t="s">
        <v>1458</v>
      </c>
      <c r="G23" s="1131"/>
      <c r="H23" s="1102"/>
      <c r="I23" s="1102"/>
    </row>
    <row r="24" spans="1:9" s="1597" customFormat="1" ht="19.5" customHeight="1">
      <c r="A24" s="3436"/>
      <c r="B24" s="3436" t="s">
        <v>1449</v>
      </c>
      <c r="C24" s="1128" t="s">
        <v>1459</v>
      </c>
      <c r="D24" s="1129"/>
      <c r="E24" s="1151">
        <v>0.5</v>
      </c>
      <c r="F24" s="1130"/>
      <c r="G24" s="1131"/>
      <c r="H24" s="1102"/>
      <c r="I24" s="1102"/>
    </row>
    <row r="25" spans="1:9" s="1597" customFormat="1" ht="19.5" customHeight="1">
      <c r="A25" s="3436"/>
      <c r="B25" s="3436"/>
      <c r="C25" s="1128" t="s">
        <v>1460</v>
      </c>
      <c r="D25" s="1129"/>
      <c r="E25" s="1151">
        <v>1.1000000000000001</v>
      </c>
      <c r="F25" s="1130"/>
      <c r="G25" s="1131"/>
      <c r="H25" s="1102"/>
      <c r="I25" s="1102"/>
    </row>
    <row r="26" spans="1:9" s="1597" customFormat="1" ht="19.5" customHeight="1">
      <c r="A26" s="3436"/>
      <c r="B26" s="3436"/>
      <c r="C26" s="1128" t="s">
        <v>1461</v>
      </c>
      <c r="D26" s="1129"/>
      <c r="E26" s="1151">
        <v>1.1000000000000001</v>
      </c>
      <c r="F26" s="1130"/>
      <c r="G26" s="1131"/>
      <c r="H26" s="1102"/>
      <c r="I26" s="1102"/>
    </row>
    <row r="27" spans="1:9" s="1597" customFormat="1" ht="19.5" customHeight="1">
      <c r="A27" s="3436"/>
      <c r="B27" s="3436"/>
      <c r="C27" s="1128" t="s">
        <v>1462</v>
      </c>
      <c r="D27" s="1129"/>
      <c r="E27" s="1151">
        <v>0.9</v>
      </c>
      <c r="F27" s="1130" t="s">
        <v>1463</v>
      </c>
      <c r="G27" s="1131"/>
      <c r="H27" s="1102"/>
      <c r="I27" s="1102"/>
    </row>
    <row r="28" spans="1:9" s="1597" customFormat="1" ht="19.5" customHeight="1">
      <c r="A28" s="3436"/>
      <c r="B28" s="3436"/>
      <c r="C28" s="1128" t="s">
        <v>1464</v>
      </c>
      <c r="D28" s="1129"/>
      <c r="E28" s="1151">
        <v>0.9</v>
      </c>
      <c r="F28" s="1130" t="s">
        <v>1465</v>
      </c>
      <c r="G28" s="1131"/>
      <c r="H28" s="1102"/>
      <c r="I28" s="1102"/>
    </row>
    <row r="29" spans="1:9" s="1597" customFormat="1" ht="19.5" customHeight="1">
      <c r="A29" s="3436"/>
      <c r="B29" s="3436"/>
      <c r="C29" s="1128" t="s">
        <v>1466</v>
      </c>
      <c r="D29" s="1129"/>
      <c r="E29" s="1151">
        <v>0.9</v>
      </c>
      <c r="F29" s="1130" t="s">
        <v>1467</v>
      </c>
      <c r="G29" s="1131"/>
      <c r="H29" s="1102"/>
      <c r="I29" s="1102"/>
    </row>
    <row r="30" spans="1:9" s="1597" customFormat="1" ht="19.5" customHeight="1">
      <c r="A30" s="3436"/>
      <c r="B30" s="3436"/>
      <c r="C30" s="1128" t="s">
        <v>1468</v>
      </c>
      <c r="D30" s="1129"/>
      <c r="E30" s="1151">
        <v>0.9</v>
      </c>
      <c r="F30" s="1130" t="s">
        <v>1469</v>
      </c>
      <c r="G30" s="1131"/>
      <c r="H30" s="1102"/>
      <c r="I30" s="1102"/>
    </row>
    <row r="31" spans="1:9" s="1597" customFormat="1" ht="19.5" customHeight="1">
      <c r="A31" s="3436"/>
      <c r="B31" s="3436"/>
      <c r="C31" s="1128" t="s">
        <v>1470</v>
      </c>
      <c r="D31" s="1129"/>
      <c r="E31" s="1151">
        <v>0.8</v>
      </c>
      <c r="F31" s="1130" t="s">
        <v>1471</v>
      </c>
      <c r="G31" s="1131"/>
      <c r="H31" s="1102"/>
      <c r="I31" s="1102"/>
    </row>
    <row r="32" spans="1:9" s="1597" customFormat="1" ht="19.5" customHeight="1">
      <c r="A32" s="3436"/>
      <c r="B32" s="3436"/>
      <c r="C32" s="1128" t="s">
        <v>1472</v>
      </c>
      <c r="D32" s="1129"/>
      <c r="E32" s="1151">
        <v>0.8</v>
      </c>
      <c r="F32" s="1130" t="s">
        <v>1473</v>
      </c>
      <c r="G32" s="1131"/>
      <c r="H32" s="1102"/>
      <c r="I32" s="1102"/>
    </row>
    <row r="33" spans="1:9" s="1597" customFormat="1" ht="19.5" customHeight="1">
      <c r="A33" s="3436" t="s">
        <v>1474</v>
      </c>
      <c r="B33" s="1151" t="s">
        <v>1446</v>
      </c>
      <c r="C33" s="1128" t="s">
        <v>1475</v>
      </c>
      <c r="D33" s="1129"/>
      <c r="E33" s="1151">
        <v>1</v>
      </c>
      <c r="F33" s="1130" t="s">
        <v>1476</v>
      </c>
      <c r="G33" s="1131"/>
      <c r="H33" s="1102"/>
      <c r="I33" s="1102"/>
    </row>
    <row r="34" spans="1:9" s="1597" customFormat="1" ht="19.5" customHeight="1">
      <c r="A34" s="3436"/>
      <c r="B34" s="1151" t="s">
        <v>1449</v>
      </c>
      <c r="C34" s="1128" t="s">
        <v>1477</v>
      </c>
      <c r="D34" s="1129"/>
      <c r="E34" s="1151">
        <v>1.5</v>
      </c>
      <c r="F34" s="1130" t="s">
        <v>1478</v>
      </c>
      <c r="G34" s="1131"/>
      <c r="H34" s="1102"/>
      <c r="I34" s="1102"/>
    </row>
    <row r="35" spans="1:9" s="1597" customFormat="1" ht="19.5" customHeight="1">
      <c r="A35" s="3436" t="s">
        <v>1432</v>
      </c>
      <c r="B35" s="1151" t="s">
        <v>1446</v>
      </c>
      <c r="C35" s="1128" t="s">
        <v>1479</v>
      </c>
      <c r="D35" s="1129"/>
      <c r="E35" s="1151">
        <v>1</v>
      </c>
      <c r="F35" s="1130" t="s">
        <v>1480</v>
      </c>
      <c r="G35" s="1131"/>
      <c r="H35" s="1102"/>
      <c r="I35" s="1102"/>
    </row>
    <row r="36" spans="1:9" s="1597" customFormat="1" ht="19.5" customHeight="1">
      <c r="A36" s="3436"/>
      <c r="B36" s="3436" t="s">
        <v>1449</v>
      </c>
      <c r="C36" s="1128" t="s">
        <v>1481</v>
      </c>
      <c r="D36" s="1129"/>
      <c r="E36" s="1151">
        <v>1</v>
      </c>
      <c r="F36" s="1130" t="s">
        <v>1482</v>
      </c>
      <c r="G36" s="1131"/>
      <c r="H36" s="1102"/>
      <c r="I36" s="1102"/>
    </row>
    <row r="37" spans="1:9" s="1597" customFormat="1" ht="19.5" customHeight="1">
      <c r="A37" s="3436"/>
      <c r="B37" s="3436"/>
      <c r="C37" s="1128" t="s">
        <v>1483</v>
      </c>
      <c r="D37" s="1129"/>
      <c r="E37" s="1151">
        <v>1.5</v>
      </c>
      <c r="F37" s="1130" t="s">
        <v>1484</v>
      </c>
      <c r="G37" s="1131"/>
      <c r="H37" s="1102"/>
      <c r="I37" s="1102"/>
    </row>
    <row r="38" spans="1:9" s="1597" customFormat="1" ht="19.5" customHeight="1">
      <c r="A38" s="3436"/>
      <c r="B38" s="3436"/>
      <c r="C38" s="1128" t="s">
        <v>1485</v>
      </c>
      <c r="D38" s="1129"/>
      <c r="E38" s="1151">
        <v>1</v>
      </c>
      <c r="F38" s="1130" t="s">
        <v>1486</v>
      </c>
      <c r="G38" s="1131"/>
      <c r="H38" s="1102"/>
      <c r="I38" s="1102"/>
    </row>
    <row r="39" spans="1:9" s="1597" customFormat="1" ht="19.5" customHeight="1">
      <c r="A39" s="3436"/>
      <c r="B39" s="3436"/>
      <c r="C39" s="1128" t="s">
        <v>1487</v>
      </c>
      <c r="D39" s="1129"/>
      <c r="E39" s="1151">
        <v>1</v>
      </c>
      <c r="F39" s="1130" t="s">
        <v>1488</v>
      </c>
      <c r="G39" s="1131"/>
      <c r="H39" s="1102"/>
      <c r="I39" s="1102"/>
    </row>
    <row r="40" spans="1:9" s="1597" customFormat="1" ht="19.5" customHeight="1">
      <c r="A40" s="1598" t="s">
        <v>1489</v>
      </c>
      <c r="B40" s="1598"/>
      <c r="C40" s="1598"/>
      <c r="D40" s="1598"/>
      <c r="E40" s="1598"/>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36" t="s">
        <v>1501</v>
      </c>
      <c r="C61" s="1065" t="s">
        <v>1502</v>
      </c>
      <c r="D61" s="1065" t="s">
        <v>1503</v>
      </c>
      <c r="E61" s="1136">
        <v>0.5</v>
      </c>
      <c r="F61" s="1151">
        <v>80</v>
      </c>
      <c r="H61" s="1102">
        <f>SUMIF(C59:C119,基准地价!C8,E59:E119)</f>
        <v>0</v>
      </c>
    </row>
    <row r="62" spans="1:8" s="1102" customFormat="1" ht="24">
      <c r="A62" s="1151">
        <v>2</v>
      </c>
      <c r="B62" s="3436"/>
      <c r="C62" s="1065" t="s">
        <v>1504</v>
      </c>
      <c r="D62" s="1065" t="s">
        <v>1505</v>
      </c>
      <c r="E62" s="1136">
        <v>0.5</v>
      </c>
      <c r="F62" s="1151">
        <v>80</v>
      </c>
    </row>
    <row r="63" spans="1:8" s="1102" customFormat="1" ht="36">
      <c r="A63" s="1151">
        <v>3</v>
      </c>
      <c r="B63" s="3436"/>
      <c r="C63" s="1065" t="s">
        <v>1506</v>
      </c>
      <c r="D63" s="1065" t="s">
        <v>1507</v>
      </c>
      <c r="E63" s="1136">
        <v>0.5</v>
      </c>
      <c r="F63" s="1151">
        <v>80</v>
      </c>
    </row>
    <row r="64" spans="1:8" s="1102" customFormat="1" ht="36">
      <c r="A64" s="1151">
        <v>4</v>
      </c>
      <c r="B64" s="3436"/>
      <c r="C64" s="1065" t="s">
        <v>1508</v>
      </c>
      <c r="D64" s="1065" t="s">
        <v>1509</v>
      </c>
      <c r="E64" s="1136">
        <v>0.4</v>
      </c>
      <c r="F64" s="1151">
        <v>60</v>
      </c>
    </row>
    <row r="65" spans="1:6" s="1102" customFormat="1" ht="36">
      <c r="A65" s="1151">
        <v>5</v>
      </c>
      <c r="B65" s="3436"/>
      <c r="C65" s="1065" t="s">
        <v>1510</v>
      </c>
      <c r="D65" s="1065" t="s">
        <v>1511</v>
      </c>
      <c r="E65" s="1136">
        <v>0.2</v>
      </c>
      <c r="F65" s="1151">
        <v>30</v>
      </c>
    </row>
    <row r="66" spans="1:6" s="1102" customFormat="1" ht="36">
      <c r="A66" s="1151">
        <v>6</v>
      </c>
      <c r="B66" s="3436"/>
      <c r="C66" s="1065" t="s">
        <v>1512</v>
      </c>
      <c r="D66" s="1065" t="s">
        <v>1513</v>
      </c>
      <c r="E66" s="1136">
        <v>0.3</v>
      </c>
      <c r="F66" s="1151">
        <v>50</v>
      </c>
    </row>
    <row r="67" spans="1:6" s="1102" customFormat="1" ht="36">
      <c r="A67" s="1151">
        <v>7</v>
      </c>
      <c r="B67" s="3436"/>
      <c r="C67" s="1065" t="s">
        <v>1514</v>
      </c>
      <c r="D67" s="1065" t="s">
        <v>1515</v>
      </c>
      <c r="E67" s="1136">
        <v>0.2</v>
      </c>
      <c r="F67" s="1151">
        <v>30</v>
      </c>
    </row>
    <row r="68" spans="1:6" s="1102" customFormat="1" ht="36">
      <c r="A68" s="1151">
        <v>8</v>
      </c>
      <c r="B68" s="3436"/>
      <c r="C68" s="1065" t="s">
        <v>1516</v>
      </c>
      <c r="D68" s="1065" t="s">
        <v>1517</v>
      </c>
      <c r="E68" s="1136">
        <v>0.2</v>
      </c>
      <c r="F68" s="1151">
        <v>30</v>
      </c>
    </row>
    <row r="69" spans="1:6" s="1102" customFormat="1" ht="36">
      <c r="A69" s="1151">
        <v>9</v>
      </c>
      <c r="B69" s="3436"/>
      <c r="C69" s="1065" t="s">
        <v>1518</v>
      </c>
      <c r="D69" s="1065" t="s">
        <v>1519</v>
      </c>
      <c r="E69" s="1136">
        <v>0.2</v>
      </c>
      <c r="F69" s="1151">
        <v>30</v>
      </c>
    </row>
    <row r="70" spans="1:6" s="1102" customFormat="1" ht="48">
      <c r="A70" s="1151">
        <v>10</v>
      </c>
      <c r="B70" s="3436"/>
      <c r="C70" s="1065" t="s">
        <v>1520</v>
      </c>
      <c r="D70" s="1065" t="s">
        <v>1521</v>
      </c>
      <c r="E70" s="1136">
        <v>0.2</v>
      </c>
      <c r="F70" s="1151">
        <v>30</v>
      </c>
    </row>
    <row r="71" spans="1:6" s="1102" customFormat="1" ht="48">
      <c r="A71" s="1151">
        <v>11</v>
      </c>
      <c r="B71" s="3436"/>
      <c r="C71" s="1065" t="s">
        <v>1522</v>
      </c>
      <c r="D71" s="1065" t="s">
        <v>1523</v>
      </c>
      <c r="E71" s="1136">
        <v>0.2</v>
      </c>
      <c r="F71" s="1151">
        <v>30</v>
      </c>
    </row>
    <row r="72" spans="1:6" s="1102" customFormat="1" ht="36">
      <c r="A72" s="1151">
        <v>12</v>
      </c>
      <c r="B72" s="3436"/>
      <c r="C72" s="1065" t="s">
        <v>1524</v>
      </c>
      <c r="D72" s="1065" t="s">
        <v>1525</v>
      </c>
      <c r="E72" s="1136">
        <v>0.5</v>
      </c>
      <c r="F72" s="1151">
        <v>80</v>
      </c>
    </row>
    <row r="73" spans="1:6" s="1102" customFormat="1" ht="24">
      <c r="A73" s="1151">
        <v>13</v>
      </c>
      <c r="B73" s="3436"/>
      <c r="C73" s="1065" t="s">
        <v>1526</v>
      </c>
      <c r="D73" s="1065" t="s">
        <v>1527</v>
      </c>
      <c r="E73" s="1136">
        <v>0.4</v>
      </c>
      <c r="F73" s="1151">
        <v>60</v>
      </c>
    </row>
    <row r="74" spans="1:6" s="1102" customFormat="1" ht="24">
      <c r="A74" s="1151">
        <v>14</v>
      </c>
      <c r="B74" s="3436"/>
      <c r="C74" s="1065" t="s">
        <v>1528</v>
      </c>
      <c r="D74" s="1065" t="s">
        <v>1529</v>
      </c>
      <c r="E74" s="1136">
        <v>0.2</v>
      </c>
      <c r="F74" s="1151">
        <v>30</v>
      </c>
    </row>
    <row r="75" spans="1:6" s="1102" customFormat="1" ht="24">
      <c r="A75" s="1151">
        <v>15</v>
      </c>
      <c r="B75" s="3436"/>
      <c r="C75" s="1065" t="s">
        <v>1530</v>
      </c>
      <c r="D75" s="1065" t="s">
        <v>1531</v>
      </c>
      <c r="E75" s="1136">
        <v>0.2</v>
      </c>
      <c r="F75" s="1151">
        <v>30</v>
      </c>
    </row>
    <row r="76" spans="1:6" s="1102" customFormat="1" ht="24">
      <c r="A76" s="1151">
        <v>16</v>
      </c>
      <c r="B76" s="3436" t="s">
        <v>1532</v>
      </c>
      <c r="C76" s="1065" t="s">
        <v>1533</v>
      </c>
      <c r="D76" s="1065" t="s">
        <v>1534</v>
      </c>
      <c r="E76" s="1136">
        <v>0.5</v>
      </c>
      <c r="F76" s="1151">
        <v>80</v>
      </c>
    </row>
    <row r="77" spans="1:6" s="1102" customFormat="1" ht="24">
      <c r="A77" s="1151">
        <v>17</v>
      </c>
      <c r="B77" s="3436"/>
      <c r="C77" s="1065" t="s">
        <v>1535</v>
      </c>
      <c r="D77" s="1065" t="s">
        <v>1536</v>
      </c>
      <c r="E77" s="1136">
        <v>0.5</v>
      </c>
      <c r="F77" s="1151">
        <v>80</v>
      </c>
    </row>
    <row r="78" spans="1:6" s="1102" customFormat="1" ht="24">
      <c r="A78" s="1151">
        <v>18</v>
      </c>
      <c r="B78" s="3436"/>
      <c r="C78" s="1065" t="s">
        <v>1537</v>
      </c>
      <c r="D78" s="1065" t="s">
        <v>1538</v>
      </c>
      <c r="E78" s="1136">
        <v>0.2</v>
      </c>
      <c r="F78" s="1151">
        <v>30</v>
      </c>
    </row>
    <row r="79" spans="1:6" s="1102" customFormat="1" ht="24">
      <c r="A79" s="1151">
        <v>19</v>
      </c>
      <c r="B79" s="3436"/>
      <c r="C79" s="1065" t="s">
        <v>1539</v>
      </c>
      <c r="D79" s="1065" t="s">
        <v>1540</v>
      </c>
      <c r="E79" s="1136">
        <v>0.5</v>
      </c>
      <c r="F79" s="1151">
        <v>80</v>
      </c>
    </row>
    <row r="80" spans="1:6" s="1102" customFormat="1" ht="36">
      <c r="A80" s="1151">
        <v>20</v>
      </c>
      <c r="B80" s="3436"/>
      <c r="C80" s="1065" t="s">
        <v>1541</v>
      </c>
      <c r="D80" s="1065" t="s">
        <v>1542</v>
      </c>
      <c r="E80" s="1136">
        <v>0.2</v>
      </c>
      <c r="F80" s="1151">
        <v>30</v>
      </c>
    </row>
    <row r="81" spans="1:6" s="1102" customFormat="1" ht="36">
      <c r="A81" s="1151">
        <v>21</v>
      </c>
      <c r="B81" s="3436"/>
      <c r="C81" s="1065" t="s">
        <v>1543</v>
      </c>
      <c r="D81" s="1065" t="s">
        <v>1544</v>
      </c>
      <c r="E81" s="1136">
        <v>0.2</v>
      </c>
      <c r="F81" s="1151">
        <v>30</v>
      </c>
    </row>
    <row r="82" spans="1:6" s="1102" customFormat="1" ht="48">
      <c r="A82" s="1151">
        <v>22</v>
      </c>
      <c r="B82" s="3436"/>
      <c r="C82" s="1065" t="s">
        <v>1545</v>
      </c>
      <c r="D82" s="1065" t="s">
        <v>1546</v>
      </c>
      <c r="E82" s="1136">
        <v>0.2</v>
      </c>
      <c r="F82" s="1151">
        <v>30</v>
      </c>
    </row>
    <row r="83" spans="1:6" s="1102" customFormat="1" ht="48">
      <c r="A83" s="1151">
        <v>23</v>
      </c>
      <c r="B83" s="3436"/>
      <c r="C83" s="1065" t="s">
        <v>1547</v>
      </c>
      <c r="D83" s="1065" t="s">
        <v>1548</v>
      </c>
      <c r="E83" s="1136">
        <v>0.2</v>
      </c>
      <c r="F83" s="1151">
        <v>30</v>
      </c>
    </row>
    <row r="84" spans="1:6" s="1102" customFormat="1" ht="36">
      <c r="A84" s="1151">
        <v>24</v>
      </c>
      <c r="B84" s="3436"/>
      <c r="C84" s="1065" t="s">
        <v>1549</v>
      </c>
      <c r="D84" s="1065" t="s">
        <v>1550</v>
      </c>
      <c r="E84" s="1136">
        <v>0.2</v>
      </c>
      <c r="F84" s="1151">
        <v>30</v>
      </c>
    </row>
    <row r="85" spans="1:6" s="1102" customFormat="1" ht="36">
      <c r="A85" s="1151">
        <v>25</v>
      </c>
      <c r="B85" s="3436"/>
      <c r="C85" s="1065" t="s">
        <v>1551</v>
      </c>
      <c r="D85" s="1065" t="s">
        <v>1552</v>
      </c>
      <c r="E85" s="1136">
        <v>0.5</v>
      </c>
      <c r="F85" s="1151">
        <v>80</v>
      </c>
    </row>
    <row r="86" spans="1:6" s="1102" customFormat="1" ht="36">
      <c r="A86" s="1151">
        <v>26</v>
      </c>
      <c r="B86" s="3436"/>
      <c r="C86" s="1065" t="s">
        <v>1553</v>
      </c>
      <c r="D86" s="1065" t="s">
        <v>1554</v>
      </c>
      <c r="E86" s="1136">
        <v>0.2</v>
      </c>
      <c r="F86" s="1151">
        <v>30</v>
      </c>
    </row>
    <row r="87" spans="1:6" s="1102" customFormat="1" ht="36">
      <c r="A87" s="1151">
        <v>27</v>
      </c>
      <c r="B87" s="3436"/>
      <c r="C87" s="1065" t="s">
        <v>1555</v>
      </c>
      <c r="D87" s="1065" t="s">
        <v>1556</v>
      </c>
      <c r="E87" s="1136">
        <v>0.2</v>
      </c>
      <c r="F87" s="1151">
        <v>30</v>
      </c>
    </row>
    <row r="88" spans="1:6" s="1102" customFormat="1" ht="36">
      <c r="A88" s="1151">
        <v>28</v>
      </c>
      <c r="B88" s="3436"/>
      <c r="C88" s="1065" t="s">
        <v>1557</v>
      </c>
      <c r="D88" s="1065" t="s">
        <v>1558</v>
      </c>
      <c r="E88" s="1136">
        <v>0.2</v>
      </c>
      <c r="F88" s="1151">
        <v>30</v>
      </c>
    </row>
    <row r="89" spans="1:6" s="1102" customFormat="1" ht="24">
      <c r="A89" s="1151">
        <v>29</v>
      </c>
      <c r="B89" s="3436"/>
      <c r="C89" s="1065" t="s">
        <v>1559</v>
      </c>
      <c r="D89" s="1065" t="s">
        <v>1560</v>
      </c>
      <c r="E89" s="1136">
        <v>0.2</v>
      </c>
      <c r="F89" s="1151">
        <v>30</v>
      </c>
    </row>
    <row r="90" spans="1:6" s="1102" customFormat="1" ht="24">
      <c r="A90" s="1151">
        <v>30</v>
      </c>
      <c r="B90" s="3436"/>
      <c r="C90" s="1065" t="s">
        <v>1561</v>
      </c>
      <c r="D90" s="1065" t="s">
        <v>1562</v>
      </c>
      <c r="E90" s="1136">
        <v>0.2</v>
      </c>
      <c r="F90" s="1151">
        <v>30</v>
      </c>
    </row>
    <row r="91" spans="1:6" s="1102" customFormat="1" ht="36">
      <c r="A91" s="1151">
        <v>31</v>
      </c>
      <c r="B91" s="3436"/>
      <c r="C91" s="1065" t="s">
        <v>1563</v>
      </c>
      <c r="D91" s="1065" t="s">
        <v>1564</v>
      </c>
      <c r="E91" s="1136">
        <v>0.2</v>
      </c>
      <c r="F91" s="1151">
        <v>30</v>
      </c>
    </row>
    <row r="92" spans="1:6" s="1102" customFormat="1" ht="24">
      <c r="A92" s="1151">
        <v>32</v>
      </c>
      <c r="B92" s="3436" t="s">
        <v>1565</v>
      </c>
      <c r="C92" s="1151" t="s">
        <v>1566</v>
      </c>
      <c r="D92" s="1065" t="s">
        <v>1567</v>
      </c>
      <c r="E92" s="1136">
        <v>0.2</v>
      </c>
      <c r="F92" s="1151">
        <v>30</v>
      </c>
    </row>
    <row r="93" spans="1:6" s="1102" customFormat="1" ht="36">
      <c r="A93" s="1151">
        <v>33</v>
      </c>
      <c r="B93" s="3436"/>
      <c r="C93" s="1151" t="s">
        <v>1568</v>
      </c>
      <c r="D93" s="1065" t="s">
        <v>1569</v>
      </c>
      <c r="E93" s="1136">
        <v>0.2</v>
      </c>
      <c r="F93" s="1151">
        <v>30</v>
      </c>
    </row>
    <row r="94" spans="1:6" s="1102" customFormat="1" ht="48">
      <c r="A94" s="1151">
        <v>34</v>
      </c>
      <c r="B94" s="3436"/>
      <c r="C94" s="1151" t="s">
        <v>1570</v>
      </c>
      <c r="D94" s="1065" t="s">
        <v>1571</v>
      </c>
      <c r="E94" s="1136">
        <v>0.2</v>
      </c>
      <c r="F94" s="1151">
        <v>30</v>
      </c>
    </row>
    <row r="95" spans="1:6" s="1102" customFormat="1" ht="36">
      <c r="A95" s="1151">
        <v>35</v>
      </c>
      <c r="B95" s="3436"/>
      <c r="C95" s="1151" t="s">
        <v>1572</v>
      </c>
      <c r="D95" s="1065" t="s">
        <v>1573</v>
      </c>
      <c r="E95" s="1136">
        <v>0.2</v>
      </c>
      <c r="F95" s="1151">
        <v>30</v>
      </c>
    </row>
    <row r="96" spans="1:6" s="1102" customFormat="1" ht="48">
      <c r="A96" s="1151">
        <v>36</v>
      </c>
      <c r="B96" s="3436"/>
      <c r="C96" s="1065" t="s">
        <v>1574</v>
      </c>
      <c r="D96" s="1065" t="s">
        <v>1575</v>
      </c>
      <c r="E96" s="1136">
        <v>0.2</v>
      </c>
      <c r="F96" s="1151">
        <v>30</v>
      </c>
    </row>
    <row r="97" spans="1:6" s="1102" customFormat="1" ht="36">
      <c r="A97" s="1151">
        <v>37</v>
      </c>
      <c r="B97" s="3436"/>
      <c r="C97" s="1151" t="s">
        <v>1576</v>
      </c>
      <c r="D97" s="1065" t="s">
        <v>1577</v>
      </c>
      <c r="E97" s="1136">
        <v>0.2</v>
      </c>
      <c r="F97" s="1151">
        <v>30</v>
      </c>
    </row>
    <row r="98" spans="1:6" s="1102" customFormat="1" ht="36">
      <c r="A98" s="1151">
        <v>38</v>
      </c>
      <c r="B98" s="3436"/>
      <c r="C98" s="1151" t="s">
        <v>1578</v>
      </c>
      <c r="D98" s="1065" t="s">
        <v>1579</v>
      </c>
      <c r="E98" s="1136">
        <v>0.2</v>
      </c>
      <c r="F98" s="1151">
        <v>30</v>
      </c>
    </row>
    <row r="99" spans="1:6" s="1102" customFormat="1" ht="36">
      <c r="A99" s="1151">
        <v>39</v>
      </c>
      <c r="B99" s="3436" t="s">
        <v>1580</v>
      </c>
      <c r="C99" s="1151" t="s">
        <v>1581</v>
      </c>
      <c r="D99" s="1065" t="s">
        <v>1582</v>
      </c>
      <c r="E99" s="1136">
        <v>0.3</v>
      </c>
      <c r="F99" s="1151">
        <v>50</v>
      </c>
    </row>
    <row r="100" spans="1:6" s="1102" customFormat="1" ht="24">
      <c r="A100" s="1151">
        <v>40</v>
      </c>
      <c r="B100" s="3436"/>
      <c r="C100" s="1151" t="s">
        <v>1583</v>
      </c>
      <c r="D100" s="1065" t="s">
        <v>1584</v>
      </c>
      <c r="E100" s="1136">
        <v>0.2</v>
      </c>
      <c r="F100" s="1151">
        <v>30</v>
      </c>
    </row>
    <row r="101" spans="1:6" s="1102" customFormat="1" ht="36">
      <c r="A101" s="1151">
        <v>41</v>
      </c>
      <c r="B101" s="3436"/>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36" t="s">
        <v>1595</v>
      </c>
      <c r="C105" s="1151" t="s">
        <v>1596</v>
      </c>
      <c r="D105" s="1065" t="s">
        <v>1597</v>
      </c>
      <c r="E105" s="1136">
        <v>0.2</v>
      </c>
      <c r="F105" s="1151">
        <v>30</v>
      </c>
    </row>
    <row r="106" spans="1:6" s="1102" customFormat="1" ht="36">
      <c r="A106" s="1151">
        <v>46</v>
      </c>
      <c r="B106" s="3436"/>
      <c r="C106" s="1151" t="s">
        <v>1598</v>
      </c>
      <c r="D106" s="1065" t="s">
        <v>1599</v>
      </c>
      <c r="E106" s="1136">
        <v>0.2</v>
      </c>
      <c r="F106" s="1151">
        <v>30</v>
      </c>
    </row>
    <row r="107" spans="1:6" s="1102" customFormat="1" ht="36">
      <c r="A107" s="1151">
        <v>47</v>
      </c>
      <c r="B107" s="3436" t="s">
        <v>1600</v>
      </c>
      <c r="C107" s="1151" t="s">
        <v>1601</v>
      </c>
      <c r="D107" s="1065" t="s">
        <v>1602</v>
      </c>
      <c r="E107" s="1136">
        <v>0.3</v>
      </c>
      <c r="F107" s="1151">
        <v>50</v>
      </c>
    </row>
    <row r="108" spans="1:6" s="1102" customFormat="1" ht="36">
      <c r="A108" s="1151">
        <v>48</v>
      </c>
      <c r="B108" s="3436"/>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36" t="s">
        <v>1611</v>
      </c>
      <c r="C111" s="1151" t="s">
        <v>1612</v>
      </c>
      <c r="D111" s="1065" t="s">
        <v>1613</v>
      </c>
      <c r="E111" s="1136">
        <v>0.2</v>
      </c>
      <c r="F111" s="1151">
        <v>30</v>
      </c>
    </row>
    <row r="112" spans="1:6" s="1102" customFormat="1" ht="24">
      <c r="A112" s="1151">
        <v>52</v>
      </c>
      <c r="B112" s="3436"/>
      <c r="C112" s="1151" t="s">
        <v>1614</v>
      </c>
      <c r="D112" s="1065" t="s">
        <v>1615</v>
      </c>
      <c r="E112" s="1136">
        <v>0.2</v>
      </c>
      <c r="F112" s="1151">
        <v>30</v>
      </c>
    </row>
    <row r="113" spans="1:14" s="1102" customFormat="1" ht="24">
      <c r="A113" s="1151">
        <v>53</v>
      </c>
      <c r="B113" s="3436"/>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36" t="s">
        <v>1624</v>
      </c>
      <c r="C116" s="1151" t="s">
        <v>1625</v>
      </c>
      <c r="D116" s="1065" t="s">
        <v>1626</v>
      </c>
      <c r="E116" s="1136">
        <v>0.2</v>
      </c>
      <c r="F116" s="1151">
        <v>30</v>
      </c>
    </row>
    <row r="117" spans="1:14" ht="36">
      <c r="A117" s="1151">
        <v>57</v>
      </c>
      <c r="B117" s="3436"/>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35" t="s">
        <v>1633</v>
      </c>
      <c r="B121" s="3435"/>
      <c r="C121" s="3435"/>
      <c r="D121" s="3435"/>
      <c r="E121" s="3435"/>
      <c r="F121" s="3435"/>
      <c r="G121" s="3435"/>
      <c r="H121" s="3435"/>
      <c r="I121" s="3435"/>
      <c r="J121" s="3435"/>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48" t="s">
        <v>1039</v>
      </c>
      <c r="B1" s="3448"/>
      <c r="C1" s="3448"/>
      <c r="D1" s="3448"/>
      <c r="E1" s="3448"/>
      <c r="F1" s="3448"/>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49" t="s">
        <v>1052</v>
      </c>
      <c r="B2" s="3449"/>
      <c r="C2" s="3449"/>
      <c r="D2" s="3449"/>
      <c r="E2" s="3449"/>
      <c r="F2" s="3449"/>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50"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51"/>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2423</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2424</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2" t="s">
        <v>2079</v>
      </c>
      <c r="B1" s="3452"/>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1096</v>
      </c>
      <c r="B6" s="1857" t="s">
        <v>2088</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2089</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2090</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2091</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2092</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2093</v>
      </c>
      <c r="C72" s="1867"/>
      <c r="D72" s="1867"/>
      <c r="E72" s="1867"/>
      <c r="F72" s="1859">
        <v>0.05</v>
      </c>
    </row>
    <row r="73" spans="1:6" ht="14.25" thickBot="1">
      <c r="A73" s="1853" t="s">
        <v>924</v>
      </c>
      <c r="B73" s="1857" t="s">
        <v>2094</v>
      </c>
      <c r="C73" s="1867"/>
      <c r="D73" s="1867"/>
      <c r="E73" s="1867"/>
      <c r="F73" s="1859">
        <v>0.05</v>
      </c>
    </row>
    <row r="74" spans="1:6" ht="14.25" thickBot="1">
      <c r="A74" s="1853" t="s">
        <v>924</v>
      </c>
      <c r="B74" s="1857" t="s">
        <v>2095</v>
      </c>
      <c r="C74" s="1867"/>
      <c r="D74" s="1867"/>
      <c r="E74" s="1867"/>
      <c r="F74" s="1859">
        <v>0.05</v>
      </c>
    </row>
    <row r="75" spans="1:6" ht="14.25" thickBot="1">
      <c r="A75" s="1861" t="s">
        <v>924</v>
      </c>
      <c r="B75" s="1868" t="s">
        <v>2096</v>
      </c>
      <c r="C75" s="1864"/>
      <c r="D75" s="1864"/>
      <c r="E75" s="1864"/>
      <c r="F75" s="1869">
        <v>0.05</v>
      </c>
    </row>
    <row r="76" spans="1:6" ht="14.25" thickBot="1">
      <c r="A76" s="1853" t="s">
        <v>1407</v>
      </c>
      <c r="B76" s="1854" t="s">
        <v>2097</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2098</v>
      </c>
      <c r="C102" s="1867"/>
      <c r="D102" s="1867"/>
      <c r="E102" s="1867"/>
      <c r="F102" s="1859">
        <v>0.05</v>
      </c>
    </row>
    <row r="103" spans="1:6" ht="24.75" thickBot="1">
      <c r="A103" s="1853" t="s">
        <v>1407</v>
      </c>
      <c r="B103" s="1857" t="s">
        <v>2099</v>
      </c>
      <c r="C103" s="1867"/>
      <c r="D103" s="1867"/>
      <c r="E103" s="1867"/>
      <c r="F103" s="1859">
        <v>0.05</v>
      </c>
    </row>
    <row r="104" spans="1:6" ht="14.25" thickBot="1">
      <c r="A104" s="1853" t="s">
        <v>1407</v>
      </c>
      <c r="B104" s="1857" t="s">
        <v>2100</v>
      </c>
      <c r="C104" s="1867"/>
      <c r="D104" s="1867"/>
      <c r="E104" s="1867"/>
      <c r="F104" s="1859">
        <v>0.05</v>
      </c>
    </row>
    <row r="105" spans="1:6" ht="14.25" thickBot="1">
      <c r="A105" s="1853" t="s">
        <v>1407</v>
      </c>
      <c r="B105" s="1857" t="s">
        <v>2101</v>
      </c>
      <c r="C105" s="1867"/>
      <c r="D105" s="1867"/>
      <c r="E105" s="1867"/>
      <c r="F105" s="1859">
        <v>0.05</v>
      </c>
    </row>
    <row r="106" spans="1:6" ht="14.25" thickBot="1">
      <c r="A106" s="1853" t="s">
        <v>1407</v>
      </c>
      <c r="B106" s="1857" t="s">
        <v>2102</v>
      </c>
      <c r="C106" s="1867"/>
      <c r="D106" s="1867"/>
      <c r="E106" s="1867"/>
      <c r="F106" s="1859">
        <v>0.05</v>
      </c>
    </row>
    <row r="107" spans="1:6" ht="24.75" thickBot="1">
      <c r="A107" s="1853" t="s">
        <v>1407</v>
      </c>
      <c r="B107" s="1857" t="s">
        <v>2103</v>
      </c>
      <c r="C107" s="1867"/>
      <c r="D107" s="1867"/>
      <c r="E107" s="1867"/>
      <c r="F107" s="1859">
        <v>0.05</v>
      </c>
    </row>
    <row r="108" spans="1:6" ht="24.75" thickBot="1">
      <c r="A108" s="1853" t="s">
        <v>1407</v>
      </c>
      <c r="B108" s="1857" t="s">
        <v>2104</v>
      </c>
      <c r="C108" s="1867"/>
      <c r="D108" s="1867"/>
      <c r="E108" s="1867"/>
      <c r="F108" s="1859">
        <v>0.05</v>
      </c>
    </row>
    <row r="109" spans="1:6" ht="24.75" thickBot="1">
      <c r="A109" s="1861" t="s">
        <v>1407</v>
      </c>
      <c r="B109" s="1868" t="s">
        <v>2105</v>
      </c>
      <c r="C109" s="1864"/>
      <c r="D109" s="1864"/>
      <c r="E109" s="1864"/>
      <c r="F109" s="1869">
        <v>0.05</v>
      </c>
    </row>
    <row r="110" spans="1:6" ht="14.25" thickBot="1">
      <c r="A110" s="1853" t="s">
        <v>1409</v>
      </c>
      <c r="B110" s="1854" t="s">
        <v>2106</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2107</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2108</v>
      </c>
      <c r="C138" s="1858">
        <v>0.105</v>
      </c>
      <c r="D138" s="1858">
        <v>0.125</v>
      </c>
      <c r="E138" s="1858">
        <v>0.112</v>
      </c>
      <c r="F138" s="1866"/>
    </row>
    <row r="139" spans="1:6" ht="14.25" thickBot="1">
      <c r="A139" s="1853" t="s">
        <v>1409</v>
      </c>
      <c r="B139" s="1857" t="s">
        <v>2109</v>
      </c>
      <c r="C139" s="1858">
        <v>0.127</v>
      </c>
      <c r="D139" s="1858">
        <v>0.127</v>
      </c>
      <c r="E139" s="1858">
        <v>0.122</v>
      </c>
      <c r="F139" s="1859">
        <v>0.13</v>
      </c>
    </row>
    <row r="140" spans="1:6" ht="14.25" thickBot="1">
      <c r="A140" s="1853" t="s">
        <v>1409</v>
      </c>
      <c r="B140" s="1857" t="s">
        <v>2110</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2111</v>
      </c>
      <c r="C144" s="1871">
        <v>0.126</v>
      </c>
      <c r="D144" s="1871">
        <v>0.126</v>
      </c>
      <c r="E144" s="1871">
        <v>0.121</v>
      </c>
      <c r="F144" s="1866"/>
    </row>
    <row r="145" spans="1:6" ht="14.25" thickBot="1">
      <c r="A145" s="1861" t="s">
        <v>1409</v>
      </c>
      <c r="B145" s="1872" t="s">
        <v>2112</v>
      </c>
      <c r="C145" s="1873"/>
      <c r="D145" s="1873"/>
      <c r="E145" s="1873"/>
      <c r="F145" s="1874">
        <v>0.05</v>
      </c>
    </row>
    <row r="146" spans="1:6" ht="24.75" thickBot="1">
      <c r="A146" s="1875" t="s">
        <v>1409</v>
      </c>
      <c r="B146" s="1860" t="s">
        <v>2113</v>
      </c>
      <c r="C146" s="1867"/>
      <c r="D146" s="1867"/>
      <c r="E146" s="1867"/>
      <c r="F146" s="1876">
        <v>0.05</v>
      </c>
    </row>
    <row r="147" spans="1:6" ht="24.75" thickBot="1">
      <c r="A147" s="1853" t="s">
        <v>1409</v>
      </c>
      <c r="B147" s="1857" t="s">
        <v>2114</v>
      </c>
      <c r="C147" s="1867"/>
      <c r="D147" s="1867"/>
      <c r="E147" s="1867"/>
      <c r="F147" s="1859">
        <v>0.05</v>
      </c>
    </row>
    <row r="148" spans="1:6" ht="24.75" thickBot="1">
      <c r="A148" s="1853" t="s">
        <v>1409</v>
      </c>
      <c r="B148" s="1857" t="s">
        <v>2115</v>
      </c>
      <c r="C148" s="1867"/>
      <c r="D148" s="1867"/>
      <c r="E148" s="1867"/>
      <c r="F148" s="1859">
        <v>0.05</v>
      </c>
    </row>
    <row r="149" spans="1:6" ht="24.75" thickBot="1">
      <c r="A149" s="1853" t="s">
        <v>1409</v>
      </c>
      <c r="B149" s="1857" t="s">
        <v>2116</v>
      </c>
      <c r="C149" s="1867"/>
      <c r="D149" s="1867"/>
      <c r="E149" s="1867"/>
      <c r="F149" s="1859">
        <v>0.05</v>
      </c>
    </row>
    <row r="150" spans="1:6" ht="24.75" thickBot="1">
      <c r="A150" s="1853" t="s">
        <v>1409</v>
      </c>
      <c r="B150" s="1857" t="s">
        <v>2117</v>
      </c>
      <c r="C150" s="1867"/>
      <c r="D150" s="1867"/>
      <c r="E150" s="1867"/>
      <c r="F150" s="1859">
        <v>0.05</v>
      </c>
    </row>
    <row r="151" spans="1:6" ht="24.75" thickBot="1">
      <c r="A151" s="1853" t="s">
        <v>1409</v>
      </c>
      <c r="B151" s="1857" t="s">
        <v>2118</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2119</v>
      </c>
      <c r="C153" s="1867"/>
      <c r="D153" s="1867"/>
      <c r="E153" s="1867"/>
      <c r="F153" s="1859">
        <v>0.05</v>
      </c>
    </row>
    <row r="154" spans="1:6" ht="14.25" thickBot="1">
      <c r="A154" s="1853" t="s">
        <v>1409</v>
      </c>
      <c r="B154" s="1857" t="s">
        <v>2120</v>
      </c>
      <c r="C154" s="1867"/>
      <c r="D154" s="1867"/>
      <c r="E154" s="1867"/>
      <c r="F154" s="1859">
        <v>0.05</v>
      </c>
    </row>
    <row r="155" spans="1:6" ht="24.75" thickBot="1">
      <c r="A155" s="1853" t="s">
        <v>1409</v>
      </c>
      <c r="B155" s="1857" t="s">
        <v>2121</v>
      </c>
      <c r="C155" s="1867"/>
      <c r="D155" s="1867"/>
      <c r="E155" s="1867"/>
      <c r="F155" s="1859">
        <v>0.05</v>
      </c>
    </row>
    <row r="156" spans="1:6" ht="24.75" thickBot="1">
      <c r="A156" s="1853" t="s">
        <v>1409</v>
      </c>
      <c r="B156" s="1857" t="s">
        <v>2122</v>
      </c>
      <c r="C156" s="1867"/>
      <c r="D156" s="1867"/>
      <c r="E156" s="1867"/>
      <c r="F156" s="1859">
        <v>0.05</v>
      </c>
    </row>
    <row r="157" spans="1:6" ht="14.25" thickBot="1">
      <c r="A157" s="1861" t="s">
        <v>1409</v>
      </c>
      <c r="B157" s="1868" t="s">
        <v>2123</v>
      </c>
      <c r="C157" s="1864"/>
      <c r="D157" s="1864"/>
      <c r="E157" s="1864"/>
      <c r="F157" s="1869">
        <v>0.05</v>
      </c>
    </row>
    <row r="158" spans="1:6" ht="14.25" thickBot="1">
      <c r="A158" s="1853" t="s">
        <v>1411</v>
      </c>
      <c r="B158" s="1854" t="s">
        <v>2124</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2125</v>
      </c>
      <c r="C171" s="1858">
        <v>0.127</v>
      </c>
      <c r="D171" s="1858">
        <v>0.126</v>
      </c>
      <c r="E171" s="1858">
        <v>0.126</v>
      </c>
      <c r="F171" s="1859">
        <v>0.11799999999999999</v>
      </c>
    </row>
    <row r="172" spans="1:6" ht="14.25" thickBot="1">
      <c r="A172" s="1853" t="s">
        <v>1411</v>
      </c>
      <c r="B172" s="1857" t="s">
        <v>2126</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2127</v>
      </c>
      <c r="C174" s="1858">
        <v>0.13</v>
      </c>
      <c r="D174" s="1858">
        <v>0.13</v>
      </c>
      <c r="E174" s="1858">
        <v>0.13</v>
      </c>
      <c r="F174" s="1859">
        <v>0.13</v>
      </c>
    </row>
    <row r="175" spans="1:6" ht="14.25" thickBot="1">
      <c r="A175" s="1853" t="s">
        <v>1411</v>
      </c>
      <c r="B175" s="1857" t="s">
        <v>2128</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2129</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2130</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2131</v>
      </c>
      <c r="C185" s="1858">
        <v>0.127</v>
      </c>
      <c r="D185" s="1858">
        <v>0.127</v>
      </c>
      <c r="E185" s="1858">
        <v>0.128</v>
      </c>
      <c r="F185" s="1859">
        <v>0.13</v>
      </c>
    </row>
    <row r="186" spans="1:6" ht="24.75" thickBot="1">
      <c r="A186" s="1853" t="s">
        <v>1411</v>
      </c>
      <c r="B186" s="1857" t="s">
        <v>2132</v>
      </c>
      <c r="C186" s="1867"/>
      <c r="D186" s="1867"/>
      <c r="E186" s="1867"/>
      <c r="F186" s="1859">
        <v>0.05</v>
      </c>
    </row>
    <row r="187" spans="1:6" ht="14.25" thickBot="1">
      <c r="A187" s="1853" t="s">
        <v>1411</v>
      </c>
      <c r="B187" s="1857" t="s">
        <v>2133</v>
      </c>
      <c r="C187" s="1867"/>
      <c r="D187" s="1867"/>
      <c r="E187" s="1867"/>
      <c r="F187" s="1859">
        <v>0.05</v>
      </c>
    </row>
    <row r="188" spans="1:6" ht="14.25" thickBot="1">
      <c r="A188" s="1853" t="s">
        <v>1411</v>
      </c>
      <c r="B188" s="1857" t="s">
        <v>2134</v>
      </c>
      <c r="C188" s="1867"/>
      <c r="D188" s="1867"/>
      <c r="E188" s="1867"/>
      <c r="F188" s="1859">
        <v>0.05</v>
      </c>
    </row>
    <row r="189" spans="1:6" ht="24.75" thickBot="1">
      <c r="A189" s="1853" t="s">
        <v>1411</v>
      </c>
      <c r="B189" s="1857" t="s">
        <v>2135</v>
      </c>
      <c r="C189" s="1867"/>
      <c r="D189" s="1867"/>
      <c r="E189" s="1867"/>
      <c r="F189" s="1859">
        <v>0.05</v>
      </c>
    </row>
    <row r="190" spans="1:6" ht="24.75" thickBot="1">
      <c r="A190" s="1853" t="s">
        <v>1411</v>
      </c>
      <c r="B190" s="1857" t="s">
        <v>2136</v>
      </c>
      <c r="C190" s="1867"/>
      <c r="D190" s="1867"/>
      <c r="E190" s="1867"/>
      <c r="F190" s="1859">
        <v>0.05</v>
      </c>
    </row>
    <row r="191" spans="1:6" ht="24.75" thickBot="1">
      <c r="A191" s="1853" t="s">
        <v>1411</v>
      </c>
      <c r="B191" s="1857" t="s">
        <v>2137</v>
      </c>
      <c r="C191" s="1867"/>
      <c r="D191" s="1867"/>
      <c r="E191" s="1867"/>
      <c r="F191" s="1859">
        <v>0.05</v>
      </c>
    </row>
    <row r="192" spans="1:6" ht="24.75" thickBot="1">
      <c r="A192" s="1853" t="s">
        <v>1411</v>
      </c>
      <c r="B192" s="1857" t="s">
        <v>2138</v>
      </c>
      <c r="C192" s="1867"/>
      <c r="D192" s="1867"/>
      <c r="E192" s="1867"/>
      <c r="F192" s="1859">
        <v>0.05</v>
      </c>
    </row>
    <row r="193" spans="1:6" ht="24.75" thickBot="1">
      <c r="A193" s="1853" t="s">
        <v>1411</v>
      </c>
      <c r="B193" s="1857" t="s">
        <v>2139</v>
      </c>
      <c r="C193" s="1867"/>
      <c r="D193" s="1867"/>
      <c r="E193" s="1867"/>
      <c r="F193" s="1859">
        <v>0.05</v>
      </c>
    </row>
    <row r="194" spans="1:6" ht="24.75" thickBot="1">
      <c r="A194" s="1853" t="s">
        <v>1411</v>
      </c>
      <c r="B194" s="1857" t="s">
        <v>2140</v>
      </c>
      <c r="C194" s="1867"/>
      <c r="D194" s="1867"/>
      <c r="E194" s="1867"/>
      <c r="F194" s="1859">
        <v>0.05</v>
      </c>
    </row>
    <row r="195" spans="1:6" ht="14.25" thickBot="1">
      <c r="A195" s="1853" t="s">
        <v>1411</v>
      </c>
      <c r="B195" s="1857" t="s">
        <v>2141</v>
      </c>
      <c r="C195" s="1867"/>
      <c r="D195" s="1867"/>
      <c r="E195" s="1867"/>
      <c r="F195" s="1859">
        <v>0.05</v>
      </c>
    </row>
    <row r="196" spans="1:6" ht="24.75" thickBot="1">
      <c r="A196" s="1853" t="s">
        <v>1411</v>
      </c>
      <c r="B196" s="1857" t="s">
        <v>2142</v>
      </c>
      <c r="C196" s="1867"/>
      <c r="D196" s="1867"/>
      <c r="E196" s="1867"/>
      <c r="F196" s="1859">
        <v>0.05</v>
      </c>
    </row>
    <row r="197" spans="1:6" ht="24.75" thickBot="1">
      <c r="A197" s="1853" t="s">
        <v>1411</v>
      </c>
      <c r="B197" s="1857" t="s">
        <v>2143</v>
      </c>
      <c r="C197" s="1867"/>
      <c r="D197" s="1867"/>
      <c r="E197" s="1867"/>
      <c r="F197" s="1859">
        <v>0.05</v>
      </c>
    </row>
    <row r="198" spans="1:6" ht="24.75" thickBot="1">
      <c r="A198" s="1853" t="s">
        <v>1411</v>
      </c>
      <c r="B198" s="1857" t="s">
        <v>2144</v>
      </c>
      <c r="C198" s="1867"/>
      <c r="D198" s="1867"/>
      <c r="E198" s="1867"/>
      <c r="F198" s="1859">
        <v>0.05</v>
      </c>
    </row>
    <row r="199" spans="1:6" ht="24.75" thickBot="1">
      <c r="A199" s="1853" t="s">
        <v>1411</v>
      </c>
      <c r="B199" s="1857" t="s">
        <v>2145</v>
      </c>
      <c r="C199" s="1867"/>
      <c r="D199" s="1867"/>
      <c r="E199" s="1867"/>
      <c r="F199" s="1859">
        <v>0.05</v>
      </c>
    </row>
    <row r="200" spans="1:6" ht="24.75" thickBot="1">
      <c r="A200" s="1853" t="s">
        <v>1411</v>
      </c>
      <c r="B200" s="1857" t="s">
        <v>2146</v>
      </c>
      <c r="C200" s="1867"/>
      <c r="D200" s="1867"/>
      <c r="E200" s="1867"/>
      <c r="F200" s="1859">
        <v>0.05</v>
      </c>
    </row>
    <row r="201" spans="1:6" ht="24.75" thickBot="1">
      <c r="A201" s="1853" t="s">
        <v>1411</v>
      </c>
      <c r="B201" s="1857" t="s">
        <v>2147</v>
      </c>
      <c r="C201" s="1867"/>
      <c r="D201" s="1867"/>
      <c r="E201" s="1867"/>
      <c r="F201" s="1859">
        <v>0.05</v>
      </c>
    </row>
    <row r="202" spans="1:6" ht="24.75" thickBot="1">
      <c r="A202" s="1853" t="s">
        <v>1411</v>
      </c>
      <c r="B202" s="1857" t="s">
        <v>2148</v>
      </c>
      <c r="C202" s="1867"/>
      <c r="D202" s="1867"/>
      <c r="E202" s="1867"/>
      <c r="F202" s="1859">
        <v>0.05</v>
      </c>
    </row>
    <row r="203" spans="1:6" ht="24.75" thickBot="1">
      <c r="A203" s="1853" t="s">
        <v>1411</v>
      </c>
      <c r="B203" s="1857" t="s">
        <v>2149</v>
      </c>
      <c r="C203" s="1867"/>
      <c r="D203" s="1867"/>
      <c r="E203" s="1867"/>
      <c r="F203" s="1859">
        <v>0.05</v>
      </c>
    </row>
    <row r="204" spans="1:6" ht="14.25" thickBot="1">
      <c r="A204" s="1853" t="s">
        <v>1411</v>
      </c>
      <c r="B204" s="1857" t="s">
        <v>2150</v>
      </c>
      <c r="C204" s="1867"/>
      <c r="D204" s="1867"/>
      <c r="E204" s="1867"/>
      <c r="F204" s="1859">
        <v>0.05</v>
      </c>
    </row>
    <row r="205" spans="1:6" ht="14.25" thickBot="1">
      <c r="A205" s="1861" t="s">
        <v>1411</v>
      </c>
      <c r="B205" s="1868" t="s">
        <v>2151</v>
      </c>
      <c r="C205" s="1864"/>
      <c r="D205" s="1864"/>
      <c r="E205" s="1864"/>
      <c r="F205" s="1869">
        <v>0.05</v>
      </c>
    </row>
    <row r="206" spans="1:6" ht="14.25" thickBot="1">
      <c r="A206" s="1853" t="s">
        <v>1413</v>
      </c>
      <c r="B206" s="1854" t="s">
        <v>2152</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2153</v>
      </c>
      <c r="C210" s="1858">
        <v>0.15</v>
      </c>
      <c r="D210" s="1858">
        <v>0.15</v>
      </c>
      <c r="E210" s="1858">
        <v>0.15</v>
      </c>
      <c r="F210" s="1859">
        <v>0.13800000000000001</v>
      </c>
    </row>
    <row r="211" spans="1:6" ht="14.25" thickBot="1">
      <c r="A211" s="1853" t="s">
        <v>1413</v>
      </c>
      <c r="B211" s="1857" t="s">
        <v>2154</v>
      </c>
      <c r="C211" s="1858">
        <v>0.13700000000000001</v>
      </c>
      <c r="D211" s="1858">
        <v>0.13500000000000001</v>
      </c>
      <c r="E211" s="1858">
        <v>0.13600000000000001</v>
      </c>
      <c r="F211" s="1859">
        <v>0.1</v>
      </c>
    </row>
    <row r="212" spans="1:6" ht="14.25" thickBot="1">
      <c r="A212" s="1853" t="s">
        <v>1413</v>
      </c>
      <c r="B212" s="1857" t="s">
        <v>2155</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2156</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2157</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2158</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2159</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2160</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2161</v>
      </c>
      <c r="C231" s="1858">
        <v>0.128</v>
      </c>
      <c r="D231" s="1858">
        <v>0.125</v>
      </c>
      <c r="E231" s="1858">
        <v>0.13200000000000001</v>
      </c>
      <c r="F231" s="1866"/>
    </row>
    <row r="232" spans="1:6" ht="14.25" thickBot="1">
      <c r="A232" s="1853" t="s">
        <v>1413</v>
      </c>
      <c r="B232" s="1857" t="s">
        <v>2162</v>
      </c>
      <c r="C232" s="1858">
        <v>0.14499999999999999</v>
      </c>
      <c r="D232" s="1858">
        <v>0.14399999999999999</v>
      </c>
      <c r="E232" s="1858">
        <v>0.14599999999999999</v>
      </c>
      <c r="F232" s="1859">
        <v>0.13800000000000001</v>
      </c>
    </row>
    <row r="233" spans="1:6" ht="14.25" thickBot="1">
      <c r="A233" s="1853" t="s">
        <v>1413</v>
      </c>
      <c r="B233" s="1857" t="s">
        <v>2163</v>
      </c>
      <c r="C233" s="1858">
        <v>0.14499999999999999</v>
      </c>
      <c r="D233" s="1858">
        <v>0.14299999999999999</v>
      </c>
      <c r="E233" s="1858">
        <v>0.14199999999999999</v>
      </c>
      <c r="F233" s="1866"/>
    </row>
    <row r="234" spans="1:6" ht="14.25" thickBot="1">
      <c r="A234" s="1853" t="s">
        <v>1413</v>
      </c>
      <c r="B234" s="1857" t="s">
        <v>2164</v>
      </c>
      <c r="C234" s="1858">
        <v>0.14000000000000001</v>
      </c>
      <c r="D234" s="1858">
        <v>0.14000000000000001</v>
      </c>
      <c r="E234" s="1858">
        <v>0.14399999999999999</v>
      </c>
      <c r="F234" s="1866"/>
    </row>
    <row r="235" spans="1:6" ht="14.25" thickBot="1">
      <c r="A235" s="1853" t="s">
        <v>1413</v>
      </c>
      <c r="B235" s="1857" t="s">
        <v>2165</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2166</v>
      </c>
      <c r="C237" s="1867"/>
      <c r="D237" s="1867"/>
      <c r="E237" s="1867"/>
      <c r="F237" s="1859">
        <v>0.05</v>
      </c>
    </row>
    <row r="238" spans="1:6" ht="24.75" thickBot="1">
      <c r="A238" s="1853" t="s">
        <v>1413</v>
      </c>
      <c r="B238" s="1857" t="s">
        <v>2167</v>
      </c>
      <c r="C238" s="1867"/>
      <c r="D238" s="1867"/>
      <c r="E238" s="1867"/>
      <c r="F238" s="1859">
        <v>0.05</v>
      </c>
    </row>
    <row r="239" spans="1:6" ht="24.75" thickBot="1">
      <c r="A239" s="1853" t="s">
        <v>1413</v>
      </c>
      <c r="B239" s="1857" t="s">
        <v>2168</v>
      </c>
      <c r="C239" s="1867"/>
      <c r="D239" s="1867"/>
      <c r="E239" s="1867"/>
      <c r="F239" s="1859">
        <v>0.05</v>
      </c>
    </row>
    <row r="240" spans="1:6" ht="24.75" thickBot="1">
      <c r="A240" s="1853" t="s">
        <v>1413</v>
      </c>
      <c r="B240" s="1857" t="s">
        <v>2169</v>
      </c>
      <c r="C240" s="1867"/>
      <c r="D240" s="1867"/>
      <c r="E240" s="1867"/>
      <c r="F240" s="1859">
        <v>0.05</v>
      </c>
    </row>
    <row r="241" spans="1:6" ht="24.75" thickBot="1">
      <c r="A241" s="1853" t="s">
        <v>1413</v>
      </c>
      <c r="B241" s="1857" t="s">
        <v>2170</v>
      </c>
      <c r="C241" s="1867"/>
      <c r="D241" s="1867"/>
      <c r="E241" s="1867"/>
      <c r="F241" s="1859">
        <v>0.05</v>
      </c>
    </row>
    <row r="242" spans="1:6" ht="24.75" thickBot="1">
      <c r="A242" s="1853" t="s">
        <v>1413</v>
      </c>
      <c r="B242" s="1857" t="s">
        <v>2171</v>
      </c>
      <c r="C242" s="1867"/>
      <c r="D242" s="1867"/>
      <c r="E242" s="1867"/>
      <c r="F242" s="1859">
        <v>0.05</v>
      </c>
    </row>
    <row r="243" spans="1:6" ht="24.75" thickBot="1">
      <c r="A243" s="1853" t="s">
        <v>1413</v>
      </c>
      <c r="B243" s="1857" t="s">
        <v>2172</v>
      </c>
      <c r="C243" s="1867"/>
      <c r="D243" s="1867"/>
      <c r="E243" s="1867"/>
      <c r="F243" s="1859">
        <v>0.05</v>
      </c>
    </row>
    <row r="244" spans="1:6" ht="24.75" thickBot="1">
      <c r="A244" s="1861" t="s">
        <v>1413</v>
      </c>
      <c r="B244" s="1868" t="s">
        <v>2173</v>
      </c>
      <c r="C244" s="1864"/>
      <c r="D244" s="1864"/>
      <c r="E244" s="1864"/>
      <c r="F244" s="1869">
        <v>0.05</v>
      </c>
    </row>
    <row r="245" spans="1:6" ht="14.25" thickBot="1">
      <c r="A245" s="1853" t="s">
        <v>1415</v>
      </c>
      <c r="B245" s="1854" t="s">
        <v>2174</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2175</v>
      </c>
      <c r="C247" s="1858">
        <v>0.15</v>
      </c>
      <c r="D247" s="1858">
        <v>0.15</v>
      </c>
      <c r="E247" s="1858">
        <v>0.15</v>
      </c>
      <c r="F247" s="1859">
        <v>0.15</v>
      </c>
    </row>
    <row r="248" spans="1:6" ht="14.25" thickBot="1">
      <c r="A248" s="1853" t="s">
        <v>1415</v>
      </c>
      <c r="B248" s="1857" t="s">
        <v>2176</v>
      </c>
      <c r="C248" s="1858">
        <v>0.15</v>
      </c>
      <c r="D248" s="1858">
        <v>0.15</v>
      </c>
      <c r="E248" s="1858">
        <v>0.15</v>
      </c>
      <c r="F248" s="1859">
        <v>0.14000000000000001</v>
      </c>
    </row>
    <row r="249" spans="1:6" ht="14.25" thickBot="1">
      <c r="A249" s="1853" t="s">
        <v>1415</v>
      </c>
      <c r="B249" s="1857" t="s">
        <v>2177</v>
      </c>
      <c r="C249" s="1858">
        <v>0.15</v>
      </c>
      <c r="D249" s="1858">
        <v>0.14899999999999999</v>
      </c>
      <c r="E249" s="1858">
        <v>0.15</v>
      </c>
      <c r="F249" s="1859">
        <v>0.1</v>
      </c>
    </row>
    <row r="250" spans="1:6" ht="14.25" thickBot="1">
      <c r="A250" s="1853" t="s">
        <v>1415</v>
      </c>
      <c r="B250" s="1857" t="s">
        <v>2178</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2179</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2180</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2181</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2182</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2183</v>
      </c>
      <c r="C273" s="1858">
        <v>0.14199999999999999</v>
      </c>
      <c r="D273" s="1858">
        <v>0.14299999999999999</v>
      </c>
      <c r="E273" s="1858">
        <v>0.15</v>
      </c>
      <c r="F273" s="1859">
        <v>0.1</v>
      </c>
    </row>
    <row r="274" spans="1:6" ht="14.25" thickBot="1">
      <c r="A274" s="1853" t="s">
        <v>1415</v>
      </c>
      <c r="B274" s="1857" t="s">
        <v>2184</v>
      </c>
      <c r="C274" s="1858">
        <v>0.14799999999999999</v>
      </c>
      <c r="D274" s="1858">
        <v>0.14799999999999999</v>
      </c>
      <c r="E274" s="1858">
        <v>0.15</v>
      </c>
      <c r="F274" s="1859">
        <v>6.7000000000000004E-2</v>
      </c>
    </row>
    <row r="275" spans="1:6" ht="14.25" thickBot="1">
      <c r="A275" s="1853" t="s">
        <v>1415</v>
      </c>
      <c r="B275" s="1857" t="s">
        <v>2185</v>
      </c>
      <c r="C275" s="1858">
        <v>0.15</v>
      </c>
      <c r="D275" s="1858">
        <v>0.15</v>
      </c>
      <c r="E275" s="1858">
        <v>0.15</v>
      </c>
      <c r="F275" s="1859">
        <v>0.15</v>
      </c>
    </row>
    <row r="276" spans="1:6" ht="14.25" thickBot="1">
      <c r="A276" s="1853" t="s">
        <v>1415</v>
      </c>
      <c r="B276" s="1857" t="s">
        <v>2186</v>
      </c>
      <c r="C276" s="1858">
        <v>0.14499999999999999</v>
      </c>
      <c r="D276" s="1858">
        <v>0.14299999999999999</v>
      </c>
      <c r="E276" s="1858">
        <v>0.15</v>
      </c>
      <c r="F276" s="1859">
        <v>5.8999999999999997E-2</v>
      </c>
    </row>
    <row r="277" spans="1:6" ht="14.25" thickBot="1">
      <c r="A277" s="1853" t="s">
        <v>1415</v>
      </c>
      <c r="B277" s="1857" t="s">
        <v>2187</v>
      </c>
      <c r="C277" s="1858">
        <v>0.15</v>
      </c>
      <c r="D277" s="1858">
        <v>0.15</v>
      </c>
      <c r="E277" s="1858">
        <v>0.15</v>
      </c>
      <c r="F277" s="1859">
        <v>0.121</v>
      </c>
    </row>
    <row r="278" spans="1:6" ht="14.25" thickBot="1">
      <c r="A278" s="1853" t="s">
        <v>1415</v>
      </c>
      <c r="B278" s="1857" t="s">
        <v>2188</v>
      </c>
      <c r="C278" s="1858">
        <v>0.15</v>
      </c>
      <c r="D278" s="1858">
        <v>0.15</v>
      </c>
      <c r="E278" s="1858">
        <v>0.15</v>
      </c>
      <c r="F278" s="1859">
        <v>0.13800000000000001</v>
      </c>
    </row>
    <row r="279" spans="1:6" ht="24.75" thickBot="1">
      <c r="A279" s="1853" t="s">
        <v>1415</v>
      </c>
      <c r="B279" s="1857" t="s">
        <v>2189</v>
      </c>
      <c r="C279" s="1867"/>
      <c r="D279" s="1867"/>
      <c r="E279" s="1867"/>
      <c r="F279" s="1859">
        <v>0.05</v>
      </c>
    </row>
    <row r="280" spans="1:6" ht="24.75" thickBot="1">
      <c r="A280" s="1853" t="s">
        <v>1415</v>
      </c>
      <c r="B280" s="1857" t="s">
        <v>2190</v>
      </c>
      <c r="C280" s="1867"/>
      <c r="D280" s="1867"/>
      <c r="E280" s="1867"/>
      <c r="F280" s="1859">
        <v>0.05</v>
      </c>
    </row>
    <row r="281" spans="1:6" ht="24.75" thickBot="1">
      <c r="A281" s="1853" t="s">
        <v>1415</v>
      </c>
      <c r="B281" s="1857" t="s">
        <v>2191</v>
      </c>
      <c r="C281" s="1867"/>
      <c r="D281" s="1867"/>
      <c r="E281" s="1867"/>
      <c r="F281" s="1859">
        <v>0.05</v>
      </c>
    </row>
    <row r="282" spans="1:6" ht="24.75" thickBot="1">
      <c r="A282" s="1853" t="s">
        <v>1415</v>
      </c>
      <c r="B282" s="1857" t="s">
        <v>2192</v>
      </c>
      <c r="C282" s="1867"/>
      <c r="D282" s="1867"/>
      <c r="E282" s="1867"/>
      <c r="F282" s="1859">
        <v>0.05</v>
      </c>
    </row>
    <row r="283" spans="1:6" ht="24.75" thickBot="1">
      <c r="A283" s="1853" t="s">
        <v>1415</v>
      </c>
      <c r="B283" s="1857" t="s">
        <v>2193</v>
      </c>
      <c r="C283" s="1867"/>
      <c r="D283" s="1867"/>
      <c r="E283" s="1867"/>
      <c r="F283" s="1859">
        <v>0.05</v>
      </c>
    </row>
    <row r="284" spans="1:6" ht="24.75" thickBot="1">
      <c r="A284" s="1853" t="s">
        <v>1415</v>
      </c>
      <c r="B284" s="1857" t="s">
        <v>2194</v>
      </c>
      <c r="C284" s="1867"/>
      <c r="D284" s="1867"/>
      <c r="E284" s="1867"/>
      <c r="F284" s="1859">
        <v>0.05</v>
      </c>
    </row>
    <row r="285" spans="1:6" ht="24.75" thickBot="1">
      <c r="A285" s="1853" t="s">
        <v>1415</v>
      </c>
      <c r="B285" s="1857" t="s">
        <v>2195</v>
      </c>
      <c r="C285" s="1867"/>
      <c r="D285" s="1867"/>
      <c r="E285" s="1867"/>
      <c r="F285" s="1859">
        <v>0.05</v>
      </c>
    </row>
    <row r="286" spans="1:6" ht="24.75" thickBot="1">
      <c r="A286" s="1853" t="s">
        <v>1415</v>
      </c>
      <c r="B286" s="1857" t="s">
        <v>2196</v>
      </c>
      <c r="C286" s="1867"/>
      <c r="D286" s="1867"/>
      <c r="E286" s="1867"/>
      <c r="F286" s="1859">
        <v>0.05</v>
      </c>
    </row>
    <row r="287" spans="1:6" ht="24.75" thickBot="1">
      <c r="A287" s="1853" t="s">
        <v>1415</v>
      </c>
      <c r="B287" s="1857" t="s">
        <v>2197</v>
      </c>
      <c r="C287" s="1867"/>
      <c r="D287" s="1867"/>
      <c r="E287" s="1867"/>
      <c r="F287" s="1859">
        <v>0.05</v>
      </c>
    </row>
    <row r="288" spans="1:6" ht="24.75" thickBot="1">
      <c r="A288" s="1853" t="s">
        <v>1415</v>
      </c>
      <c r="B288" s="1857" t="s">
        <v>2198</v>
      </c>
      <c r="C288" s="1867"/>
      <c r="D288" s="1867"/>
      <c r="E288" s="1867"/>
      <c r="F288" s="1859">
        <v>0.05</v>
      </c>
    </row>
    <row r="289" spans="1:6" ht="24.75" thickBot="1">
      <c r="A289" s="1861" t="s">
        <v>1415</v>
      </c>
      <c r="B289" s="1868" t="s">
        <v>2199</v>
      </c>
      <c r="C289" s="1864"/>
      <c r="D289" s="1864"/>
      <c r="E289" s="1864"/>
      <c r="F289" s="1869">
        <v>0.05</v>
      </c>
    </row>
    <row r="290" spans="1:6" ht="14.25" thickBot="1">
      <c r="A290" s="1853" t="s">
        <v>1419</v>
      </c>
      <c r="B290" s="1854" t="s">
        <v>2200</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2201</v>
      </c>
      <c r="C292" s="1858">
        <v>0.15</v>
      </c>
      <c r="D292" s="1858">
        <v>0.15</v>
      </c>
      <c r="E292" s="1858">
        <v>0.15</v>
      </c>
      <c r="F292" s="1859">
        <v>0.14699999999999999</v>
      </c>
    </row>
    <row r="293" spans="1:6" ht="14.25" thickBot="1">
      <c r="A293" s="1853" t="s">
        <v>1419</v>
      </c>
      <c r="B293" s="1857" t="s">
        <v>2202</v>
      </c>
      <c r="C293" s="1867"/>
      <c r="D293" s="1867"/>
      <c r="E293" s="1867"/>
      <c r="F293" s="1859">
        <v>0.1</v>
      </c>
    </row>
    <row r="294" spans="1:6" ht="14.25" thickBot="1">
      <c r="A294" s="1853" t="s">
        <v>1419</v>
      </c>
      <c r="B294" s="1857" t="s">
        <v>2203</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2204</v>
      </c>
      <c r="C296" s="1858">
        <v>0.15</v>
      </c>
      <c r="D296" s="1858">
        <v>0.15</v>
      </c>
      <c r="E296" s="1858">
        <v>0.15</v>
      </c>
      <c r="F296" s="1859">
        <v>0.15</v>
      </c>
    </row>
    <row r="297" spans="1:6" ht="14.25" thickBot="1">
      <c r="A297" s="1853" t="s">
        <v>1419</v>
      </c>
      <c r="B297" s="1857" t="s">
        <v>2205</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2206</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2207</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2208</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2209</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2210</v>
      </c>
      <c r="C310" s="1858">
        <v>0.15</v>
      </c>
      <c r="D310" s="1858">
        <v>0.15</v>
      </c>
      <c r="E310" s="1858">
        <v>0.15</v>
      </c>
      <c r="F310" s="1859">
        <v>0.13700000000000001</v>
      </c>
    </row>
    <row r="311" spans="1:6" ht="14.25" thickBot="1">
      <c r="A311" s="1853" t="s">
        <v>1419</v>
      </c>
      <c r="B311" s="1857" t="s">
        <v>2211</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2212</v>
      </c>
      <c r="C313" s="1858">
        <v>0.15</v>
      </c>
      <c r="D313" s="1858">
        <v>0.15</v>
      </c>
      <c r="E313" s="1858">
        <v>0.15</v>
      </c>
      <c r="F313" s="1859">
        <v>0.15</v>
      </c>
    </row>
    <row r="314" spans="1:6" ht="24.75" thickBot="1">
      <c r="A314" s="1853" t="s">
        <v>1419</v>
      </c>
      <c r="B314" s="1857" t="s">
        <v>2213</v>
      </c>
      <c r="C314" s="1867"/>
      <c r="D314" s="1867"/>
      <c r="E314" s="1867"/>
      <c r="F314" s="1859">
        <v>0.05</v>
      </c>
    </row>
    <row r="315" spans="1:6" ht="24.75" thickBot="1">
      <c r="A315" s="1853" t="s">
        <v>1419</v>
      </c>
      <c r="B315" s="1857" t="s">
        <v>2214</v>
      </c>
      <c r="C315" s="1867"/>
      <c r="D315" s="1867"/>
      <c r="E315" s="1867"/>
      <c r="F315" s="1859">
        <v>0.05</v>
      </c>
    </row>
    <row r="316" spans="1:6" ht="24.75" thickBot="1">
      <c r="A316" s="1861" t="s">
        <v>1419</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1107</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1176</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1196</v>
      </c>
      <c r="C328" s="1858">
        <v>0.15</v>
      </c>
      <c r="D328" s="1858">
        <v>0.15</v>
      </c>
      <c r="E328" s="1858">
        <v>0.15</v>
      </c>
      <c r="F328" s="1859">
        <v>0.14099999999999999</v>
      </c>
    </row>
    <row r="329" spans="1:6" ht="14.25" thickBot="1">
      <c r="A329" s="1853" t="s">
        <v>2216</v>
      </c>
      <c r="B329" s="1857" t="s">
        <v>1206</v>
      </c>
      <c r="C329" s="1858">
        <v>0.15</v>
      </c>
      <c r="D329" s="1858">
        <v>0.15</v>
      </c>
      <c r="E329" s="1858">
        <v>0.15</v>
      </c>
      <c r="F329" s="1859">
        <v>0.15</v>
      </c>
    </row>
    <row r="330" spans="1:6" ht="14.25" thickBot="1">
      <c r="A330" s="1853" t="s">
        <v>2216</v>
      </c>
      <c r="B330" s="1857" t="s">
        <v>1216</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1236</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1256</v>
      </c>
      <c r="C334" s="1858">
        <v>0.15</v>
      </c>
      <c r="D334" s="1858">
        <v>0.15</v>
      </c>
      <c r="E334" s="1858">
        <v>0.15</v>
      </c>
      <c r="F334" s="1859">
        <v>0.15</v>
      </c>
    </row>
    <row r="335" spans="1:6" ht="14.25" thickBot="1">
      <c r="A335" s="1853" t="s">
        <v>2216</v>
      </c>
      <c r="B335" s="1857" t="s">
        <v>1266</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1284</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2951</v>
      </c>
      <c r="B1" s="3131"/>
      <c r="C1" s="3131"/>
      <c r="D1" s="3131"/>
      <c r="E1" s="3131"/>
      <c r="F1" s="3131"/>
    </row>
    <row r="2" spans="1:6" ht="14.25">
      <c r="A2" s="3132" t="s">
        <v>2946</v>
      </c>
      <c r="B2" s="3133" t="e">
        <f ca="1">SUMIF(B7:B14,"&lt;&gt;#ref!",B7:B14)</f>
        <v>#DIV/0!</v>
      </c>
      <c r="C2" s="3132" t="s">
        <v>2947</v>
      </c>
      <c r="D2" s="3131"/>
      <c r="E2" s="3131"/>
      <c r="F2" s="3131"/>
    </row>
    <row r="3" spans="1:6" ht="14.25">
      <c r="A3" s="3132" t="s">
        <v>2981</v>
      </c>
      <c r="B3" s="3133" t="e">
        <f ca="1">ROUND(B2*10000/E3,0)</f>
        <v>#DIV/0!</v>
      </c>
      <c r="C3" s="3132" t="s">
        <v>2078</v>
      </c>
      <c r="D3" s="3132" t="s">
        <v>2948</v>
      </c>
      <c r="E3" s="3133">
        <f ca="1">SUMIF(E7:E14,"&lt;&gt;#ref!",E7:E14)</f>
        <v>0</v>
      </c>
      <c r="F3" s="3131"/>
    </row>
    <row r="4" spans="1:6" ht="14.25">
      <c r="A4" s="3132" t="s">
        <v>2955</v>
      </c>
      <c r="B4" s="3133" t="e">
        <f ca="1">ROUND(B2*10000/E4,0)</f>
        <v>#DIV/0!</v>
      </c>
      <c r="C4" s="3132" t="s">
        <v>2078</v>
      </c>
      <c r="D4" s="3132" t="s">
        <v>2956</v>
      </c>
      <c r="E4" s="3133">
        <f ca="1">SUMIF(F7:F14,"&lt;&gt;#ref!",F7:F14)</f>
        <v>0</v>
      </c>
      <c r="F4" s="3131"/>
    </row>
    <row r="5" spans="1:6" ht="14.25">
      <c r="A5" s="3134"/>
      <c r="B5" s="1879"/>
      <c r="C5" s="1879"/>
      <c r="D5" s="1879"/>
      <c r="E5" s="1879"/>
      <c r="F5" s="3131"/>
    </row>
    <row r="6" spans="1:6" ht="28.5">
      <c r="A6" s="3135" t="s">
        <v>2952</v>
      </c>
      <c r="B6" s="3132" t="s">
        <v>2949</v>
      </c>
      <c r="C6" s="3133"/>
      <c r="D6" s="1879"/>
      <c r="E6" s="3132" t="s">
        <v>2950</v>
      </c>
      <c r="F6" s="3132" t="s">
        <v>2954</v>
      </c>
    </row>
    <row r="7" spans="1:6" ht="14.25">
      <c r="A7" s="258" t="s">
        <v>2953</v>
      </c>
      <c r="B7" s="3136" t="e">
        <f ca="1">SUMIF(INDIRECT("'"&amp;A7&amp;"'"&amp;"!A:A"),"总价",INDIRECT("'"&amp;A7&amp;"'"&amp;"!B:B"))</f>
        <v>#DIV/0!</v>
      </c>
      <c r="C7" s="3132" t="s">
        <v>2947</v>
      </c>
      <c r="D7" s="1879"/>
      <c r="E7" s="3137">
        <f ca="1">SUMIF(INDIRECT("'"&amp;A7&amp;"'"&amp;"!C:C"),"建筑面积",INDIRECT("'"&amp;A7&amp;"'"&amp;"!D:D"))</f>
        <v>0</v>
      </c>
      <c r="F7" s="3137">
        <f ca="1">SUMIF(INDIRECT("'"&amp;A7&amp;"'"&amp;"!E:E"),"土地面积",INDIRECT("'"&amp;A7&amp;"'"&amp;"!F:F"))</f>
        <v>0</v>
      </c>
    </row>
    <row r="8" spans="1:6" ht="14.25">
      <c r="A8" s="258"/>
      <c r="B8" s="3136" t="e">
        <f t="shared" ref="B8:B14" ca="1" si="0">SUMIF(INDIRECT("'"&amp;A8&amp;"'"&amp;"!A:A"),"总价",INDIRECT("'"&amp;A8&amp;"'"&amp;"!B:B"))</f>
        <v>#REF!</v>
      </c>
      <c r="C8" s="3132" t="s">
        <v>2947</v>
      </c>
      <c r="D8" s="1879"/>
      <c r="E8" s="3137" t="e">
        <f t="shared" ref="E8:E14" ca="1" si="1">SUMIF(INDIRECT("'"&amp;A8&amp;"'"&amp;"!C:C"),"建筑面积",INDIRECT("'"&amp;A8&amp;"'"&amp;"!D:D"))</f>
        <v>#REF!</v>
      </c>
      <c r="F8" s="3137" t="e">
        <f t="shared" ref="F8:F14" ca="1" si="2">SUMIF(INDIRECT("'"&amp;A8&amp;"'"&amp;"!E:E"),"土地面积",INDIRECT("'"&amp;A8&amp;"'"&amp;"!F:F"))</f>
        <v>#REF!</v>
      </c>
    </row>
    <row r="9" spans="1:6" ht="14.25">
      <c r="A9" s="258"/>
      <c r="B9" s="3136" t="e">
        <f t="shared" ca="1" si="0"/>
        <v>#REF!</v>
      </c>
      <c r="C9" s="3132" t="s">
        <v>2947</v>
      </c>
      <c r="D9" s="1879"/>
      <c r="E9" s="3137" t="e">
        <f t="shared" ca="1" si="1"/>
        <v>#REF!</v>
      </c>
      <c r="F9" s="3137" t="e">
        <f t="shared" ca="1" si="2"/>
        <v>#REF!</v>
      </c>
    </row>
    <row r="10" spans="1:6" ht="14.25">
      <c r="A10" s="258"/>
      <c r="B10" s="3136" t="e">
        <f t="shared" ca="1" si="0"/>
        <v>#REF!</v>
      </c>
      <c r="C10" s="3132" t="s">
        <v>2947</v>
      </c>
      <c r="D10" s="1879"/>
      <c r="E10" s="3137" t="e">
        <f t="shared" ca="1" si="1"/>
        <v>#REF!</v>
      </c>
      <c r="F10" s="3137" t="e">
        <f t="shared" ca="1" si="2"/>
        <v>#REF!</v>
      </c>
    </row>
    <row r="11" spans="1:6" ht="14.25">
      <c r="A11" s="258"/>
      <c r="B11" s="3136" t="e">
        <f t="shared" ca="1" si="0"/>
        <v>#REF!</v>
      </c>
      <c r="C11" s="3132" t="s">
        <v>2947</v>
      </c>
      <c r="D11" s="1879"/>
      <c r="E11" s="3137" t="e">
        <f t="shared" ca="1" si="1"/>
        <v>#REF!</v>
      </c>
      <c r="F11" s="3137" t="e">
        <f t="shared" ca="1" si="2"/>
        <v>#REF!</v>
      </c>
    </row>
    <row r="12" spans="1:6" ht="14.25">
      <c r="A12" s="258"/>
      <c r="B12" s="3136" t="e">
        <f t="shared" ca="1" si="0"/>
        <v>#REF!</v>
      </c>
      <c r="C12" s="3132" t="s">
        <v>2947</v>
      </c>
      <c r="D12" s="1879"/>
      <c r="E12" s="3137" t="e">
        <f t="shared" ca="1" si="1"/>
        <v>#REF!</v>
      </c>
      <c r="F12" s="3137" t="e">
        <f t="shared" ca="1" si="2"/>
        <v>#REF!</v>
      </c>
    </row>
    <row r="13" spans="1:6" ht="14.25">
      <c r="A13" s="258"/>
      <c r="B13" s="3136" t="e">
        <f t="shared" ca="1" si="0"/>
        <v>#REF!</v>
      </c>
      <c r="C13" s="3132" t="s">
        <v>2947</v>
      </c>
      <c r="D13" s="1879"/>
      <c r="E13" s="3137" t="e">
        <f t="shared" ca="1" si="1"/>
        <v>#REF!</v>
      </c>
      <c r="F13" s="3137" t="e">
        <f t="shared" ca="1" si="2"/>
        <v>#REF!</v>
      </c>
    </row>
    <row r="14" spans="1:6" ht="14.25">
      <c r="A14" s="3130"/>
      <c r="B14" s="3136" t="e">
        <f t="shared" ca="1" si="0"/>
        <v>#REF!</v>
      </c>
      <c r="C14" s="3132" t="s">
        <v>2947</v>
      </c>
      <c r="D14" s="1879"/>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409" t="s">
        <v>2375</v>
      </c>
      <c r="F1" s="2410">
        <f ca="1">J54</f>
        <v>0</v>
      </c>
      <c r="G1" s="772">
        <f>MATCH(C1,'数据-取费表'!A6:A16,0)+5</f>
        <v>10</v>
      </c>
      <c r="H1" s="1347"/>
      <c r="I1" s="2049"/>
      <c r="J1" s="2049"/>
      <c r="K1" s="2050"/>
      <c r="L1" s="2049"/>
      <c r="M1" s="2049"/>
      <c r="N1" s="2051"/>
      <c r="O1" s="2051"/>
      <c r="P1" s="2051"/>
      <c r="Q1" s="2051"/>
      <c r="R1" s="2051"/>
      <c r="S1" s="2051"/>
      <c r="T1" s="2051"/>
      <c r="U1" s="2051"/>
      <c r="V1" s="2051"/>
      <c r="W1" s="2051"/>
      <c r="X1" s="2051"/>
      <c r="Y1" s="2051"/>
    </row>
    <row r="2" spans="1:25" ht="18" customHeight="1">
      <c r="A2" s="1642" t="s">
        <v>629</v>
      </c>
      <c r="B2" s="773">
        <f ca="1">IF(ISERROR(C45+J31),0,C45+J31)</f>
        <v>0</v>
      </c>
      <c r="C2" s="1348"/>
      <c r="D2" s="2053"/>
      <c r="E2" s="2054"/>
      <c r="F2" s="2054"/>
      <c r="G2" s="1588"/>
      <c r="H2" s="1360"/>
      <c r="I2" s="2055"/>
      <c r="J2" s="2055"/>
      <c r="K2" s="2056"/>
      <c r="L2" s="2055"/>
      <c r="M2" s="2055"/>
    </row>
    <row r="3" spans="1:25" ht="18" customHeight="1">
      <c r="A3" s="1643" t="s">
        <v>1686</v>
      </c>
      <c r="B3" s="1389">
        <f ca="1">ROUND(B2*10000/'数据-汇总表'!E3,0)</f>
        <v>0</v>
      </c>
      <c r="C3" s="1348"/>
      <c r="D3" s="2053"/>
      <c r="E3" s="2054"/>
      <c r="F3" s="2054"/>
      <c r="G3" s="1588"/>
      <c r="H3" s="774" t="s">
        <v>695</v>
      </c>
      <c r="I3" s="2055"/>
      <c r="J3" s="2055"/>
      <c r="K3" s="2056"/>
      <c r="L3" s="2055"/>
      <c r="M3" s="2055"/>
    </row>
    <row r="4" spans="1:25" ht="18" customHeight="1">
      <c r="A4" s="1644" t="s">
        <v>696</v>
      </c>
      <c r="B4" s="1349">
        <f ca="1">ROUND(B2*10000/'数据-汇总表'!D3,0)</f>
        <v>0</v>
      </c>
      <c r="C4" s="426"/>
      <c r="D4" s="2053"/>
      <c r="E4" s="2054"/>
      <c r="F4" s="2054"/>
      <c r="G4" s="1588"/>
      <c r="H4" s="774"/>
      <c r="I4" s="2055"/>
      <c r="J4" s="2055"/>
      <c r="K4" s="2056"/>
      <c r="L4" s="2055"/>
      <c r="M4" s="2055"/>
    </row>
    <row r="5" spans="1:25" ht="18" customHeight="1" thickBot="1">
      <c r="A5" s="1645"/>
      <c r="B5" s="428">
        <f ca="1">ROUND(B2/('数据-汇总表'!D3/666.67),0)</f>
        <v>0</v>
      </c>
      <c r="C5" s="429" t="s">
        <v>697</v>
      </c>
      <c r="D5" s="2053"/>
      <c r="E5" s="2054"/>
      <c r="F5" s="2054"/>
      <c r="G5" s="1588"/>
      <c r="H5" s="774"/>
      <c r="I5" s="2055"/>
      <c r="J5" s="2055"/>
      <c r="K5" s="2056"/>
      <c r="L5" s="2055"/>
      <c r="M5" s="2055"/>
    </row>
    <row r="6" spans="1:25" ht="18" customHeight="1">
      <c r="A6" s="1826" t="s">
        <v>698</v>
      </c>
      <c r="B6" s="1818" t="s">
        <v>699</v>
      </c>
      <c r="C6" s="1818" t="s">
        <v>632</v>
      </c>
      <c r="D6" s="1818" t="s">
        <v>633</v>
      </c>
      <c r="E6" s="777" t="s">
        <v>634</v>
      </c>
      <c r="F6" s="778"/>
      <c r="G6" s="1590"/>
      <c r="H6" s="1826" t="s">
        <v>630</v>
      </c>
      <c r="I6" s="1818" t="s">
        <v>631</v>
      </c>
      <c r="J6" s="1818" t="s">
        <v>632</v>
      </c>
      <c r="K6" s="1818" t="s">
        <v>633</v>
      </c>
      <c r="L6" s="777" t="s">
        <v>634</v>
      </c>
      <c r="M6" s="778"/>
    </row>
    <row r="7" spans="1:25" ht="18" customHeight="1">
      <c r="A7" s="779">
        <v>1</v>
      </c>
      <c r="B7" s="780" t="s">
        <v>2459</v>
      </c>
      <c r="C7" s="53">
        <f ca="1">C8+C12+C14</f>
        <v>0</v>
      </c>
      <c r="D7" s="2518" t="s">
        <v>2462</v>
      </c>
      <c r="E7" s="2512"/>
      <c r="F7" s="2513"/>
      <c r="G7" s="1590"/>
      <c r="H7" s="779">
        <v>1</v>
      </c>
      <c r="I7" s="780" t="s">
        <v>2459</v>
      </c>
      <c r="J7" s="53">
        <f ca="1">J8+J12+J14</f>
        <v>0</v>
      </c>
      <c r="K7" s="2518" t="s">
        <v>2462</v>
      </c>
      <c r="L7" s="2512"/>
      <c r="M7" s="2513"/>
    </row>
    <row r="8" spans="1:25" ht="18" customHeight="1">
      <c r="A8" s="1828" t="s">
        <v>1824</v>
      </c>
      <c r="B8" s="3454" t="s">
        <v>2464</v>
      </c>
      <c r="C8" s="1823">
        <f ca="1">ROUND(F8*F10*F9*(1-F11)/10000,0)</f>
        <v>0</v>
      </c>
      <c r="D8" s="1820" t="s">
        <v>2535</v>
      </c>
      <c r="E8" s="61" t="s">
        <v>637</v>
      </c>
      <c r="F8" s="783">
        <f ca="1">INDIRECT("'数据-取费表'!u"&amp;$G$1)</f>
        <v>0</v>
      </c>
      <c r="G8" s="1590"/>
      <c r="H8" s="2526" t="s">
        <v>1824</v>
      </c>
      <c r="I8" s="3454" t="s">
        <v>2464</v>
      </c>
      <c r="J8" s="781">
        <f ca="1">ROUND(M8*M10*M9*(1-M11)/10000,0)</f>
        <v>0</v>
      </c>
      <c r="K8" s="339" t="s">
        <v>2535</v>
      </c>
      <c r="L8" s="782" t="s">
        <v>1738</v>
      </c>
      <c r="M8" s="783">
        <f ca="1">INDIRECT("'数据-取费表'!z"&amp;$G$1)</f>
        <v>0</v>
      </c>
    </row>
    <row r="9" spans="1:25" ht="18" customHeight="1">
      <c r="A9" s="2522"/>
      <c r="B9" s="3455"/>
      <c r="C9" s="1824"/>
      <c r="D9" s="1821"/>
      <c r="E9" s="61" t="s">
        <v>638</v>
      </c>
      <c r="F9" s="783">
        <f ca="1">IF(INDIRECT("'数据-取费表'!ah"&amp;$G$1)="",INDIRECT("'数据-取费表'!k"&amp;$G$1),INDIRECT("'数据-取费表'!ah"&amp;$G$1))</f>
        <v>0</v>
      </c>
      <c r="G9" s="1590"/>
      <c r="H9" s="2511"/>
      <c r="I9" s="3455"/>
      <c r="J9" s="786"/>
      <c r="K9" s="787"/>
      <c r="L9" s="782" t="s">
        <v>1739</v>
      </c>
      <c r="M9" s="783">
        <f ca="1">F9</f>
        <v>0</v>
      </c>
    </row>
    <row r="10" spans="1:25" ht="18" customHeight="1">
      <c r="A10" s="2515"/>
      <c r="B10" s="3456"/>
      <c r="C10" s="1824"/>
      <c r="D10" s="1821"/>
      <c r="E10" s="61" t="s">
        <v>639</v>
      </c>
      <c r="F10" s="783">
        <f ca="1">INDIRECT("'数据-取费表'!ai"&amp;$G$1)</f>
        <v>0</v>
      </c>
      <c r="G10" s="1590"/>
      <c r="H10" s="2511"/>
      <c r="I10" s="3456"/>
      <c r="J10" s="786"/>
      <c r="K10" s="787"/>
      <c r="L10" s="782" t="s">
        <v>1740</v>
      </c>
      <c r="M10" s="783">
        <f ca="1">INDIRECT("'数据-取费表'!ai"&amp;$G$1)</f>
        <v>0</v>
      </c>
    </row>
    <row r="11" spans="1:25" ht="18" customHeight="1">
      <c r="A11" s="784"/>
      <c r="B11" s="3457"/>
      <c r="C11" s="1824"/>
      <c r="D11" s="1821"/>
      <c r="E11" s="61" t="s">
        <v>640</v>
      </c>
      <c r="F11" s="792">
        <f ca="1">INDIRECT("'数据-取费表'!w"&amp;$G$1)</f>
        <v>0</v>
      </c>
      <c r="G11" s="1590"/>
      <c r="H11" s="2527"/>
      <c r="I11" s="3456"/>
      <c r="J11" s="786"/>
      <c r="K11" s="787"/>
      <c r="L11" s="793" t="s">
        <v>1741</v>
      </c>
      <c r="M11" s="794">
        <f ca="1">INDIRECT("'数据-取费表'!ab"&amp;$G$1)</f>
        <v>0</v>
      </c>
    </row>
    <row r="12" spans="1:25" ht="18" customHeight="1">
      <c r="A12" s="1828" t="s">
        <v>1825</v>
      </c>
      <c r="B12" s="2516" t="s">
        <v>2460</v>
      </c>
      <c r="C12" s="797">
        <f ca="1">ROUND(IF(F12="押一",C8/12*F13,IF(F12="押二",C8/12*2*F13,IF(F12="押三",C8/12*3*F13,C13*F13))),0)</f>
        <v>0</v>
      </c>
      <c r="D12" s="2523" t="s">
        <v>2976</v>
      </c>
      <c r="E12" s="2520" t="s">
        <v>2465</v>
      </c>
      <c r="F12" s="2643"/>
      <c r="G12" s="1590"/>
      <c r="H12" s="2583" t="s">
        <v>1825</v>
      </c>
      <c r="I12" s="2588" t="s">
        <v>2460</v>
      </c>
      <c r="J12" s="781">
        <f ca="1">ROUND(IF(M12="押一",J8/12*M13,IF(M12="押二",J8/12*2*M13,IF(M12="押三",J8/12*3*M13,J13*M13))),0)</f>
        <v>0</v>
      </c>
      <c r="K12" s="2523" t="s">
        <v>2976</v>
      </c>
      <c r="L12" s="2520" t="s">
        <v>2465</v>
      </c>
      <c r="M12" s="2643"/>
    </row>
    <row r="13" spans="1:25" ht="18" customHeight="1">
      <c r="A13" s="788"/>
      <c r="B13" s="2517" t="s">
        <v>2574</v>
      </c>
      <c r="C13" s="2521"/>
      <c r="D13" s="787"/>
      <c r="E13" s="2520" t="s">
        <v>2457</v>
      </c>
      <c r="F13" s="794">
        <f ca="1">'数据-取费表'!B39</f>
        <v>1.4999999999999999E-2</v>
      </c>
      <c r="G13" s="1590"/>
      <c r="H13" s="2584"/>
      <c r="I13" s="2517" t="s">
        <v>2574</v>
      </c>
      <c r="J13" s="2521"/>
      <c r="K13" s="2585"/>
      <c r="L13" s="2520" t="s">
        <v>2457</v>
      </c>
      <c r="M13" s="2514">
        <f ca="1">'数据-取费表'!B39</f>
        <v>1.4999999999999999E-2</v>
      </c>
    </row>
    <row r="14" spans="1:25" ht="18" customHeight="1" thickBot="1">
      <c r="A14" s="2559" t="s">
        <v>2468</v>
      </c>
      <c r="B14" s="2560" t="s">
        <v>2461</v>
      </c>
      <c r="C14" s="2561"/>
      <c r="D14" s="2562"/>
      <c r="E14" s="2563"/>
      <c r="F14" s="2564"/>
      <c r="G14" s="1590"/>
      <c r="H14" s="2573" t="s">
        <v>2468</v>
      </c>
      <c r="I14" s="2586" t="s">
        <v>2461</v>
      </c>
      <c r="J14" s="2587"/>
      <c r="K14" s="2562"/>
      <c r="L14" s="2563"/>
      <c r="M14" s="2576"/>
    </row>
    <row r="15" spans="1:25" ht="18" customHeight="1" thickTop="1">
      <c r="A15" s="1827" t="s">
        <v>1874</v>
      </c>
      <c r="B15" s="1825" t="s">
        <v>641</v>
      </c>
      <c r="C15" s="790">
        <f ca="1">ROUND(C31*F15,0)</f>
        <v>0</v>
      </c>
      <c r="D15" s="1832" t="s">
        <v>642</v>
      </c>
      <c r="E15" s="793" t="s">
        <v>643</v>
      </c>
      <c r="F15" s="798">
        <f ca="1">INDIRECT("'数据-取费表'!y"&amp;$G$1)</f>
        <v>0</v>
      </c>
      <c r="G15" s="1590"/>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90"/>
      <c r="H16" s="801" t="s">
        <v>2069</v>
      </c>
      <c r="I16" s="2229" t="s">
        <v>2826</v>
      </c>
      <c r="J16" s="53">
        <f ca="1">C31</f>
        <v>0</v>
      </c>
      <c r="K16" s="26"/>
      <c r="L16" s="799"/>
      <c r="M16" s="800"/>
    </row>
    <row r="17" spans="1:25" s="2062" customFormat="1" ht="18" customHeight="1">
      <c r="A17" s="801" t="s">
        <v>1849</v>
      </c>
      <c r="B17" s="782" t="s">
        <v>647</v>
      </c>
      <c r="C17" s="53">
        <f ca="1">ROUND(C16*F17,0)</f>
        <v>0</v>
      </c>
      <c r="D17" s="804" t="s">
        <v>648</v>
      </c>
      <c r="E17" s="804" t="s">
        <v>649</v>
      </c>
      <c r="F17" s="805">
        <f>'数据-取费表'!B33</f>
        <v>0.03</v>
      </c>
      <c r="G17" s="1591"/>
      <c r="H17" s="801" t="s">
        <v>2070</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90"/>
      <c r="H18" s="795" t="s">
        <v>1827</v>
      </c>
      <c r="I18" s="796" t="s">
        <v>651</v>
      </c>
      <c r="J18" s="797">
        <f ca="1">ROUND(J19+J24+J25+J26,0)</f>
        <v>0</v>
      </c>
      <c r="K18" s="26" t="s">
        <v>652</v>
      </c>
      <c r="L18" s="1980"/>
      <c r="M18" s="56"/>
    </row>
    <row r="19" spans="1:25" s="2062" customFormat="1" ht="18" customHeight="1">
      <c r="A19" s="801" t="s">
        <v>1851</v>
      </c>
      <c r="B19" s="782" t="s">
        <v>653</v>
      </c>
      <c r="C19" s="53">
        <f ca="1">ROUND(F19*(INDIRECT("'数据-取费表'!k"&amp;$G$1)+INDIRECT("'数据-取费表'!S"&amp;$G$1))/10000,0)</f>
        <v>0</v>
      </c>
      <c r="D19" s="782" t="s">
        <v>654</v>
      </c>
      <c r="E19" s="782" t="s">
        <v>655</v>
      </c>
      <c r="F19" s="56">
        <f>'数据-取费表'!B35</f>
        <v>200</v>
      </c>
      <c r="G19" s="1591"/>
      <c r="H19" s="801" t="s">
        <v>2069</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3">
        <f ca="1">ROUND(C16*F20,0)</f>
        <v>0</v>
      </c>
      <c r="D20" s="782" t="s">
        <v>648</v>
      </c>
      <c r="E20" s="782" t="s">
        <v>649</v>
      </c>
      <c r="F20" s="807">
        <f>'数据-取费表'!B36</f>
        <v>1.4999999999999999E-2</v>
      </c>
      <c r="G20" s="1591"/>
      <c r="H20" s="801" t="s">
        <v>1831</v>
      </c>
      <c r="I20" s="782" t="s">
        <v>660</v>
      </c>
      <c r="J20" s="53">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1876</v>
      </c>
      <c r="B21" s="782" t="s">
        <v>662</v>
      </c>
      <c r="C21" s="53">
        <f ca="1">SUM(C16:C20)</f>
        <v>0</v>
      </c>
      <c r="D21" s="259" t="s">
        <v>663</v>
      </c>
      <c r="E21" s="1980"/>
      <c r="F21" s="56"/>
      <c r="G21" s="1590"/>
      <c r="H21" s="1828" t="s">
        <v>1849</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3">
        <f ca="1">ROUND(C21*F22,0)</f>
        <v>0</v>
      </c>
      <c r="D22" s="810" t="s">
        <v>667</v>
      </c>
      <c r="E22" s="782" t="s">
        <v>649</v>
      </c>
      <c r="F22" s="807">
        <f>'数据-取费表'!B37</f>
        <v>0.02</v>
      </c>
      <c r="G22" s="1591"/>
      <c r="H22" s="1830" t="s">
        <v>1850</v>
      </c>
      <c r="I22" s="1820" t="s">
        <v>668</v>
      </c>
      <c r="J22" s="54">
        <f ca="1">ROUND(M22*M23/10000,0)</f>
        <v>0</v>
      </c>
      <c r="K22" s="812" t="s">
        <v>669</v>
      </c>
      <c r="L22" s="782" t="s">
        <v>670</v>
      </c>
      <c r="M22" s="638">
        <f>'数据-取费表'!B52</f>
        <v>9</v>
      </c>
      <c r="N22" s="2061"/>
      <c r="O22" s="2061"/>
      <c r="P22" s="2061"/>
      <c r="Q22" s="2061"/>
      <c r="R22" s="2061"/>
      <c r="S22" s="2061"/>
      <c r="T22" s="2061"/>
      <c r="U22" s="2061"/>
      <c r="V22" s="2061"/>
      <c r="W22" s="2061"/>
      <c r="X22" s="2061"/>
      <c r="Y22" s="2061"/>
    </row>
    <row r="23" spans="1:25" s="2062" customFormat="1" ht="18" customHeight="1">
      <c r="A23" s="801" t="s">
        <v>1878</v>
      </c>
      <c r="B23" s="782" t="s">
        <v>671</v>
      </c>
      <c r="C23" s="53" t="s">
        <v>1</v>
      </c>
      <c r="D23" s="810" t="s">
        <v>672</v>
      </c>
      <c r="E23" s="782" t="s">
        <v>673</v>
      </c>
      <c r="F23" s="807">
        <f>'数据-取费表'!B38</f>
        <v>0.02</v>
      </c>
      <c r="G23" s="1591"/>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3"/>
      <c r="D24" s="2594" t="str">
        <f>IF(F25&lt;=1,"单利计息。","复利计息。")&amp;"建造成本、管理费用、销售费用产生的利息。"</f>
        <v>复利计息。建造成本、管理费用、销售费用产生的利息。</v>
      </c>
      <c r="E24" s="1980"/>
      <c r="F24" s="56"/>
      <c r="G24" s="1590"/>
      <c r="H24" s="1829" t="s">
        <v>2070</v>
      </c>
      <c r="I24" s="782" t="s">
        <v>676</v>
      </c>
      <c r="J24" s="53">
        <f ca="1">ROUND(J16*M24,0)</f>
        <v>0</v>
      </c>
      <c r="K24" s="1975" t="s">
        <v>677</v>
      </c>
      <c r="L24" s="782" t="s">
        <v>649</v>
      </c>
      <c r="M24" s="815">
        <f ca="1">INDIRECT("'数据-取费表'!Ak"&amp;$G$1)</f>
        <v>0</v>
      </c>
    </row>
    <row r="25" spans="1:25" s="2062" customFormat="1" ht="18" customHeight="1">
      <c r="A25" s="801" t="s">
        <v>1875</v>
      </c>
      <c r="B25" s="782" t="s">
        <v>2438</v>
      </c>
      <c r="C25" s="53">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2.5</v>
      </c>
      <c r="G25" s="1591"/>
      <c r="H25" s="801" t="s">
        <v>1878</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3">
        <f ca="1">ROUND(IF('数据-取费表'!B22&lt;=1,F23*F26*F25/2,F23*(POWER((1+F26),F25/2)-1)),4)</f>
        <v>1.1999999999999999E-3</v>
      </c>
      <c r="D26" s="2593" t="str">
        <f>IF(F25&lt;=1,"销售费用×利率×(建设周期÷2)","销售费用×((1+利率)^(建设周期÷2)-1)")</f>
        <v>销售费用×((1+利率)^(建设周期÷2)-1)</v>
      </c>
      <c r="E26" s="782" t="s">
        <v>682</v>
      </c>
      <c r="F26" s="817">
        <f ca="1">'数据-取费表'!B40</f>
        <v>4.7500000000000001E-2</v>
      </c>
      <c r="G26" s="1591"/>
      <c r="H26" s="801" t="s">
        <v>1879</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3"/>
      <c r="D27" s="259" t="s">
        <v>685</v>
      </c>
      <c r="E27" s="1980"/>
      <c r="F27" s="56"/>
      <c r="G27" s="1590"/>
      <c r="H27" s="795" t="s">
        <v>1828</v>
      </c>
      <c r="I27" s="3033" t="s">
        <v>2823</v>
      </c>
      <c r="J27" s="797">
        <f ca="1">J7-J18</f>
        <v>0</v>
      </c>
      <c r="K27" s="1977" t="s">
        <v>700</v>
      </c>
      <c r="L27" s="1979"/>
      <c r="M27" s="818"/>
    </row>
    <row r="28" spans="1:25" ht="18" customHeight="1">
      <c r="A28" s="801" t="s">
        <v>1875</v>
      </c>
      <c r="B28" s="782" t="s">
        <v>2439</v>
      </c>
      <c r="C28" s="53">
        <f ca="1">ROUND((C21+C22)*F28,0)</f>
        <v>0</v>
      </c>
      <c r="D28" s="810" t="s">
        <v>701</v>
      </c>
      <c r="E28" s="793" t="s">
        <v>702</v>
      </c>
      <c r="F28" s="792">
        <f ca="1">INDIRECT("'数据-取费表'!q"&amp;$G$1)</f>
        <v>0</v>
      </c>
      <c r="G28" s="1590"/>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90"/>
      <c r="H29" s="784"/>
      <c r="I29" s="785"/>
      <c r="J29" s="786"/>
      <c r="K29" s="819" t="s">
        <v>707</v>
      </c>
      <c r="L29" s="782" t="s">
        <v>708</v>
      </c>
      <c r="M29" s="820">
        <f ca="1">INDIRECT("'数据-取费表'!ag"&amp;$G$1)</f>
        <v>0</v>
      </c>
    </row>
    <row r="30" spans="1:25" s="2062" customFormat="1" ht="18" customHeight="1">
      <c r="A30" s="801" t="s">
        <v>1882</v>
      </c>
      <c r="B30" s="782" t="s">
        <v>687</v>
      </c>
      <c r="C30" s="53">
        <f>ROUND(F30/(1+'数据-取费表'!C42),4)</f>
        <v>5.2400000000000002E-2</v>
      </c>
      <c r="D30" s="810" t="s">
        <v>709</v>
      </c>
      <c r="E30" s="782" t="s">
        <v>649</v>
      </c>
      <c r="F30" s="807">
        <f>'数据-取费表'!B41</f>
        <v>5.5000000000000007E-2</v>
      </c>
      <c r="G30" s="1591"/>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1883</v>
      </c>
      <c r="B31" s="2563" t="s">
        <v>2824</v>
      </c>
      <c r="C31" s="2566">
        <f ca="1">ROUND((C21+C22+C25+C28)/(1-F23-C26-C29-C30),0)</f>
        <v>0</v>
      </c>
      <c r="D31" s="2567"/>
      <c r="E31" s="2568"/>
      <c r="F31" s="2569"/>
      <c r="G31" s="1591"/>
      <c r="H31" s="821" t="s">
        <v>1872</v>
      </c>
      <c r="I31" s="3034" t="s">
        <v>2825</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509"/>
      <c r="F32" s="2513"/>
      <c r="G32" s="2060"/>
      <c r="H32" s="2063"/>
      <c r="I32" s="2064"/>
      <c r="J32" s="2065"/>
      <c r="K32" s="2066"/>
      <c r="L32" s="2067"/>
      <c r="M32" s="2068"/>
    </row>
    <row r="33" spans="1:18" ht="18" customHeight="1">
      <c r="A33" s="801" t="s">
        <v>1876</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3">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4">
        <f ca="1">ROUND(F36*F37/10000,1)</f>
        <v>0</v>
      </c>
      <c r="D36" s="812" t="s">
        <v>669</v>
      </c>
      <c r="E36" s="782" t="s">
        <v>670</v>
      </c>
      <c r="F36" s="638">
        <f>'数据-取费表'!B52</f>
        <v>9</v>
      </c>
      <c r="G36" s="2060"/>
      <c r="H36" s="2063"/>
      <c r="I36" s="3453"/>
      <c r="J36" s="2077"/>
      <c r="K36" s="2078"/>
      <c r="L36" s="2077"/>
      <c r="M36" s="2077"/>
    </row>
    <row r="37" spans="1:18" ht="18" customHeight="1">
      <c r="A37" s="813"/>
      <c r="B37" s="791"/>
      <c r="C37" s="69"/>
      <c r="D37" s="814"/>
      <c r="E37" s="782" t="s">
        <v>674</v>
      </c>
      <c r="F37" s="783">
        <f ca="1">INDIRECT("'数据-取费表'!r"&amp;$G$1)</f>
        <v>0</v>
      </c>
      <c r="G37" s="2060"/>
      <c r="H37" s="2063"/>
      <c r="I37" s="3453"/>
      <c r="J37" s="2075"/>
      <c r="K37" s="2076"/>
      <c r="L37" s="2075"/>
      <c r="M37" s="2075"/>
    </row>
    <row r="38" spans="1:18" ht="18" customHeight="1">
      <c r="A38" s="801" t="s">
        <v>1877</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82" t="s">
        <v>1879</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3" t="s">
        <v>712</v>
      </c>
      <c r="E43" s="3150" t="s">
        <v>2964</v>
      </c>
      <c r="F43" s="3151">
        <f ca="1">INDIRECT("'数据-取费表'!j"&amp;$G$1)</f>
        <v>0</v>
      </c>
      <c r="G43" s="2060"/>
      <c r="H43" s="2060"/>
      <c r="I43" s="2060"/>
      <c r="J43" s="2060"/>
      <c r="K43" s="2081"/>
      <c r="L43" s="2060"/>
      <c r="M43" s="2060"/>
    </row>
    <row r="44" spans="1:18" ht="18" customHeight="1">
      <c r="A44" s="801" t="s">
        <v>1878</v>
      </c>
      <c r="B44" s="833" t="s">
        <v>713</v>
      </c>
      <c r="C44" s="1354">
        <f ca="1">C42-C43</f>
        <v>0</v>
      </c>
      <c r="D44" s="461" t="s">
        <v>714</v>
      </c>
      <c r="E44" s="462"/>
      <c r="F44" s="463"/>
      <c r="G44" s="2060"/>
      <c r="H44" s="2060"/>
      <c r="I44" s="2060"/>
      <c r="J44" s="2060"/>
      <c r="K44" s="2081"/>
      <c r="L44" s="2060"/>
      <c r="M44" s="2060"/>
    </row>
    <row r="45" spans="1:18" ht="18" customHeight="1">
      <c r="A45" s="801" t="s">
        <v>1879</v>
      </c>
      <c r="B45" s="1353" t="s">
        <v>715</v>
      </c>
      <c r="C45" s="3060">
        <f ca="1">ROUND(-PV(F45,F46,C44,0),0)</f>
        <v>0</v>
      </c>
      <c r="D45" s="1355" t="s">
        <v>716</v>
      </c>
      <c r="E45" s="804" t="s">
        <v>717</v>
      </c>
      <c r="F45" s="828">
        <f ca="1">INDIRECT("'数据-取费表'!h"&amp;$G$1)</f>
        <v>0</v>
      </c>
      <c r="G45" s="2060"/>
      <c r="H45" s="2060"/>
      <c r="I45" s="2060"/>
      <c r="J45" s="2060"/>
      <c r="K45" s="2081"/>
      <c r="L45" s="2060"/>
      <c r="M45" s="2060"/>
    </row>
    <row r="46" spans="1:18" ht="18" customHeight="1" thickBot="1">
      <c r="A46" s="829"/>
      <c r="B46" s="1356"/>
      <c r="C46" s="1357"/>
      <c r="D46" s="1358"/>
      <c r="E46" s="3152" t="s">
        <v>2967</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2379" t="str">
        <f ca="1">IF(M48="住宅",0,IF(L49&gt;J52,L61,J61))</f>
        <v>0</v>
      </c>
      <c r="O47" s="2416" t="s">
        <v>2411</v>
      </c>
      <c r="P47" s="1590"/>
      <c r="Q47" s="1602"/>
      <c r="R47" s="1590"/>
    </row>
    <row r="48" spans="1:18" s="2057" customFormat="1" ht="18" customHeight="1" thickBot="1">
      <c r="A48" s="2082"/>
      <c r="C48" s="2085"/>
      <c r="D48" s="2086"/>
      <c r="E48" s="2086"/>
      <c r="F48" s="2087"/>
      <c r="G48" s="2088"/>
      <c r="I48" s="2380" t="s">
        <v>2344</v>
      </c>
      <c r="J48" s="2385"/>
      <c r="K48" s="2386" t="s">
        <v>2350</v>
      </c>
      <c r="L48" s="2387">
        <f ca="1">INDIRECT("'数据-取费表'!d"&amp;$G$1)</f>
        <v>0</v>
      </c>
      <c r="M48" s="3147" t="str">
        <f>IF(ISNUMBER(FIND("住宅",C1)),"住宅","非住宅")</f>
        <v>非住宅</v>
      </c>
      <c r="O48" s="2417" t="s">
        <v>2376</v>
      </c>
      <c r="P48" s="2418" t="s">
        <v>2377</v>
      </c>
      <c r="Q48" s="2419" t="s">
        <v>2378</v>
      </c>
      <c r="R48" s="2418" t="s">
        <v>2379</v>
      </c>
    </row>
    <row r="49" spans="1:18" s="2057" customFormat="1" ht="18" customHeight="1" thickBot="1">
      <c r="A49" s="2082"/>
      <c r="D49" s="2089"/>
      <c r="E49" s="2090"/>
      <c r="F49" s="2087"/>
      <c r="G49" s="2088"/>
      <c r="H49" s="2091"/>
      <c r="I49" s="2381" t="s">
        <v>2345</v>
      </c>
      <c r="J49" s="2388"/>
      <c r="K49" s="2389" t="s">
        <v>2352</v>
      </c>
      <c r="L49" s="2390">
        <f ca="1">INDIRECT("'数据-取费表'!f"&amp;$G$1)</f>
        <v>0</v>
      </c>
      <c r="O49" s="2420" t="s">
        <v>2380</v>
      </c>
      <c r="P49" s="2421" t="s">
        <v>2406</v>
      </c>
      <c r="Q49" s="2422">
        <f ca="1">C41+J31</f>
        <v>0</v>
      </c>
      <c r="R49" s="2421" t="s">
        <v>2381</v>
      </c>
    </row>
    <row r="50" spans="1:18" s="2057" customFormat="1" ht="18" customHeight="1" thickBot="1">
      <c r="A50" s="2082"/>
      <c r="D50" s="2092"/>
      <c r="E50" s="2092"/>
      <c r="F50" s="2086"/>
      <c r="G50" s="2093"/>
      <c r="H50" s="2091"/>
      <c r="I50" s="2381" t="s">
        <v>2346</v>
      </c>
      <c r="J50" s="2391"/>
      <c r="K50" s="2392" t="s">
        <v>2353</v>
      </c>
      <c r="L50" s="2393"/>
      <c r="O50" s="2420" t="s">
        <v>2382</v>
      </c>
      <c r="P50" s="2421" t="s">
        <v>2407</v>
      </c>
      <c r="Q50" s="2422" t="str">
        <f ca="1">J61</f>
        <v>0</v>
      </c>
      <c r="R50" s="2421" t="s">
        <v>2383</v>
      </c>
    </row>
    <row r="51" spans="1:18" s="2057" customFormat="1" ht="18" customHeight="1" thickBot="1">
      <c r="A51" s="2094"/>
      <c r="D51" s="2092"/>
      <c r="E51" s="2092"/>
      <c r="F51" s="2083"/>
      <c r="H51" s="2091"/>
      <c r="I51" s="2381" t="s">
        <v>2347</v>
      </c>
      <c r="J51" s="2394">
        <f>SUMPRODUCT((I64:I66=J48)*(J63:L63=J49)*(J64:L66))</f>
        <v>0</v>
      </c>
      <c r="K51" s="2392" t="s">
        <v>2354</v>
      </c>
      <c r="L51" s="2393"/>
      <c r="O51" s="2423" t="s">
        <v>2384</v>
      </c>
      <c r="P51" s="2421" t="s">
        <v>2408</v>
      </c>
      <c r="Q51" s="2422">
        <f ca="1">C31</f>
        <v>0</v>
      </c>
      <c r="R51" s="2421" t="s">
        <v>2381</v>
      </c>
    </row>
    <row r="52" spans="1:18" s="2057" customFormat="1" ht="18" customHeight="1" thickBot="1">
      <c r="A52" s="2094"/>
      <c r="F52" s="2083"/>
      <c r="I52" s="2382" t="s">
        <v>2348</v>
      </c>
      <c r="J52" s="2395">
        <f>IF(J50="",J51,J50+J51-YEAR('数据-取费表'!B3))</f>
        <v>0</v>
      </c>
      <c r="K52" s="2381" t="s">
        <v>2355</v>
      </c>
      <c r="L52" s="2396">
        <f ca="1">ROUND(-PV(INDIRECT("'数据-取费表'!h"&amp;$G$1),L49,(C40-C14*J36),0),0)</f>
        <v>0</v>
      </c>
      <c r="O52" s="2423" t="s">
        <v>2385</v>
      </c>
      <c r="P52" s="2421" t="s">
        <v>2386</v>
      </c>
      <c r="Q52" s="2424" t="e">
        <f ca="1">J59</f>
        <v>#VALUE!</v>
      </c>
      <c r="R52" s="2425"/>
    </row>
    <row r="53" spans="1:18" s="2057" customFormat="1" ht="18" customHeight="1" thickBot="1">
      <c r="A53" s="2094"/>
      <c r="F53" s="2083"/>
      <c r="I53" s="2383" t="s">
        <v>2422</v>
      </c>
      <c r="J53" s="2397"/>
      <c r="K53" s="2383" t="s">
        <v>2421</v>
      </c>
      <c r="L53" s="2397"/>
      <c r="O53" s="2423" t="s">
        <v>2387</v>
      </c>
      <c r="P53" s="2421" t="s">
        <v>2388</v>
      </c>
      <c r="Q53" s="2424">
        <f>J53</f>
        <v>0</v>
      </c>
      <c r="R53" s="2425"/>
    </row>
    <row r="54" spans="1:18" s="2057" customFormat="1" ht="43.5" thickBot="1">
      <c r="A54" s="2094"/>
      <c r="I54" s="2384" t="s">
        <v>2349</v>
      </c>
      <c r="J54" s="2398">
        <f ca="1">IF(M48="住宅",J52,IF(J52&gt;L49,L49-'数据-取费表'!B25,J52))</f>
        <v>0</v>
      </c>
      <c r="K54" s="3458"/>
      <c r="L54" s="3459"/>
      <c r="O54" s="2423" t="s">
        <v>2389</v>
      </c>
      <c r="P54" s="2421" t="s">
        <v>2390</v>
      </c>
      <c r="Q54" s="2422">
        <f ca="1">J54</f>
        <v>0</v>
      </c>
      <c r="R54" s="2421" t="s">
        <v>2391</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2392</v>
      </c>
      <c r="P55" s="2421" t="s">
        <v>2409</v>
      </c>
      <c r="Q55" s="2422">
        <f ca="1">Q49+Q50</f>
        <v>0</v>
      </c>
      <c r="R55" s="2425" t="s">
        <v>2393</v>
      </c>
    </row>
    <row r="56" spans="1:18" s="2057" customFormat="1" ht="16.5" thickBot="1">
      <c r="A56" s="2094"/>
      <c r="B56" s="2095"/>
      <c r="C56" s="2095"/>
      <c r="I56" s="3124" t="s">
        <v>2356</v>
      </c>
      <c r="J56" s="3148" t="e">
        <f ca="1">ROUND(IF(J48="钢混",J58/J51,1-(1-2%)*(J51-J58)/J51),3)</f>
        <v>#VALUE!</v>
      </c>
      <c r="K56" s="2399" t="s">
        <v>2357</v>
      </c>
      <c r="L56" s="2400"/>
      <c r="O56" s="2426" t="s">
        <v>2412</v>
      </c>
      <c r="P56" s="1590"/>
      <c r="Q56" s="1602"/>
      <c r="R56" s="1590"/>
    </row>
    <row r="57" spans="1:18" s="2057" customFormat="1" ht="43.5" thickBot="1">
      <c r="A57" s="2094"/>
      <c r="B57" s="2095"/>
      <c r="C57" s="2095"/>
      <c r="I57" s="2401" t="s">
        <v>2358</v>
      </c>
      <c r="J57" s="3147" t="s">
        <v>1678</v>
      </c>
      <c r="K57" s="2381" t="s">
        <v>2363</v>
      </c>
      <c r="L57" s="2390">
        <f ca="1">IF(L49&lt;J52,"——",L49-J52)</f>
        <v>0</v>
      </c>
      <c r="O57" s="2417" t="s">
        <v>2376</v>
      </c>
      <c r="P57" s="2418" t="s">
        <v>2377</v>
      </c>
      <c r="Q57" s="2419" t="s">
        <v>2378</v>
      </c>
      <c r="R57" s="2418" t="s">
        <v>2379</v>
      </c>
    </row>
    <row r="58" spans="1:18" s="2057" customFormat="1" ht="29.25" thickBot="1">
      <c r="A58" s="2094"/>
      <c r="B58" s="2095"/>
      <c r="C58" s="2095"/>
      <c r="I58" s="2402" t="s">
        <v>2359</v>
      </c>
      <c r="J58" s="2404" t="str">
        <f ca="1">IF(OR(M48="住宅",J52&lt;L49,J57="是"),"——",J52-L49)</f>
        <v>——</v>
      </c>
      <c r="K58" s="2381" t="s">
        <v>2364</v>
      </c>
      <c r="L58" s="2390">
        <f ca="1">IF(L49&lt;J52,"——",IF(L56="比较法",L50,IF(L56="基准地价",L51,L52)))</f>
        <v>0</v>
      </c>
      <c r="O58" s="2420" t="s">
        <v>2380</v>
      </c>
      <c r="P58" s="2421" t="s">
        <v>2406</v>
      </c>
      <c r="Q58" s="2422">
        <f ca="1">C41+J31</f>
        <v>0</v>
      </c>
      <c r="R58" s="2421" t="s">
        <v>2381</v>
      </c>
    </row>
    <row r="59" spans="1:18" s="2057" customFormat="1" ht="29.25" thickBot="1">
      <c r="A59" s="2094"/>
      <c r="B59" s="2095"/>
      <c r="C59" s="2095"/>
      <c r="I59" s="2402" t="s">
        <v>2360</v>
      </c>
      <c r="J59" s="3149" t="e">
        <f ca="1">IF(J56&lt;0.4,0.4,J56)</f>
        <v>#VALUE!</v>
      </c>
      <c r="K59" s="2381" t="s">
        <v>2365</v>
      </c>
      <c r="L59" s="2390">
        <f ca="1">IF(ISERROR(POWER(1+L53,L48-L49)*(POWER(1+L53,L49)-1)/(POWER(1+L53,L48)-1)),0,POWER(1+L53,L48-L49)*(POWER(1+L53,L49)-1)/(POWER(1+L53,L48)-1))</f>
        <v>0</v>
      </c>
      <c r="O59" s="2420" t="s">
        <v>2382</v>
      </c>
      <c r="P59" s="2421" t="s">
        <v>2413</v>
      </c>
      <c r="Q59" s="2422" t="e">
        <f ca="1">L61</f>
        <v>#DIV/0!</v>
      </c>
      <c r="R59" s="2425" t="s">
        <v>2415</v>
      </c>
    </row>
    <row r="60" spans="1:18" s="2057" customFormat="1" ht="29.25" thickBot="1">
      <c r="A60" s="2094"/>
      <c r="B60" s="2095"/>
      <c r="C60" s="2095"/>
      <c r="I60" s="2402" t="s">
        <v>2361</v>
      </c>
      <c r="J60" s="2404" t="str">
        <f ca="1">IF(OR(M48="住宅",J52&lt;L49,J57="是"),"——",ROUND(C30*J59,0))</f>
        <v>——</v>
      </c>
      <c r="K60" s="2381" t="s">
        <v>2366</v>
      </c>
      <c r="L60" s="2390">
        <f ca="1">IF(ISERROR(POWER(1+L53,L48-J52)*(POWER(1+L53,J52)-1)/(POWER(1+L53,L48)-1)),0,POWER(1+L53,L48-J52)*(POWER(1+L53,J52)-1)/(POWER(1+L53,L48)-1))</f>
        <v>0</v>
      </c>
      <c r="O60" s="2423" t="s">
        <v>2384</v>
      </c>
      <c r="P60" s="2421" t="s">
        <v>2414</v>
      </c>
      <c r="Q60" s="2422">
        <f>IF(L56="比较法",L50,IF(L56="基准地价",L51,0))</f>
        <v>0</v>
      </c>
      <c r="R60" s="2421" t="s">
        <v>2381</v>
      </c>
    </row>
    <row r="61" spans="1:18" s="2057" customFormat="1" ht="15.75" thickBot="1">
      <c r="A61" s="2094"/>
      <c r="B61" s="2095"/>
      <c r="C61" s="2095"/>
      <c r="I61" s="2403" t="s">
        <v>2362</v>
      </c>
      <c r="J61" s="2405" t="str">
        <f ca="1">IF(OR(M48="住宅",J52&lt;L49,J57="是"),"0",ROUND(J60/(1+J53)^J54,0))</f>
        <v>0</v>
      </c>
      <c r="K61" s="2406" t="s">
        <v>2367</v>
      </c>
      <c r="L61" s="2405" t="e">
        <f ca="1">IF(OR(M48="住宅",L49&lt;J52),0,ROUND(L58*(L59/L60-1),0))</f>
        <v>#DIV/0!</v>
      </c>
      <c r="O61" s="2423" t="s">
        <v>2385</v>
      </c>
      <c r="P61" s="2421" t="s">
        <v>2394</v>
      </c>
      <c r="Q61" s="2424">
        <f>L53</f>
        <v>0</v>
      </c>
      <c r="R61" s="2425"/>
    </row>
    <row r="62" spans="1:18" s="2057" customFormat="1" ht="20.25" thickBot="1">
      <c r="A62" s="2094"/>
      <c r="B62" s="2095"/>
      <c r="C62" s="2095"/>
      <c r="K62" s="2084"/>
      <c r="O62" s="2423" t="s">
        <v>2387</v>
      </c>
      <c r="P62" s="2421" t="s">
        <v>2395</v>
      </c>
      <c r="Q62" s="2422">
        <f ca="1">L59</f>
        <v>0</v>
      </c>
      <c r="R62" s="2425" t="s">
        <v>2396</v>
      </c>
    </row>
    <row r="63" spans="1:18" s="2057" customFormat="1" ht="20.25" thickBot="1">
      <c r="A63" s="2094"/>
      <c r="B63" s="2095"/>
      <c r="C63" s="2095"/>
      <c r="I63" s="2407" t="s">
        <v>2368</v>
      </c>
      <c r="J63" s="2408" t="s">
        <v>2369</v>
      </c>
      <c r="K63" s="2408" t="s">
        <v>2370</v>
      </c>
      <c r="L63" s="2408" t="s">
        <v>2351</v>
      </c>
      <c r="M63" s="3126" t="s">
        <v>2944</v>
      </c>
      <c r="O63" s="2423" t="s">
        <v>2389</v>
      </c>
      <c r="P63" s="2421" t="s">
        <v>2397</v>
      </c>
      <c r="Q63" s="2422">
        <f ca="1">L60</f>
        <v>0</v>
      </c>
      <c r="R63" s="2425" t="s">
        <v>2398</v>
      </c>
    </row>
    <row r="64" spans="1:18" s="2057" customFormat="1" ht="15.75" thickBot="1">
      <c r="A64" s="2094"/>
      <c r="B64" s="2095"/>
      <c r="C64" s="2095"/>
      <c r="I64" s="2407" t="s">
        <v>2371</v>
      </c>
      <c r="J64" s="2408">
        <v>70</v>
      </c>
      <c r="K64" s="2408">
        <v>50</v>
      </c>
      <c r="L64" s="2408">
        <v>80</v>
      </c>
      <c r="M64" s="3127">
        <v>0.02</v>
      </c>
      <c r="O64" s="2420" t="s">
        <v>2392</v>
      </c>
      <c r="P64" s="2421" t="s">
        <v>2409</v>
      </c>
      <c r="Q64" s="2422" t="e">
        <f ca="1">Q58+Q59</f>
        <v>#DIV/0!</v>
      </c>
      <c r="R64" s="2425" t="s">
        <v>2393</v>
      </c>
    </row>
    <row r="65" spans="1:18" s="2057" customFormat="1" ht="16.5" thickBot="1">
      <c r="A65" s="2094"/>
      <c r="B65" s="2095"/>
      <c r="C65" s="2095"/>
      <c r="I65" s="2407" t="s">
        <v>2372</v>
      </c>
      <c r="J65" s="2408">
        <v>50</v>
      </c>
      <c r="K65" s="2408">
        <v>35</v>
      </c>
      <c r="L65" s="2408">
        <v>60</v>
      </c>
      <c r="M65" s="3128">
        <v>0</v>
      </c>
      <c r="O65" s="2426" t="s">
        <v>2416</v>
      </c>
      <c r="P65" s="1590"/>
      <c r="Q65" s="1602"/>
      <c r="R65" s="1590"/>
    </row>
    <row r="66" spans="1:18" s="2057" customFormat="1" ht="15.75" thickBot="1">
      <c r="A66" s="2094"/>
      <c r="B66" s="2095"/>
      <c r="C66" s="2095"/>
      <c r="I66" s="2407" t="s">
        <v>2373</v>
      </c>
      <c r="J66" s="2408">
        <v>40</v>
      </c>
      <c r="K66" s="2408">
        <v>30</v>
      </c>
      <c r="L66" s="2408">
        <v>50</v>
      </c>
      <c r="M66" s="3127">
        <v>0.02</v>
      </c>
      <c r="O66" s="2417" t="s">
        <v>2376</v>
      </c>
      <c r="P66" s="2418" t="s">
        <v>2377</v>
      </c>
      <c r="Q66" s="2419" t="s">
        <v>2378</v>
      </c>
      <c r="R66" s="2418" t="s">
        <v>2379</v>
      </c>
    </row>
    <row r="67" spans="1:18" s="2057" customFormat="1" ht="15.75" thickBot="1">
      <c r="A67" s="2094"/>
      <c r="B67" s="2095"/>
      <c r="C67" s="2095"/>
      <c r="K67" s="2084"/>
      <c r="O67" s="2420" t="s">
        <v>2380</v>
      </c>
      <c r="P67" s="2421" t="s">
        <v>2406</v>
      </c>
      <c r="Q67" s="2422">
        <f ca="1">C41+J31</f>
        <v>0</v>
      </c>
      <c r="R67" s="2421" t="s">
        <v>2381</v>
      </c>
    </row>
    <row r="68" spans="1:18" s="2057" customFormat="1" ht="20.25" thickBot="1">
      <c r="A68" s="2094"/>
      <c r="B68" s="2095"/>
      <c r="C68" s="2095"/>
      <c r="K68" s="2084"/>
      <c r="O68" s="2420" t="s">
        <v>2382</v>
      </c>
      <c r="P68" s="2421" t="s">
        <v>2413</v>
      </c>
      <c r="Q68" s="2422" t="e">
        <f ca="1">L61</f>
        <v>#DIV/0!</v>
      </c>
      <c r="R68" s="2425" t="s">
        <v>2415</v>
      </c>
    </row>
    <row r="69" spans="1:18" s="2057" customFormat="1" ht="21.75" thickBot="1">
      <c r="A69" s="2094"/>
      <c r="B69" s="2095"/>
      <c r="C69" s="2095"/>
      <c r="K69" s="2084"/>
      <c r="O69" s="2423" t="s">
        <v>2384</v>
      </c>
      <c r="P69" s="2421" t="s">
        <v>2414</v>
      </c>
      <c r="Q69" s="2427">
        <f ca="1">L52</f>
        <v>0</v>
      </c>
      <c r="R69" s="2428" t="s">
        <v>2417</v>
      </c>
    </row>
    <row r="70" spans="1:18" s="2057" customFormat="1" ht="20.25" thickBot="1">
      <c r="A70" s="2094"/>
      <c r="B70" s="2095"/>
      <c r="C70" s="2095"/>
      <c r="K70" s="2084"/>
      <c r="O70" s="2423" t="s">
        <v>2385</v>
      </c>
      <c r="P70" s="2429" t="s">
        <v>2399</v>
      </c>
      <c r="Q70" s="2422">
        <f ca="1">ROUND(Q71-Q72*Q73,0)</f>
        <v>0</v>
      </c>
      <c r="R70" s="2425"/>
    </row>
    <row r="71" spans="1:18" s="2057" customFormat="1" ht="15.75" thickBot="1">
      <c r="A71" s="2094"/>
      <c r="B71" s="2095"/>
      <c r="C71" s="2095"/>
      <c r="K71" s="2084"/>
      <c r="O71" s="2423" t="s">
        <v>2400</v>
      </c>
      <c r="P71" s="2429" t="s">
        <v>2401</v>
      </c>
      <c r="Q71" s="2422">
        <f ca="1">C42</f>
        <v>0</v>
      </c>
      <c r="R71" s="2421" t="s">
        <v>2381</v>
      </c>
    </row>
    <row r="72" spans="1:18" s="2057" customFormat="1" ht="15.75" thickBot="1">
      <c r="A72" s="2094"/>
      <c r="B72" s="2095"/>
      <c r="C72" s="2095"/>
      <c r="K72" s="2084"/>
      <c r="O72" s="2423" t="s">
        <v>2402</v>
      </c>
      <c r="P72" s="2429" t="s">
        <v>2403</v>
      </c>
      <c r="Q72" s="2422">
        <f ca="1">C15</f>
        <v>0</v>
      </c>
      <c r="R72" s="2421" t="s">
        <v>2381</v>
      </c>
    </row>
    <row r="73" spans="1:18" s="2057" customFormat="1" ht="15.75" thickBot="1">
      <c r="A73" s="2094"/>
      <c r="B73" s="2095"/>
      <c r="C73" s="2095"/>
      <c r="K73" s="2084"/>
      <c r="O73" s="2423" t="s">
        <v>2404</v>
      </c>
      <c r="P73" s="2429" t="s">
        <v>2405</v>
      </c>
      <c r="Q73" s="2424">
        <f ca="1">F43</f>
        <v>0</v>
      </c>
      <c r="R73" s="2425"/>
    </row>
    <row r="74" spans="1:18" s="2057" customFormat="1" ht="15.75" thickBot="1">
      <c r="A74" s="2094"/>
      <c r="B74" s="2095"/>
      <c r="C74" s="2095"/>
      <c r="K74" s="2084"/>
      <c r="O74" s="2423" t="s">
        <v>2387</v>
      </c>
      <c r="P74" s="2421" t="s">
        <v>2394</v>
      </c>
      <c r="Q74" s="2424">
        <f>L53</f>
        <v>0</v>
      </c>
      <c r="R74" s="2425"/>
    </row>
    <row r="75" spans="1:18" s="2057" customFormat="1" ht="20.25" thickBot="1">
      <c r="A75" s="2094"/>
      <c r="B75" s="2095"/>
      <c r="C75" s="2095"/>
      <c r="K75" s="2084"/>
      <c r="O75" s="2423" t="s">
        <v>2389</v>
      </c>
      <c r="P75" s="2421" t="s">
        <v>2395</v>
      </c>
      <c r="Q75" s="2422">
        <f ca="1">L59</f>
        <v>0</v>
      </c>
      <c r="R75" s="2425" t="s">
        <v>2396</v>
      </c>
    </row>
    <row r="76" spans="1:18" s="2057" customFormat="1" ht="20.25" thickBot="1">
      <c r="A76" s="2094"/>
      <c r="B76" s="2095"/>
      <c r="C76" s="2095"/>
      <c r="K76" s="2084"/>
      <c r="O76" s="2423" t="s">
        <v>2418</v>
      </c>
      <c r="P76" s="2421" t="s">
        <v>2397</v>
      </c>
      <c r="Q76" s="2422">
        <f ca="1">L60</f>
        <v>0</v>
      </c>
      <c r="R76" s="2425" t="s">
        <v>2398</v>
      </c>
    </row>
    <row r="77" spans="1:18" s="2057" customFormat="1" ht="15.75" thickBot="1">
      <c r="A77" s="2094"/>
      <c r="B77" s="2095"/>
      <c r="C77" s="2095"/>
      <c r="K77" s="2084"/>
      <c r="O77" s="2420" t="s">
        <v>2392</v>
      </c>
      <c r="P77" s="2421" t="s">
        <v>2409</v>
      </c>
      <c r="Q77" s="2422" t="e">
        <f ca="1">Q67+Q68</f>
        <v>#DIV/0!</v>
      </c>
      <c r="R77" s="2425"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62" t="s">
        <v>2577</v>
      </c>
      <c r="C1" s="3462"/>
      <c r="D1" s="3462"/>
      <c r="E1" s="3462"/>
      <c r="F1" s="3462"/>
      <c r="G1" s="3461" t="s">
        <v>2578</v>
      </c>
      <c r="H1" s="3461"/>
      <c r="I1" s="3461"/>
      <c r="J1" s="3461"/>
      <c r="K1" s="3461"/>
      <c r="L1" s="3461"/>
      <c r="N1" s="3461" t="s">
        <v>2579</v>
      </c>
      <c r="O1" s="3461"/>
      <c r="P1" s="3461"/>
      <c r="Q1" s="3461"/>
      <c r="R1" s="2676"/>
      <c r="S1" s="3461" t="s">
        <v>2580</v>
      </c>
      <c r="T1" s="3461"/>
      <c r="U1" s="3461"/>
      <c r="V1" s="3461"/>
      <c r="X1" s="3460" t="s">
        <v>2640</v>
      </c>
      <c r="Y1" s="3461"/>
      <c r="Z1" s="3461"/>
      <c r="AA1" s="3461"/>
      <c r="AB1" s="3461"/>
      <c r="AD1" s="3460" t="s">
        <v>2644</v>
      </c>
      <c r="AE1" s="3461"/>
      <c r="AF1" s="3461"/>
      <c r="AG1" s="3461"/>
      <c r="AH1" s="3461"/>
    </row>
    <row r="2" spans="1:34" s="2778" customFormat="1" ht="14.25" thickBot="1">
      <c r="B2" s="2786" t="s">
        <v>2581</v>
      </c>
      <c r="C2" s="2786" t="s">
        <v>2642</v>
      </c>
      <c r="D2" s="2779" t="s">
        <v>1644</v>
      </c>
      <c r="E2" s="2779" t="s">
        <v>1951</v>
      </c>
      <c r="F2" s="2786" t="s">
        <v>2643</v>
      </c>
      <c r="G2" s="2782"/>
      <c r="H2" s="2781"/>
      <c r="I2" s="2786" t="s">
        <v>2958</v>
      </c>
      <c r="J2" s="2779" t="s">
        <v>2960</v>
      </c>
      <c r="K2" s="2779" t="s">
        <v>2961</v>
      </c>
      <c r="L2" s="2786" t="s">
        <v>2962</v>
      </c>
      <c r="N2" s="2786" t="s">
        <v>2581</v>
      </c>
      <c r="O2" s="2779" t="s">
        <v>2959</v>
      </c>
      <c r="P2" s="2779" t="s">
        <v>1951</v>
      </c>
      <c r="Q2" s="2786" t="s">
        <v>2643</v>
      </c>
      <c r="R2" s="2780"/>
      <c r="S2" s="2786" t="s">
        <v>2581</v>
      </c>
      <c r="T2" s="2779" t="s">
        <v>2959</v>
      </c>
      <c r="U2" s="2779" t="s">
        <v>1951</v>
      </c>
      <c r="V2" s="2786" t="s">
        <v>2643</v>
      </c>
      <c r="X2" s="2786" t="s">
        <v>2581</v>
      </c>
      <c r="Y2" s="2786" t="s">
        <v>2642</v>
      </c>
      <c r="Z2" s="2779" t="s">
        <v>1644</v>
      </c>
      <c r="AA2" s="2779" t="s">
        <v>1951</v>
      </c>
      <c r="AB2" s="2786" t="s">
        <v>2643</v>
      </c>
      <c r="AD2" s="2786" t="s">
        <v>2581</v>
      </c>
      <c r="AE2" s="2786" t="s">
        <v>2642</v>
      </c>
      <c r="AF2" s="2779" t="s">
        <v>1644</v>
      </c>
      <c r="AG2" s="2779" t="s">
        <v>1951</v>
      </c>
      <c r="AH2" s="2786" t="s">
        <v>2643</v>
      </c>
    </row>
    <row r="3" spans="1:34" s="3162" customFormat="1" ht="14.25">
      <c r="A3" s="3174" t="s">
        <v>2971</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1" customFormat="1" ht="14.25">
      <c r="B4" s="2772"/>
      <c r="C4" s="2772"/>
      <c r="D4" s="2773"/>
      <c r="E4" s="2773"/>
      <c r="F4" s="2772"/>
      <c r="G4" s="2777"/>
      <c r="H4" s="2774"/>
      <c r="I4" s="3155"/>
      <c r="J4" s="3155"/>
      <c r="K4" s="3155"/>
      <c r="L4" s="3155"/>
      <c r="N4" s="2777"/>
      <c r="O4" s="2775"/>
      <c r="P4" s="2775"/>
      <c r="Q4" s="2775"/>
      <c r="R4" s="2775"/>
      <c r="S4" s="2777"/>
      <c r="T4" s="2775"/>
      <c r="U4" s="2775"/>
      <c r="V4" s="2775"/>
      <c r="W4" s="3171"/>
      <c r="X4" s="2776"/>
      <c r="Y4" s="2776"/>
      <c r="Z4" s="2776"/>
      <c r="AA4" s="2776"/>
      <c r="AB4" s="2776"/>
      <c r="AD4" s="2696"/>
      <c r="AE4" s="2696"/>
      <c r="AF4" s="2696"/>
      <c r="AG4" s="2696"/>
      <c r="AH4" s="2696"/>
    </row>
    <row r="5" spans="1:34" s="3141" customFormat="1">
      <c r="A5" s="3139"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0">
        <v>2</v>
      </c>
      <c r="I5" s="3156">
        <v>0</v>
      </c>
      <c r="J5" s="3156">
        <v>0</v>
      </c>
      <c r="K5" s="3156">
        <v>0</v>
      </c>
      <c r="L5" s="3156">
        <v>0</v>
      </c>
      <c r="N5" s="2784">
        <f t="shared" ref="N5" si="6">I5/100</f>
        <v>0</v>
      </c>
      <c r="O5" s="2784">
        <f t="shared" ref="O5" si="7">J5/100</f>
        <v>0</v>
      </c>
      <c r="P5" s="2784">
        <f t="shared" ref="P5" si="8">K5/100</f>
        <v>0</v>
      </c>
      <c r="Q5" s="2784">
        <f t="shared" ref="Q5" si="9">L5/100</f>
        <v>0</v>
      </c>
      <c r="R5" s="3142"/>
      <c r="S5" s="3143"/>
      <c r="T5" s="3142"/>
      <c r="U5" s="3142"/>
      <c r="V5" s="3142"/>
      <c r="W5" s="3172" t="s">
        <v>2972</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1">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6">
        <v>439</v>
      </c>
      <c r="C7" s="3176">
        <v>327</v>
      </c>
      <c r="D7" s="3176">
        <f t="shared" si="13"/>
        <v>327</v>
      </c>
      <c r="E7" s="3176">
        <v>627</v>
      </c>
      <c r="F7" s="3177">
        <v>283</v>
      </c>
      <c r="G7" s="3159">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1"/>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2582</v>
      </c>
      <c r="B9" s="2691">
        <f t="shared" si="25"/>
        <v>419.31181600000002</v>
      </c>
      <c r="C9" s="2691">
        <f t="shared" si="25"/>
        <v>313.95436800000004</v>
      </c>
      <c r="D9" s="2691">
        <f t="shared" si="13"/>
        <v>313.95436800000004</v>
      </c>
      <c r="E9" s="2691">
        <f t="shared" si="26"/>
        <v>596.63028431999999</v>
      </c>
      <c r="F9" s="2691">
        <f t="shared" si="26"/>
        <v>274.74220703999998</v>
      </c>
      <c r="G9" s="3160"/>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2583</v>
      </c>
      <c r="B10" s="2691">
        <f t="shared" si="25"/>
        <v>405.524</v>
      </c>
      <c r="C10" s="2691">
        <f t="shared" si="25"/>
        <v>307.79840000000002</v>
      </c>
      <c r="D10" s="2691">
        <f t="shared" si="13"/>
        <v>307.79840000000002</v>
      </c>
      <c r="E10" s="2691">
        <f t="shared" si="26"/>
        <v>574.67759999999998</v>
      </c>
      <c r="F10" s="2691">
        <f t="shared" si="26"/>
        <v>270.20280000000002</v>
      </c>
      <c r="G10" s="3161"/>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970</v>
      </c>
      <c r="B11" s="2683">
        <v>392</v>
      </c>
      <c r="C11" s="2683">
        <v>302</v>
      </c>
      <c r="D11" s="2683">
        <f t="shared" si="13"/>
        <v>302</v>
      </c>
      <c r="E11" s="2683">
        <v>553</v>
      </c>
      <c r="F11" s="2684">
        <v>266</v>
      </c>
      <c r="G11" s="3469">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969</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64"/>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959</v>
      </c>
      <c r="B13" s="2691">
        <f t="shared" si="34"/>
        <v>360.06949782209392</v>
      </c>
      <c r="C13" s="2691">
        <f t="shared" si="34"/>
        <v>289.84672674747821</v>
      </c>
      <c r="D13" s="2691">
        <f t="shared" si="35"/>
        <v>289.84672674747821</v>
      </c>
      <c r="E13" s="2691">
        <f t="shared" si="36"/>
        <v>501.06543001181495</v>
      </c>
      <c r="F13" s="2691">
        <f t="shared" si="36"/>
        <v>256.82882500744967</v>
      </c>
      <c r="G13" s="3464"/>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968</v>
      </c>
      <c r="B14" s="2691">
        <f t="shared" si="34"/>
        <v>346.720748986128</v>
      </c>
      <c r="C14" s="2691">
        <f t="shared" si="34"/>
        <v>284.30282172386285</v>
      </c>
      <c r="D14" s="2691">
        <f t="shared" si="35"/>
        <v>284.30282172386285</v>
      </c>
      <c r="E14" s="2691">
        <f t="shared" si="36"/>
        <v>479.58023546306947</v>
      </c>
      <c r="F14" s="2691">
        <f t="shared" si="36"/>
        <v>253.25788877571213</v>
      </c>
      <c r="G14" s="3465"/>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967</v>
      </c>
      <c r="B15" s="2683">
        <v>333</v>
      </c>
      <c r="C15" s="2683">
        <v>277</v>
      </c>
      <c r="D15" s="2683">
        <f t="shared" si="35"/>
        <v>277</v>
      </c>
      <c r="E15" s="2683">
        <v>459</v>
      </c>
      <c r="F15" s="2684">
        <v>249</v>
      </c>
      <c r="G15" s="3463">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966</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64"/>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965</v>
      </c>
      <c r="B17" s="2691">
        <f t="shared" si="38"/>
        <v>322.34053690220776</v>
      </c>
      <c r="C17" s="2691">
        <f t="shared" si="38"/>
        <v>271.46160770422546</v>
      </c>
      <c r="D17" s="2691">
        <f t="shared" si="35"/>
        <v>271.46160770422546</v>
      </c>
      <c r="E17" s="2691">
        <f t="shared" si="39"/>
        <v>442.69434542172456</v>
      </c>
      <c r="F17" s="2691">
        <f t="shared" si="39"/>
        <v>241.34030753190925</v>
      </c>
      <c r="G17" s="3464"/>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964</v>
      </c>
      <c r="B18" s="2691">
        <f t="shared" si="38"/>
        <v>319.87748030386797</v>
      </c>
      <c r="C18" s="2691">
        <f t="shared" si="38"/>
        <v>269.60135833173649</v>
      </c>
      <c r="D18" s="2691">
        <f t="shared" si="35"/>
        <v>269.60135833173649</v>
      </c>
      <c r="E18" s="2691">
        <f t="shared" si="39"/>
        <v>439.18089823583784</v>
      </c>
      <c r="F18" s="2691">
        <f t="shared" si="39"/>
        <v>239.23503918706311</v>
      </c>
      <c r="G18" s="3465"/>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963</v>
      </c>
      <c r="B19" s="2705">
        <v>318</v>
      </c>
      <c r="C19" s="2705">
        <v>268</v>
      </c>
      <c r="D19" s="2705">
        <f t="shared" si="35"/>
        <v>268</v>
      </c>
      <c r="E19" s="2705">
        <v>437</v>
      </c>
      <c r="F19" s="2706">
        <v>237</v>
      </c>
      <c r="G19" s="3463">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962</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64"/>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961</v>
      </c>
      <c r="B21" s="2691">
        <f t="shared" si="40"/>
        <v>314.72141172386546</v>
      </c>
      <c r="C21" s="2691">
        <f t="shared" si="40"/>
        <v>263.03901319069001</v>
      </c>
      <c r="D21" s="2691">
        <f t="shared" si="35"/>
        <v>263.03901319069001</v>
      </c>
      <c r="E21" s="2691">
        <f t="shared" si="41"/>
        <v>433.65745506782821</v>
      </c>
      <c r="F21" s="2691">
        <f t="shared" si="41"/>
        <v>233.23005080045735</v>
      </c>
      <c r="G21" s="3464"/>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960</v>
      </c>
      <c r="B22" s="2710">
        <f t="shared" si="40"/>
        <v>307.34512863658733</v>
      </c>
      <c r="C22" s="2710">
        <f t="shared" si="40"/>
        <v>257.80556031626975</v>
      </c>
      <c r="D22" s="2710">
        <f t="shared" si="35"/>
        <v>257.80556031626975</v>
      </c>
      <c r="E22" s="2710">
        <f t="shared" si="41"/>
        <v>422.70928459677179</v>
      </c>
      <c r="F22" s="2710">
        <f t="shared" si="41"/>
        <v>229.73803270336617</v>
      </c>
      <c r="G22" s="3465"/>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2641</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2584</v>
      </c>
      <c r="B23" s="2683">
        <v>299</v>
      </c>
      <c r="C23" s="2683">
        <v>252</v>
      </c>
      <c r="D23" s="2683">
        <f t="shared" si="35"/>
        <v>252</v>
      </c>
      <c r="E23" s="2683">
        <v>409</v>
      </c>
      <c r="F23" s="2684">
        <v>227</v>
      </c>
      <c r="G23" s="3466">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2585</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67"/>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2586</v>
      </c>
      <c r="B25" s="2691">
        <f t="shared" si="44"/>
        <v>288.2649053828776</v>
      </c>
      <c r="C25" s="2691">
        <f t="shared" si="44"/>
        <v>243.64564425013293</v>
      </c>
      <c r="D25" s="2691">
        <f t="shared" si="35"/>
        <v>243.64564425013293</v>
      </c>
      <c r="E25" s="2691">
        <f t="shared" si="45"/>
        <v>393.31080825986544</v>
      </c>
      <c r="F25" s="2691">
        <f t="shared" si="45"/>
        <v>223.07903790551154</v>
      </c>
      <c r="G25" s="3467"/>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2587</v>
      </c>
      <c r="B26" s="2691">
        <f t="shared" si="44"/>
        <v>282.50186729015837</v>
      </c>
      <c r="C26" s="2691">
        <f t="shared" si="44"/>
        <v>238.09796174155468</v>
      </c>
      <c r="D26" s="2691">
        <f t="shared" si="35"/>
        <v>238.09796174155468</v>
      </c>
      <c r="E26" s="2691">
        <f t="shared" si="45"/>
        <v>385.33438646014054</v>
      </c>
      <c r="F26" s="2691">
        <f t="shared" si="45"/>
        <v>221.55034055567739</v>
      </c>
      <c r="G26" s="3468"/>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2588</v>
      </c>
      <c r="B27" s="2721">
        <v>278</v>
      </c>
      <c r="C27" s="2721">
        <v>234</v>
      </c>
      <c r="D27" s="2721">
        <f t="shared" si="35"/>
        <v>234</v>
      </c>
      <c r="E27" s="2721">
        <v>379</v>
      </c>
      <c r="F27" s="2722">
        <v>220</v>
      </c>
      <c r="G27" s="3463">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2589</v>
      </c>
      <c r="B28" s="2691">
        <f>B27/(1+N27)</f>
        <v>275.49301357645425</v>
      </c>
      <c r="C28" s="2691">
        <f>C27/(1+O27)</f>
        <v>232.41954707985698</v>
      </c>
      <c r="D28" s="2691">
        <f t="shared" si="35"/>
        <v>232.41954707985698</v>
      </c>
      <c r="E28" s="2691">
        <f t="shared" ref="E28:F30" si="46">E27/(1+P27)</f>
        <v>375.32184591008121</v>
      </c>
      <c r="F28" s="2691">
        <f t="shared" si="46"/>
        <v>218.03766105054513</v>
      </c>
      <c r="G28" s="3464"/>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2590</v>
      </c>
      <c r="B29" s="2691">
        <f>B28/(1+N28)</f>
        <v>275.24529281292263</v>
      </c>
      <c r="C29" s="2691">
        <f>C28/(1+O28)</f>
        <v>231.74747938962707</v>
      </c>
      <c r="D29" s="2691">
        <f t="shared" si="35"/>
        <v>231.74747938962707</v>
      </c>
      <c r="E29" s="2691">
        <f t="shared" si="46"/>
        <v>375.35938184826603</v>
      </c>
      <c r="F29" s="2691">
        <f t="shared" si="46"/>
        <v>216.78033510692495</v>
      </c>
      <c r="G29" s="3464"/>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2591</v>
      </c>
      <c r="B30" s="2691">
        <f>B29/(1+N29)</f>
        <v>275.19025476197027</v>
      </c>
      <c r="C30" s="2723">
        <v>232</v>
      </c>
      <c r="D30" s="2723">
        <f t="shared" si="35"/>
        <v>232</v>
      </c>
      <c r="E30" s="2691">
        <f t="shared" si="46"/>
        <v>375.65990977608692</v>
      </c>
      <c r="F30" s="2691">
        <f t="shared" si="46"/>
        <v>214.12518283971252</v>
      </c>
      <c r="G30" s="3465"/>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2592</v>
      </c>
      <c r="B31" s="2683">
        <v>275</v>
      </c>
      <c r="C31" s="2683">
        <v>232</v>
      </c>
      <c r="D31" s="2683">
        <f t="shared" si="35"/>
        <v>232</v>
      </c>
      <c r="E31" s="2683">
        <v>376</v>
      </c>
      <c r="F31" s="2684">
        <v>213</v>
      </c>
      <c r="G31" s="3463">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2593</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64">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2594</v>
      </c>
      <c r="B33" s="2691">
        <f t="shared" si="47"/>
        <v>275.19335084830601</v>
      </c>
      <c r="C33" s="2691">
        <f t="shared" si="47"/>
        <v>230.18088050139744</v>
      </c>
      <c r="D33" s="2691">
        <f t="shared" si="35"/>
        <v>230.18088050139744</v>
      </c>
      <c r="E33" s="2691">
        <f t="shared" si="48"/>
        <v>377.58482925212331</v>
      </c>
      <c r="F33" s="2691">
        <f t="shared" si="48"/>
        <v>210.90687997847917</v>
      </c>
      <c r="G33" s="3464">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2595</v>
      </c>
      <c r="B34" s="2691">
        <f t="shared" si="47"/>
        <v>276.29854502841971</v>
      </c>
      <c r="C34" s="2691">
        <f t="shared" si="47"/>
        <v>229.79023709833027</v>
      </c>
      <c r="D34" s="2691">
        <f t="shared" si="35"/>
        <v>229.79023709833027</v>
      </c>
      <c r="E34" s="2691">
        <f t="shared" si="48"/>
        <v>379.78759731655936</v>
      </c>
      <c r="F34" s="2691">
        <f t="shared" si="48"/>
        <v>211.32953905659235</v>
      </c>
      <c r="G34" s="3465">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2596</v>
      </c>
      <c r="B35" s="2683">
        <v>269</v>
      </c>
      <c r="C35" s="2683">
        <v>221</v>
      </c>
      <c r="D35" s="2683">
        <f t="shared" si="35"/>
        <v>221</v>
      </c>
      <c r="E35" s="2683">
        <v>373</v>
      </c>
      <c r="F35" s="2684">
        <v>196</v>
      </c>
      <c r="G35" s="3463">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2597</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64">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2598</v>
      </c>
      <c r="B37" s="2691">
        <f t="shared" si="49"/>
        <v>242.95398227588385</v>
      </c>
      <c r="C37" s="2691">
        <f t="shared" si="49"/>
        <v>199.59137053614126</v>
      </c>
      <c r="D37" s="2691">
        <f t="shared" si="35"/>
        <v>199.59137053614126</v>
      </c>
      <c r="E37" s="2691">
        <f t="shared" si="50"/>
        <v>335.92189522342125</v>
      </c>
      <c r="F37" s="2691">
        <f t="shared" si="50"/>
        <v>183.10139991109489</v>
      </c>
      <c r="G37" s="3464">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2599</v>
      </c>
      <c r="B38" s="2691">
        <f t="shared" si="49"/>
        <v>232.06990378821649</v>
      </c>
      <c r="C38" s="2691">
        <f t="shared" si="49"/>
        <v>192.74878854286936</v>
      </c>
      <c r="D38" s="2691">
        <f t="shared" si="35"/>
        <v>192.74878854286936</v>
      </c>
      <c r="E38" s="2691">
        <f t="shared" si="50"/>
        <v>319.71247284992984</v>
      </c>
      <c r="F38" s="2691">
        <f t="shared" si="50"/>
        <v>175.67053622862409</v>
      </c>
      <c r="G38" s="3465">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2600</v>
      </c>
      <c r="B39" s="2683">
        <v>220</v>
      </c>
      <c r="C39" s="2683">
        <v>187</v>
      </c>
      <c r="D39" s="2683">
        <f t="shared" si="35"/>
        <v>187</v>
      </c>
      <c r="E39" s="2683">
        <v>301</v>
      </c>
      <c r="F39" s="2684">
        <v>168</v>
      </c>
      <c r="G39" s="3463">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2601</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64">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2602</v>
      </c>
      <c r="B41" s="2691">
        <f t="shared" si="51"/>
        <v>210.630522469011</v>
      </c>
      <c r="C41" s="2691">
        <f t="shared" si="51"/>
        <v>181.69567812247232</v>
      </c>
      <c r="D41" s="2691">
        <f t="shared" si="35"/>
        <v>181.69567812247232</v>
      </c>
      <c r="E41" s="2691">
        <f t="shared" si="52"/>
        <v>286.13517466736738</v>
      </c>
      <c r="F41" s="2691">
        <f t="shared" si="52"/>
        <v>165.47535084591149</v>
      </c>
      <c r="G41" s="3464">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2603</v>
      </c>
      <c r="B42" s="2691">
        <f t="shared" si="51"/>
        <v>208.83454537875372</v>
      </c>
      <c r="C42" s="2691">
        <f t="shared" si="51"/>
        <v>183.77230517090351</v>
      </c>
      <c r="D42" s="2691">
        <f t="shared" si="35"/>
        <v>183.77230517090351</v>
      </c>
      <c r="E42" s="2691">
        <f t="shared" si="52"/>
        <v>281.10342338870947</v>
      </c>
      <c r="F42" s="2691">
        <f t="shared" si="52"/>
        <v>168.97309388942256</v>
      </c>
      <c r="G42" s="3465">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2604</v>
      </c>
      <c r="B43" s="2721">
        <v>214</v>
      </c>
      <c r="C43" s="2721">
        <v>188</v>
      </c>
      <c r="D43" s="2721">
        <f t="shared" si="35"/>
        <v>188</v>
      </c>
      <c r="E43" s="2721">
        <v>289</v>
      </c>
      <c r="F43" s="2722">
        <v>166</v>
      </c>
      <c r="G43" s="3463">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2605</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64">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2606</v>
      </c>
      <c r="B45" s="2691">
        <f t="shared" si="53"/>
        <v>206.31694671589116</v>
      </c>
      <c r="C45" s="2691">
        <f t="shared" si="53"/>
        <v>183.61041121036101</v>
      </c>
      <c r="D45" s="2691">
        <f t="shared" si="35"/>
        <v>183.61041121036101</v>
      </c>
      <c r="E45" s="2691">
        <f t="shared" si="54"/>
        <v>276.66850301795557</v>
      </c>
      <c r="F45" s="2691">
        <f t="shared" si="54"/>
        <v>165.1360938278614</v>
      </c>
      <c r="G45" s="3464">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2607</v>
      </c>
      <c r="B46" s="2724">
        <f t="shared" si="53"/>
        <v>196.62341248059772</v>
      </c>
      <c r="C46" s="2724">
        <f t="shared" si="53"/>
        <v>170.99125648199012</v>
      </c>
      <c r="D46" s="2724">
        <f t="shared" si="35"/>
        <v>170.99125648199012</v>
      </c>
      <c r="E46" s="2724">
        <f t="shared" si="54"/>
        <v>266.07857570490052</v>
      </c>
      <c r="F46" s="2724">
        <f t="shared" si="54"/>
        <v>154.53499328828505</v>
      </c>
      <c r="G46" s="3465">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2608</v>
      </c>
      <c r="B47" s="2683">
        <v>188</v>
      </c>
      <c r="C47" s="2683">
        <v>165</v>
      </c>
      <c r="D47" s="2683">
        <f t="shared" si="35"/>
        <v>165</v>
      </c>
      <c r="E47" s="2683">
        <v>254</v>
      </c>
      <c r="F47" s="2684">
        <v>148</v>
      </c>
      <c r="G47" s="3463">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2609</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64">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2610</v>
      </c>
      <c r="B49" s="2691">
        <f t="shared" si="57"/>
        <v>168.82017748715555</v>
      </c>
      <c r="C49" s="2691">
        <f t="shared" si="57"/>
        <v>148.06267029972753</v>
      </c>
      <c r="D49" s="2691">
        <f t="shared" si="35"/>
        <v>148.06267029972753</v>
      </c>
      <c r="E49" s="2691">
        <f t="shared" si="58"/>
        <v>216.46288379323747</v>
      </c>
      <c r="F49" s="2691">
        <f t="shared" si="58"/>
        <v>134.23529411764704</v>
      </c>
      <c r="G49" s="3464">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2611</v>
      </c>
      <c r="B50" s="2691">
        <f t="shared" si="57"/>
        <v>163.84913591779542</v>
      </c>
      <c r="C50" s="2691">
        <f t="shared" si="57"/>
        <v>145.0283378746594</v>
      </c>
      <c r="D50" s="2691">
        <f t="shared" si="35"/>
        <v>145.0283378746594</v>
      </c>
      <c r="E50" s="2691">
        <f t="shared" si="58"/>
        <v>204.95180722891567</v>
      </c>
      <c r="F50" s="2691">
        <f t="shared" si="58"/>
        <v>125.95920303605313</v>
      </c>
      <c r="G50" s="3465">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2612</v>
      </c>
      <c r="B51" s="2705">
        <v>159</v>
      </c>
      <c r="C51" s="2705">
        <v>141</v>
      </c>
      <c r="D51" s="2705">
        <f t="shared" si="35"/>
        <v>141</v>
      </c>
      <c r="E51" s="2705">
        <v>195</v>
      </c>
      <c r="F51" s="2706">
        <v>122</v>
      </c>
      <c r="G51" s="3463">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2613</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64">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2614</v>
      </c>
      <c r="B53" s="2691">
        <f t="shared" si="61"/>
        <v>146.57412060301507</v>
      </c>
      <c r="C53" s="2691">
        <f t="shared" si="61"/>
        <v>136.46831955922866</v>
      </c>
      <c r="D53" s="2691">
        <f t="shared" si="35"/>
        <v>136.46831955922866</v>
      </c>
      <c r="E53" s="2691">
        <f t="shared" si="62"/>
        <v>166.73864894795128</v>
      </c>
      <c r="F53" s="2691">
        <f t="shared" si="62"/>
        <v>115.05882352941177</v>
      </c>
      <c r="G53" s="3464">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2615</v>
      </c>
      <c r="B54" s="2691">
        <f t="shared" si="61"/>
        <v>144.04145728643215</v>
      </c>
      <c r="C54" s="2691">
        <f t="shared" si="61"/>
        <v>136.12396694214877</v>
      </c>
      <c r="D54" s="2691">
        <f t="shared" si="35"/>
        <v>136.12396694214877</v>
      </c>
      <c r="E54" s="2691">
        <f t="shared" si="62"/>
        <v>158.32225913621264</v>
      </c>
      <c r="F54" s="2691">
        <f t="shared" si="62"/>
        <v>114.04278074866311</v>
      </c>
      <c r="G54" s="3465">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2616</v>
      </c>
      <c r="B55" s="2705">
        <v>138</v>
      </c>
      <c r="C55" s="2705">
        <v>131</v>
      </c>
      <c r="D55" s="2705">
        <f t="shared" si="35"/>
        <v>131</v>
      </c>
      <c r="E55" s="2705">
        <v>155</v>
      </c>
      <c r="F55" s="2706">
        <v>114</v>
      </c>
      <c r="G55" s="3463">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2617</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64">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2618</v>
      </c>
      <c r="B57" s="2691">
        <f t="shared" si="65"/>
        <v>124.29032258064517</v>
      </c>
      <c r="C57" s="2691">
        <f t="shared" si="65"/>
        <v>123.8968609865471</v>
      </c>
      <c r="D57" s="2691">
        <f t="shared" si="35"/>
        <v>123.8968609865471</v>
      </c>
      <c r="E57" s="2691">
        <f t="shared" si="66"/>
        <v>138.00507614213197</v>
      </c>
      <c r="F57" s="2691">
        <f t="shared" si="66"/>
        <v>107.96106557377048</v>
      </c>
      <c r="G57" s="3464">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2619</v>
      </c>
      <c r="B58" s="2691">
        <f t="shared" si="65"/>
        <v>122.57204301075269</v>
      </c>
      <c r="C58" s="2691">
        <f t="shared" si="65"/>
        <v>123.4932735426009</v>
      </c>
      <c r="D58" s="2691">
        <f t="shared" si="35"/>
        <v>123.4932735426009</v>
      </c>
      <c r="E58" s="2691">
        <f t="shared" si="66"/>
        <v>129.82233502538071</v>
      </c>
      <c r="F58" s="2691">
        <f t="shared" si="66"/>
        <v>107.39446721311475</v>
      </c>
      <c r="G58" s="3465">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2620</v>
      </c>
      <c r="B59" s="2721">
        <v>121</v>
      </c>
      <c r="C59" s="2721">
        <v>122</v>
      </c>
      <c r="D59" s="2721">
        <f t="shared" si="35"/>
        <v>122</v>
      </c>
      <c r="E59" s="2721">
        <v>124</v>
      </c>
      <c r="F59" s="2722">
        <v>107</v>
      </c>
      <c r="G59" s="3463">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2621</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64">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2622</v>
      </c>
      <c r="B61" s="2691">
        <f t="shared" si="69"/>
        <v>116.99099099099099</v>
      </c>
      <c r="C61" s="2691">
        <f t="shared" si="69"/>
        <v>118.84848484848486</v>
      </c>
      <c r="D61" s="2691">
        <f t="shared" si="35"/>
        <v>118.84848484848486</v>
      </c>
      <c r="E61" s="2691">
        <f t="shared" si="70"/>
        <v>117.60960960960961</v>
      </c>
      <c r="F61" s="2691">
        <f t="shared" si="70"/>
        <v>104</v>
      </c>
      <c r="G61" s="3464">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2623</v>
      </c>
      <c r="B62" s="2724">
        <f t="shared" si="69"/>
        <v>112.48648648648648</v>
      </c>
      <c r="C62" s="2724">
        <f t="shared" si="69"/>
        <v>115.21212121212122</v>
      </c>
      <c r="D62" s="2724">
        <f t="shared" si="35"/>
        <v>115.21212121212122</v>
      </c>
      <c r="E62" s="2724">
        <f t="shared" si="70"/>
        <v>110.4024024024024</v>
      </c>
      <c r="F62" s="2724">
        <f t="shared" si="70"/>
        <v>104</v>
      </c>
      <c r="G62" s="3465">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2624</v>
      </c>
      <c r="B63" s="2742">
        <v>111</v>
      </c>
      <c r="C63" s="2742">
        <v>114</v>
      </c>
      <c r="D63" s="2742">
        <f t="shared" si="35"/>
        <v>114</v>
      </c>
      <c r="E63" s="2742">
        <v>108</v>
      </c>
      <c r="F63" s="2743">
        <v>104</v>
      </c>
      <c r="G63" s="3463">
        <v>2003</v>
      </c>
      <c r="H63" s="2732">
        <v>4</v>
      </c>
      <c r="I63" s="2744"/>
      <c r="J63" s="2744"/>
      <c r="K63" s="2744"/>
      <c r="L63" s="2744"/>
      <c r="N63" s="2745"/>
      <c r="O63" s="2744"/>
      <c r="P63" s="2744"/>
      <c r="Q63" s="2744"/>
      <c r="S63" s="2745"/>
      <c r="T63" s="2744"/>
      <c r="U63" s="2744"/>
      <c r="V63" s="2744"/>
      <c r="X63" s="2736"/>
      <c r="Y63" s="2736"/>
      <c r="Z63" s="2736"/>
    </row>
    <row r="64" spans="1:26">
      <c r="A64" s="2677" t="s">
        <v>2625</v>
      </c>
      <c r="B64" s="2746">
        <f t="shared" ref="B64:C66" si="71">B65+(B$63-B$67)/4</f>
        <v>109.75</v>
      </c>
      <c r="C64" s="2746">
        <f t="shared" si="71"/>
        <v>112.25</v>
      </c>
      <c r="D64" s="2746">
        <f t="shared" si="35"/>
        <v>112.25</v>
      </c>
      <c r="E64" s="2746">
        <f t="shared" ref="E64:F66" si="72">E65+(E$63-E$67)/4</f>
        <v>107.25</v>
      </c>
      <c r="F64" s="2746">
        <f t="shared" si="72"/>
        <v>103.5</v>
      </c>
      <c r="G64" s="3464">
        <v>2003</v>
      </c>
      <c r="H64" s="2702">
        <v>3</v>
      </c>
      <c r="I64" s="2744"/>
      <c r="J64" s="2744"/>
      <c r="K64" s="2744"/>
      <c r="L64" s="2744"/>
      <c r="X64" s="2736"/>
      <c r="Y64" s="2736"/>
      <c r="Z64" s="2736"/>
    </row>
    <row r="65" spans="1:26">
      <c r="A65" s="2677" t="s">
        <v>2626</v>
      </c>
      <c r="B65" s="2746">
        <f t="shared" si="71"/>
        <v>108.5</v>
      </c>
      <c r="C65" s="2746">
        <f t="shared" si="71"/>
        <v>110.5</v>
      </c>
      <c r="D65" s="2746">
        <f t="shared" si="35"/>
        <v>110.5</v>
      </c>
      <c r="E65" s="2746">
        <f t="shared" si="72"/>
        <v>106.5</v>
      </c>
      <c r="F65" s="2746">
        <f t="shared" si="72"/>
        <v>103</v>
      </c>
      <c r="G65" s="3464">
        <v>2003</v>
      </c>
      <c r="H65" s="2682">
        <v>2</v>
      </c>
      <c r="I65" s="2744"/>
      <c r="J65" s="2744"/>
      <c r="K65" s="2744"/>
      <c r="L65" s="2744"/>
      <c r="X65" s="2736"/>
      <c r="Y65" s="2736"/>
      <c r="Z65" s="2736"/>
    </row>
    <row r="66" spans="1:26" ht="13.5" thickBot="1">
      <c r="A66" s="2677" t="s">
        <v>2627</v>
      </c>
      <c r="B66" s="2746">
        <f t="shared" si="71"/>
        <v>107.25</v>
      </c>
      <c r="C66" s="2746">
        <f t="shared" si="71"/>
        <v>108.75</v>
      </c>
      <c r="D66" s="2746">
        <f t="shared" si="35"/>
        <v>108.75</v>
      </c>
      <c r="E66" s="2746">
        <f t="shared" si="72"/>
        <v>105.75</v>
      </c>
      <c r="F66" s="2746">
        <f t="shared" si="72"/>
        <v>102.5</v>
      </c>
      <c r="G66" s="3465">
        <v>2003</v>
      </c>
      <c r="H66" s="2747">
        <v>1</v>
      </c>
      <c r="I66" s="2744"/>
      <c r="J66" s="2744"/>
      <c r="K66" s="2744"/>
      <c r="L66" s="2744"/>
      <c r="S66" s="2686"/>
      <c r="T66" s="2687"/>
      <c r="U66" s="2687"/>
      <c r="X66" s="2736"/>
      <c r="Y66" s="2736"/>
      <c r="Z66" s="2736"/>
    </row>
    <row r="67" spans="1:26" ht="13.5" thickBot="1">
      <c r="A67" s="2677" t="s">
        <v>2628</v>
      </c>
      <c r="B67" s="2748">
        <v>106</v>
      </c>
      <c r="C67" s="2748">
        <v>107</v>
      </c>
      <c r="D67" s="2748">
        <f t="shared" si="35"/>
        <v>107</v>
      </c>
      <c r="E67" s="2748">
        <v>105</v>
      </c>
      <c r="F67" s="2749">
        <v>102</v>
      </c>
      <c r="G67" s="3463">
        <v>2002</v>
      </c>
      <c r="H67" s="2697">
        <v>4</v>
      </c>
      <c r="I67" s="2744"/>
      <c r="J67" s="2744"/>
      <c r="K67" s="2744"/>
      <c r="L67" s="2744"/>
      <c r="N67" s="2745"/>
      <c r="O67" s="2744"/>
      <c r="P67" s="2744"/>
      <c r="Q67" s="2744"/>
      <c r="S67" s="2745"/>
      <c r="T67" s="2744"/>
      <c r="U67" s="2744"/>
      <c r="V67" s="2744"/>
      <c r="X67" s="2736"/>
      <c r="Y67" s="2736"/>
      <c r="Z67" s="2736"/>
    </row>
    <row r="68" spans="1:26">
      <c r="A68" s="2677" t="s">
        <v>2629</v>
      </c>
      <c r="B68" s="2746">
        <f t="shared" ref="B68:C70" si="73">B69+(B$67-B$71)/4</f>
        <v>105</v>
      </c>
      <c r="C68" s="2746">
        <f t="shared" si="73"/>
        <v>106</v>
      </c>
      <c r="D68" s="2746">
        <f t="shared" si="35"/>
        <v>106</v>
      </c>
      <c r="E68" s="2746">
        <f t="shared" ref="E68:F70" si="74">E69+(E$67-E$71)/4</f>
        <v>104.5</v>
      </c>
      <c r="F68" s="2746">
        <f t="shared" si="74"/>
        <v>101.5</v>
      </c>
      <c r="G68" s="3464">
        <v>2002</v>
      </c>
      <c r="H68" s="2702">
        <v>3</v>
      </c>
      <c r="I68" s="2744"/>
      <c r="J68" s="2744"/>
      <c r="K68" s="2744"/>
      <c r="L68" s="2744"/>
      <c r="X68" s="2736"/>
      <c r="Y68" s="2736"/>
      <c r="Z68" s="2736"/>
    </row>
    <row r="69" spans="1:26">
      <c r="A69" s="2677" t="s">
        <v>2630</v>
      </c>
      <c r="B69" s="2746">
        <f t="shared" si="73"/>
        <v>104</v>
      </c>
      <c r="C69" s="2746">
        <f t="shared" si="73"/>
        <v>105</v>
      </c>
      <c r="D69" s="2746">
        <f t="shared" si="35"/>
        <v>105</v>
      </c>
      <c r="E69" s="2746">
        <f t="shared" si="74"/>
        <v>104</v>
      </c>
      <c r="F69" s="2746">
        <f t="shared" si="74"/>
        <v>101</v>
      </c>
      <c r="G69" s="3464">
        <v>2002</v>
      </c>
      <c r="H69" s="2682">
        <v>2</v>
      </c>
      <c r="I69" s="2744"/>
      <c r="J69" s="2744"/>
      <c r="K69" s="2744"/>
      <c r="L69" s="2744"/>
      <c r="X69" s="2736"/>
      <c r="Y69" s="2736"/>
      <c r="Z69" s="2736"/>
    </row>
    <row r="70" spans="1:26" s="2713" customFormat="1" ht="13.5" thickBot="1">
      <c r="A70" s="2709" t="s">
        <v>2631</v>
      </c>
      <c r="B70" s="2750">
        <f t="shared" si="73"/>
        <v>103</v>
      </c>
      <c r="C70" s="2750">
        <f t="shared" si="73"/>
        <v>104</v>
      </c>
      <c r="D70" s="2750">
        <f t="shared" si="35"/>
        <v>104</v>
      </c>
      <c r="E70" s="2750">
        <f t="shared" si="74"/>
        <v>103.5</v>
      </c>
      <c r="F70" s="2750">
        <f t="shared" si="74"/>
        <v>100.5</v>
      </c>
      <c r="G70" s="3465">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2632</v>
      </c>
      <c r="G73" s="2760"/>
      <c r="N73" s="2760"/>
      <c r="S73" s="2760"/>
    </row>
    <row r="74" spans="1:26" s="2759" customFormat="1">
      <c r="A74" s="2759" t="s">
        <v>2633</v>
      </c>
      <c r="G74" s="2760"/>
      <c r="N74" s="2760"/>
      <c r="S74" s="2760"/>
    </row>
    <row r="75" spans="1:26" s="2759" customFormat="1">
      <c r="A75" s="2759" t="s">
        <v>2634</v>
      </c>
      <c r="G75" s="2760"/>
      <c r="I75" s="2761"/>
      <c r="J75" s="2761"/>
      <c r="K75" s="2761"/>
      <c r="L75" s="2761"/>
      <c r="N75" s="2762"/>
      <c r="O75" s="2761"/>
      <c r="P75" s="2761"/>
      <c r="Q75" s="2761"/>
      <c r="S75" s="2762"/>
      <c r="T75" s="2761"/>
      <c r="U75" s="2761"/>
      <c r="V75" s="2761"/>
    </row>
    <row r="76" spans="1:26" s="2759" customFormat="1">
      <c r="A76" s="2759" t="s">
        <v>2635</v>
      </c>
      <c r="G76" s="2760"/>
      <c r="N76" s="2760"/>
      <c r="S76" s="2760"/>
    </row>
    <row r="83" spans="7:22" ht="13.5" thickBot="1"/>
    <row r="84" spans="7:22">
      <c r="G84" s="2685"/>
      <c r="S84" s="2763" t="s">
        <v>2636</v>
      </c>
      <c r="T84" s="2764" t="s">
        <v>2637</v>
      </c>
      <c r="U84" s="2764" t="s">
        <v>2638</v>
      </c>
      <c r="V84" s="2764" t="s">
        <v>2639</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大业信托有限责任公司：</v>
      </c>
    </row>
    <row r="4" spans="1:4" ht="56.25">
      <c r="A4" s="1789" t="str">
        <f>"受贵公司委托，我公司对"&amp;项目基本情况!K2&amp;项目基本情况!B9&amp;"进行了预评估。"</f>
        <v>受贵公司委托，我公司对安徽省来安县汊河新区长江大街西侧、明发北站新城北侧及黄高路东侧、明发北站新城北侧两宗住宅用地出让国有建设用地使用权抵押价格进行了预评估。</v>
      </c>
    </row>
    <row r="5" spans="1:4" ht="18.75">
      <c r="A5" s="1792" t="s">
        <v>1905</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来安裕泰房地产开发有限公司使用的、位于安徽省来安县汊河新区长江大街西侧、明发北站新城北侧及黄高路东侧、明发北站新城北侧两宗住宅用地出让国有建设用地使用权。根据《国有土地使用证》[]，估价对象（分摊）出让国有建设用地使用权面积为74959平方米。根据《建设工程规划许可证》[]、《出让合同》[]，估价对象规划建筑面积为191725平方米。</v>
      </c>
    </row>
    <row r="7" spans="1:4" ht="56.25">
      <c r="A7" s="1793" t="s">
        <v>2748</v>
      </c>
    </row>
    <row r="8" spans="1:4" ht="18.75">
      <c r="A8" s="1792" t="s">
        <v>1906</v>
      </c>
    </row>
    <row r="9" spans="1:4" ht="112.5">
      <c r="A9" s="1794" t="str">
        <f>IF(项目基本情况!B8="抵押",IF(项目基本情况!B5=项目基本情况!B6,定义!C51,定义!B51),定义!D51)</f>
        <v>来安裕泰房地产开发有限公司拟使用安徽省来安县汊河新区长江大街西侧、明发北站新城北侧及黄高路东侧、明发北站新城北侧两宗住宅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2018年5月19日（评估专业人员勘察现场之日）</v>
      </c>
    </row>
    <row r="12" spans="1:4" ht="18.75">
      <c r="A12" s="1795" t="s">
        <v>2025</v>
      </c>
    </row>
    <row r="13" spans="1:4" ht="18.75">
      <c r="A13" s="1789" t="s">
        <v>2943</v>
      </c>
    </row>
    <row r="14" spans="1:4" ht="37.5">
      <c r="A14" s="1789" t="str">
        <f>"根据"&amp;项目基本情况!F12&amp;"，本次评估估价对象证载（地类）用途为"&amp;项目基本情况!B12&amp;"。"</f>
        <v>根据《国有建设用地使用权出让合同》[电子监管号：3411222017B00982]及附件，本次评估估价对象证载（地类）用途为住宅、商业。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2073</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根据《国有土地使用证》[]，估价对象（分摊）出让国有建设用地使用权面积为74959平方米。根据《建设工程规划许可证》[]、《出让合同》[]，估价对象规划建筑面积为191725平方米。</v>
      </c>
    </row>
    <row r="21" spans="1:1" ht="18.75">
      <c r="A21" s="1789" t="s">
        <v>2074</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3411222017B00982]及附件证载土地终止日期为住宅2087年12月24日、商业2057年12月24日车库2067年12月24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5月19日，在规划利用条件下、设定土地开发程度为红线外“七通”、宗地内场地平整，设定用途为住宅、商业，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5" sqref="N5"/>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5" t="s">
        <v>719</v>
      </c>
      <c r="C1" s="2646" t="s">
        <v>720</v>
      </c>
      <c r="D1" s="2647" t="s">
        <v>3048</v>
      </c>
      <c r="E1" s="2648"/>
      <c r="F1" s="2829" t="s">
        <v>3060</v>
      </c>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1" t="s">
        <v>467</v>
      </c>
      <c r="B2" s="2644">
        <f>ROUND(B3*D3/10000,0)</f>
        <v>120606</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7" t="s">
        <v>519</v>
      </c>
      <c r="B3" s="849">
        <f>C49</f>
        <v>9707</v>
      </c>
      <c r="C3" s="850" t="s">
        <v>722</v>
      </c>
      <c r="D3" s="849">
        <f>SUMIF('数据-汇总表'!$C19:$C33,D1,'数据-汇总表'!$E19:$E33)</f>
        <v>124246.52</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0" t="s">
        <v>521</v>
      </c>
      <c r="B4" s="511"/>
      <c r="C4" s="3398" t="s">
        <v>522</v>
      </c>
      <c r="D4" s="3399"/>
      <c r="E4" s="3423" t="s">
        <v>523</v>
      </c>
      <c r="F4" s="3424"/>
      <c r="G4" s="3398" t="s">
        <v>524</v>
      </c>
      <c r="H4" s="3399"/>
      <c r="I4" s="3398" t="s">
        <v>525</v>
      </c>
      <c r="J4" s="3399"/>
      <c r="K4" s="851"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381" t="s">
        <v>524</v>
      </c>
      <c r="AC4" s="3381" t="s">
        <v>525</v>
      </c>
    </row>
    <row r="5" spans="1:29" ht="15.75" thickBot="1">
      <c r="A5" s="513"/>
      <c r="B5" s="514"/>
      <c r="C5" s="3427" t="s">
        <v>2929</v>
      </c>
      <c r="D5" s="3410"/>
      <c r="E5" s="3470" t="s">
        <v>3057</v>
      </c>
      <c r="F5" s="3426"/>
      <c r="G5" s="3409" t="s">
        <v>3083</v>
      </c>
      <c r="H5" s="3410"/>
      <c r="I5" s="3409" t="s">
        <v>3084</v>
      </c>
      <c r="J5" s="3410"/>
      <c r="K5" s="852"/>
      <c r="L5" s="2131"/>
      <c r="M5" s="2132"/>
      <c r="N5" s="2132"/>
      <c r="O5" s="2132"/>
      <c r="P5" s="3402"/>
      <c r="Q5" s="3403"/>
      <c r="R5" s="3388"/>
      <c r="S5" s="3389"/>
      <c r="T5" s="3388"/>
      <c r="U5" s="3389"/>
      <c r="V5" s="3406"/>
      <c r="W5" s="3406"/>
      <c r="X5" s="1565"/>
      <c r="Y5" s="3388"/>
      <c r="Z5" s="3389"/>
      <c r="AA5" s="3382"/>
      <c r="AB5" s="3382"/>
      <c r="AC5" s="3382"/>
    </row>
    <row r="6" spans="1:29" ht="15.75" hidden="1" thickBot="1">
      <c r="A6" s="515"/>
      <c r="B6" s="516"/>
      <c r="C6" s="3407" t="s">
        <v>2933</v>
      </c>
      <c r="D6" s="3408"/>
      <c r="E6" s="3428" t="s">
        <v>2933</v>
      </c>
      <c r="F6" s="3429"/>
      <c r="G6" s="3407" t="s">
        <v>2933</v>
      </c>
      <c r="H6" s="3408"/>
      <c r="I6" s="3407" t="s">
        <v>2933</v>
      </c>
      <c r="J6" s="3408"/>
      <c r="K6" s="852"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934"/>
      <c r="B7" s="2941" t="s">
        <v>529</v>
      </c>
      <c r="C7" s="517">
        <f>'数据-取费表'!B2</f>
        <v>43239</v>
      </c>
      <c r="D7" s="518">
        <v>100</v>
      </c>
      <c r="E7" s="519">
        <v>43230</v>
      </c>
      <c r="F7" s="520">
        <f>SUMIF(58:58,YEAR(E7)&amp;"-"&amp;MONTH(E7),59:59)</f>
        <v>100</v>
      </c>
      <c r="G7" s="521">
        <v>43239</v>
      </c>
      <c r="H7" s="518">
        <f>SUMIF(58:58,YEAR(G7)&amp;"-"&amp;MONTH(G7),59:59)</f>
        <v>100</v>
      </c>
      <c r="I7" s="521">
        <v>43238</v>
      </c>
      <c r="J7" s="518">
        <f>SUMIF(58:58,YEAR(I7)&amp;"-"&amp;MONTH(I7),59:59)</f>
        <v>100</v>
      </c>
      <c r="K7" s="853"/>
      <c r="L7" s="2133"/>
      <c r="M7" s="2134"/>
      <c r="N7" s="2134"/>
      <c r="O7" s="2134"/>
      <c r="P7" s="3384" t="s">
        <v>530</v>
      </c>
      <c r="Q7" s="3393"/>
      <c r="R7" s="1566" t="s">
        <v>13</v>
      </c>
      <c r="S7" s="1567">
        <f t="shared" ref="S7:S15" si="0">F7</f>
        <v>100</v>
      </c>
      <c r="T7" s="1566" t="s">
        <v>13</v>
      </c>
      <c r="U7" s="1567">
        <f t="shared" ref="U7:U15" si="1">H7</f>
        <v>100</v>
      </c>
      <c r="V7" s="1566" t="s">
        <v>13</v>
      </c>
      <c r="W7" s="1567">
        <f t="shared" ref="W7:W15" si="2">J7</f>
        <v>100</v>
      </c>
      <c r="X7" s="1568"/>
      <c r="Y7" s="3384" t="s">
        <v>530</v>
      </c>
      <c r="Z7" s="3385"/>
      <c r="AA7" s="1569">
        <f>D7/F7</f>
        <v>1</v>
      </c>
      <c r="AB7" s="1569">
        <f>D7/H7</f>
        <v>1</v>
      </c>
      <c r="AC7" s="1569">
        <f>D7/J7</f>
        <v>1</v>
      </c>
    </row>
    <row r="8" spans="1:29" s="1217" customFormat="1" ht="15.75" thickBot="1">
      <c r="A8" s="2935"/>
      <c r="B8" s="2942" t="s">
        <v>531</v>
      </c>
      <c r="C8" s="523" t="s">
        <v>576</v>
      </c>
      <c r="D8" s="518">
        <v>100</v>
      </c>
      <c r="E8" s="854" t="s">
        <v>3058</v>
      </c>
      <c r="F8" s="520">
        <f>SUMIF(61:61,E8,62:62)-SUMIF(61:61,C8,62:62)+100</f>
        <v>100</v>
      </c>
      <c r="G8" s="854" t="s">
        <v>3058</v>
      </c>
      <c r="H8" s="518">
        <f>SUMIF(61:61,G8,62:62)-SUMIF(61:61,C8,62:62)+100</f>
        <v>100</v>
      </c>
      <c r="I8" s="854" t="s">
        <v>3058</v>
      </c>
      <c r="J8" s="518">
        <f>SUMIF(61:61,I8,62:62)-SUMIF(61:61,C8,62:62)+100</f>
        <v>100</v>
      </c>
      <c r="K8" s="853"/>
      <c r="L8" s="2133"/>
      <c r="M8" s="2134"/>
      <c r="N8" s="2134"/>
      <c r="O8" s="2134"/>
      <c r="P8" s="3384" t="s">
        <v>533</v>
      </c>
      <c r="Q8" s="3385"/>
      <c r="R8" s="1566" t="s">
        <v>13</v>
      </c>
      <c r="S8" s="1567">
        <f t="shared" si="0"/>
        <v>100</v>
      </c>
      <c r="T8" s="1566" t="s">
        <v>13</v>
      </c>
      <c r="U8" s="1567">
        <f t="shared" si="1"/>
        <v>100</v>
      </c>
      <c r="V8" s="1566" t="s">
        <v>13</v>
      </c>
      <c r="W8" s="1567">
        <f t="shared" si="2"/>
        <v>100</v>
      </c>
      <c r="X8" s="1568"/>
      <c r="Y8" s="3384" t="s">
        <v>533</v>
      </c>
      <c r="Z8" s="3385"/>
      <c r="AA8" s="1569">
        <f t="shared" ref="AA8:AA46" si="3">D8/F8</f>
        <v>1</v>
      </c>
      <c r="AB8" s="1569">
        <f t="shared" ref="AB8:AB46" si="4">D8/H8</f>
        <v>1</v>
      </c>
      <c r="AC8" s="1569">
        <f t="shared" ref="AC8:AC46" si="5">D8/J8</f>
        <v>1</v>
      </c>
    </row>
    <row r="9" spans="1:29" s="1217" customFormat="1" ht="15">
      <c r="A9" s="2936"/>
      <c r="B9" s="2943" t="s">
        <v>2757</v>
      </c>
      <c r="C9" s="3193" t="s">
        <v>3059</v>
      </c>
      <c r="D9" s="252">
        <v>100</v>
      </c>
      <c r="E9" s="856" t="s">
        <v>922</v>
      </c>
      <c r="F9" s="857">
        <f>SUMIF(63:63,E9,64:64)-SUMIF(63:63,C9,64:64)+100</f>
        <v>100</v>
      </c>
      <c r="G9" s="856" t="s">
        <v>922</v>
      </c>
      <c r="H9" s="252">
        <f>SUMIF(63:63,G9,64:64)-SUMIF(63:63,C9,64:64)+100</f>
        <v>100</v>
      </c>
      <c r="I9" s="856" t="s">
        <v>922</v>
      </c>
      <c r="J9" s="252">
        <f>SUMIF(63:63,I9,64:64)-SUMIF(63:63,C9,64:64)+100</f>
        <v>100</v>
      </c>
      <c r="K9" s="853"/>
      <c r="L9" s="2133"/>
      <c r="M9" s="2134"/>
      <c r="N9" s="2134"/>
      <c r="O9" s="2135"/>
      <c r="P9" s="3392" t="s">
        <v>535</v>
      </c>
      <c r="Q9" s="1148" t="str">
        <f t="shared" ref="Q9:Q15" si="6">B9</f>
        <v>用途</v>
      </c>
      <c r="R9" s="1566" t="s">
        <v>8</v>
      </c>
      <c r="S9" s="1567">
        <f t="shared" si="0"/>
        <v>100</v>
      </c>
      <c r="T9" s="1566" t="s">
        <v>8</v>
      </c>
      <c r="U9" s="1567">
        <f t="shared" si="1"/>
        <v>100</v>
      </c>
      <c r="V9" s="1566" t="s">
        <v>8</v>
      </c>
      <c r="W9" s="1567">
        <f t="shared" si="2"/>
        <v>100</v>
      </c>
      <c r="X9" s="1568"/>
      <c r="Y9" s="3349" t="s">
        <v>536</v>
      </c>
      <c r="Z9" s="1147" t="str">
        <f t="shared" ref="Z9:Z15" si="7">Q9</f>
        <v>用途</v>
      </c>
      <c r="AA9" s="1569">
        <f t="shared" si="3"/>
        <v>1</v>
      </c>
      <c r="AB9" s="1569">
        <f t="shared" si="4"/>
        <v>1</v>
      </c>
      <c r="AC9" s="1569">
        <f t="shared" si="5"/>
        <v>1</v>
      </c>
    </row>
    <row r="10" spans="1:29" s="1335" customFormat="1" ht="27">
      <c r="A10" s="2937"/>
      <c r="B10" s="2942" t="s">
        <v>2758</v>
      </c>
      <c r="C10" s="859" t="s">
        <v>3082</v>
      </c>
      <c r="D10" s="253">
        <v>100</v>
      </c>
      <c r="E10" s="859" t="s">
        <v>3082</v>
      </c>
      <c r="F10" s="861">
        <f>SUMIF(65:65,E10,66:66)-SUMIF(65:65,C10,66:66)+100</f>
        <v>100</v>
      </c>
      <c r="G10" s="859" t="s">
        <v>3082</v>
      </c>
      <c r="H10" s="253">
        <f>SUMIF(65:65,G10,66:66)-SUMIF(65:65,C10,66:66)+100</f>
        <v>100</v>
      </c>
      <c r="I10" s="859" t="s">
        <v>3082</v>
      </c>
      <c r="J10" s="253">
        <f>SUMIF(65:65,I10,66:66)-SUMIF(65:65,C10,66:66)+100</f>
        <v>100</v>
      </c>
      <c r="K10" s="862">
        <v>2</v>
      </c>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9"/>
      <c r="Z10" s="1147" t="str">
        <f t="shared" si="7"/>
        <v>土地使用年限（年）</v>
      </c>
      <c r="AA10" s="1569">
        <f t="shared" si="3"/>
        <v>1</v>
      </c>
      <c r="AB10" s="1569">
        <f t="shared" si="4"/>
        <v>1</v>
      </c>
      <c r="AC10" s="1569">
        <f t="shared" si="5"/>
        <v>1</v>
      </c>
    </row>
    <row r="11" spans="1:29" ht="15.75" thickBot="1">
      <c r="A11" s="2938"/>
      <c r="B11" s="2942" t="s">
        <v>2759</v>
      </c>
      <c r="C11" s="531">
        <f>'数据-汇总表'!I7</f>
        <v>2</v>
      </c>
      <c r="D11" s="253">
        <v>100</v>
      </c>
      <c r="E11" s="532">
        <v>1</v>
      </c>
      <c r="F11" s="861">
        <f>LOOKUP(E11,68:68,69:69)-LOOKUP(C11,68:68,69:69)+100</f>
        <v>104</v>
      </c>
      <c r="G11" s="531">
        <v>1.85</v>
      </c>
      <c r="H11" s="253">
        <f>LOOKUP(G11,68:68,69:69)-LOOKUP(C11,68:68,69:69)+100</f>
        <v>102</v>
      </c>
      <c r="I11" s="531">
        <v>2.5</v>
      </c>
      <c r="J11" s="253">
        <f>LOOKUP(I11,68:68,69:69)-LOOKUP(C11,68:68,69:69)+100</f>
        <v>98</v>
      </c>
      <c r="K11" s="3205">
        <v>2</v>
      </c>
      <c r="L11" s="2138"/>
      <c r="M11" s="2132"/>
      <c r="N11" s="2132"/>
      <c r="O11" s="2139"/>
      <c r="P11" s="3392"/>
      <c r="Q11" s="1148" t="str">
        <f t="shared" si="6"/>
        <v>容积率</v>
      </c>
      <c r="R11" s="1566" t="s">
        <v>11</v>
      </c>
      <c r="S11" s="1567">
        <f t="shared" si="0"/>
        <v>104</v>
      </c>
      <c r="T11" s="1566" t="s">
        <v>11</v>
      </c>
      <c r="U11" s="1567">
        <f t="shared" si="1"/>
        <v>102</v>
      </c>
      <c r="V11" s="1566" t="s">
        <v>11</v>
      </c>
      <c r="W11" s="1567">
        <f t="shared" si="2"/>
        <v>98</v>
      </c>
      <c r="X11" s="1568"/>
      <c r="Y11" s="3349"/>
      <c r="Z11" s="1147" t="str">
        <f t="shared" si="7"/>
        <v>容积率</v>
      </c>
      <c r="AA11" s="1569">
        <f t="shared" si="3"/>
        <v>0.96153846153846156</v>
      </c>
      <c r="AB11" s="1569">
        <f t="shared" si="4"/>
        <v>0.98039215686274506</v>
      </c>
      <c r="AC11" s="1569">
        <f t="shared" si="5"/>
        <v>1.0204081632653061</v>
      </c>
    </row>
    <row r="12" spans="1:29" s="1217" customFormat="1" ht="15" hidden="1">
      <c r="A12" s="2939"/>
      <c r="B12" s="2945"/>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92"/>
      <c r="Q12" s="1148">
        <f t="shared" si="6"/>
        <v>0</v>
      </c>
      <c r="R12" s="1566" t="s">
        <v>11</v>
      </c>
      <c r="S12" s="1567">
        <f t="shared" si="0"/>
        <v>100</v>
      </c>
      <c r="T12" s="1566" t="s">
        <v>11</v>
      </c>
      <c r="U12" s="1567">
        <f t="shared" si="1"/>
        <v>100</v>
      </c>
      <c r="V12" s="1566" t="s">
        <v>11</v>
      </c>
      <c r="W12" s="1567">
        <f t="shared" si="2"/>
        <v>100</v>
      </c>
      <c r="X12" s="1568"/>
      <c r="Y12" s="3349"/>
      <c r="Z12" s="1147">
        <f t="shared" si="7"/>
        <v>0</v>
      </c>
      <c r="AA12" s="1569">
        <f>D12/F12</f>
        <v>1</v>
      </c>
      <c r="AB12" s="1569">
        <f>D12/H12</f>
        <v>1</v>
      </c>
      <c r="AC12" s="1569">
        <f>D12/J12</f>
        <v>1</v>
      </c>
    </row>
    <row r="13" spans="1:29" ht="15" hidden="1">
      <c r="A13" s="2939"/>
      <c r="B13" s="2945"/>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92"/>
      <c r="Q13" s="1148">
        <f t="shared" si="6"/>
        <v>0</v>
      </c>
      <c r="R13" s="1566" t="s">
        <v>11</v>
      </c>
      <c r="S13" s="1567">
        <f t="shared" si="0"/>
        <v>100</v>
      </c>
      <c r="T13" s="1566" t="s">
        <v>11</v>
      </c>
      <c r="U13" s="1567">
        <f t="shared" si="1"/>
        <v>100</v>
      </c>
      <c r="V13" s="1566" t="s">
        <v>11</v>
      </c>
      <c r="W13" s="1567">
        <f t="shared" si="2"/>
        <v>100</v>
      </c>
      <c r="X13" s="1568"/>
      <c r="Y13" s="3349"/>
      <c r="Z13" s="1147">
        <f t="shared" si="7"/>
        <v>0</v>
      </c>
      <c r="AA13" s="1569">
        <f t="shared" si="3"/>
        <v>1</v>
      </c>
      <c r="AB13" s="1569">
        <f t="shared" si="4"/>
        <v>1</v>
      </c>
      <c r="AC13" s="1569">
        <f t="shared" si="5"/>
        <v>1</v>
      </c>
    </row>
    <row r="14" spans="1:29" ht="15.75" hidden="1" thickBot="1">
      <c r="A14" s="2940"/>
      <c r="B14" s="2946"/>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92"/>
      <c r="Q14" s="1148">
        <f t="shared" si="6"/>
        <v>0</v>
      </c>
      <c r="R14" s="1566" t="s">
        <v>11</v>
      </c>
      <c r="S14" s="1567">
        <f t="shared" si="0"/>
        <v>100</v>
      </c>
      <c r="T14" s="1566" t="s">
        <v>11</v>
      </c>
      <c r="U14" s="1567">
        <f t="shared" si="1"/>
        <v>100</v>
      </c>
      <c r="V14" s="1566" t="s">
        <v>11</v>
      </c>
      <c r="W14" s="1567">
        <f t="shared" si="2"/>
        <v>100</v>
      </c>
      <c r="X14" s="1568"/>
      <c r="Y14" s="3349"/>
      <c r="Z14" s="1147">
        <f t="shared" si="7"/>
        <v>0</v>
      </c>
      <c r="AA14" s="1569">
        <f t="shared" si="3"/>
        <v>1</v>
      </c>
      <c r="AB14" s="1569">
        <f t="shared" si="4"/>
        <v>1</v>
      </c>
      <c r="AC14" s="1569">
        <f t="shared" si="5"/>
        <v>1</v>
      </c>
    </row>
    <row r="15" spans="1:29" ht="99.75">
      <c r="A15" s="2932" t="s">
        <v>2755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4</v>
      </c>
      <c r="L15" s="2140"/>
      <c r="M15" s="2132"/>
      <c r="N15" s="2132"/>
      <c r="O15" s="2139"/>
      <c r="P15" s="3394" t="s">
        <v>540</v>
      </c>
      <c r="Q15" s="1570" t="str">
        <f t="shared" si="6"/>
        <v>居住社区成熟度</v>
      </c>
      <c r="R15" s="1571" t="s">
        <v>11</v>
      </c>
      <c r="S15" s="1572">
        <f t="shared" si="0"/>
        <v>100</v>
      </c>
      <c r="T15" s="1571" t="s">
        <v>11</v>
      </c>
      <c r="U15" s="1572">
        <f t="shared" si="1"/>
        <v>100</v>
      </c>
      <c r="V15" s="1571" t="s">
        <v>11</v>
      </c>
      <c r="W15" s="1572">
        <f t="shared" si="2"/>
        <v>100</v>
      </c>
      <c r="X15" s="1565"/>
      <c r="Y15" s="3394" t="s">
        <v>540</v>
      </c>
      <c r="Z15" s="1573" t="str">
        <f t="shared" si="7"/>
        <v>居住社区成熟度</v>
      </c>
      <c r="AA15" s="1574">
        <f t="shared" si="3"/>
        <v>1</v>
      </c>
      <c r="AB15" s="1574">
        <f t="shared" si="4"/>
        <v>1</v>
      </c>
      <c r="AC15" s="1574">
        <f t="shared" si="5"/>
        <v>1</v>
      </c>
    </row>
    <row r="16" spans="1:29" ht="15">
      <c r="A16" s="530"/>
      <c r="B16" s="867"/>
      <c r="C16" s="574" t="s">
        <v>3017</v>
      </c>
      <c r="D16" s="553"/>
      <c r="E16" s="554" t="s">
        <v>3017</v>
      </c>
      <c r="F16" s="555"/>
      <c r="G16" s="554" t="s">
        <v>3017</v>
      </c>
      <c r="H16" s="557"/>
      <c r="I16" s="554" t="s">
        <v>3017</v>
      </c>
      <c r="J16" s="553"/>
      <c r="K16" s="868"/>
      <c r="L16" s="2140"/>
      <c r="M16" s="2132"/>
      <c r="N16" s="2132"/>
      <c r="O16" s="2139"/>
      <c r="P16" s="3395"/>
      <c r="Q16" s="1570"/>
      <c r="R16" s="1571"/>
      <c r="S16" s="1572"/>
      <c r="T16" s="1571"/>
      <c r="U16" s="1572"/>
      <c r="V16" s="1571"/>
      <c r="W16" s="1572"/>
      <c r="X16" s="1565"/>
      <c r="Y16" s="3395"/>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0"/>
      <c r="H17" s="563">
        <f>SUMIF(78:78,G18,79:79)-SUMIF(78:78,C18,79:79)+100</f>
        <v>100</v>
      </c>
      <c r="I17" s="560"/>
      <c r="J17" s="563">
        <f>SUMIF(78:78,I18,79:79)-SUMIF(78:78,C18,79:79)+100</f>
        <v>100</v>
      </c>
      <c r="K17" s="866">
        <v>3</v>
      </c>
      <c r="L17" s="2140" t="s">
        <v>3110</v>
      </c>
      <c r="M17" s="2132"/>
      <c r="N17" s="2132"/>
      <c r="O17" s="2139"/>
      <c r="P17" s="3395"/>
      <c r="Q17" s="1570" t="str">
        <f>B17</f>
        <v>交通便捷度</v>
      </c>
      <c r="R17" s="1571" t="s">
        <v>11</v>
      </c>
      <c r="S17" s="1572">
        <f>F17</f>
        <v>100</v>
      </c>
      <c r="T17" s="1571" t="s">
        <v>11</v>
      </c>
      <c r="U17" s="1572">
        <f>H17</f>
        <v>100</v>
      </c>
      <c r="V17" s="1571" t="s">
        <v>11</v>
      </c>
      <c r="W17" s="1572">
        <f>J17</f>
        <v>100</v>
      </c>
      <c r="X17" s="1565"/>
      <c r="Y17" s="3395"/>
      <c r="Z17" s="1573" t="str">
        <f>Q17</f>
        <v>交通便捷度</v>
      </c>
      <c r="AA17" s="1574">
        <f t="shared" si="3"/>
        <v>1</v>
      </c>
      <c r="AB17" s="1574">
        <f t="shared" si="4"/>
        <v>1</v>
      </c>
      <c r="AC17" s="1574">
        <f t="shared" si="5"/>
        <v>1</v>
      </c>
    </row>
    <row r="18" spans="1:29" ht="15">
      <c r="A18" s="530"/>
      <c r="B18" s="593"/>
      <c r="C18" s="871" t="s">
        <v>3017</v>
      </c>
      <c r="D18" s="557"/>
      <c r="E18" s="566" t="s">
        <v>3017</v>
      </c>
      <c r="F18" s="561"/>
      <c r="G18" s="566" t="s">
        <v>3017</v>
      </c>
      <c r="H18" s="553"/>
      <c r="I18" s="566" t="s">
        <v>3017</v>
      </c>
      <c r="J18" s="553"/>
      <c r="K18" s="868"/>
      <c r="L18" s="2140"/>
      <c r="M18" s="2132"/>
      <c r="N18" s="2132"/>
      <c r="O18" s="2139"/>
      <c r="P18" s="3395"/>
      <c r="Q18" s="1570"/>
      <c r="R18" s="1571"/>
      <c r="S18" s="1572"/>
      <c r="T18" s="1571"/>
      <c r="U18" s="1572"/>
      <c r="V18" s="1571"/>
      <c r="W18" s="1572"/>
      <c r="X18" s="1565"/>
      <c r="Y18" s="3395"/>
      <c r="Z18" s="1573"/>
      <c r="AA18" s="1574">
        <v>1</v>
      </c>
      <c r="AB18" s="1574">
        <v>1</v>
      </c>
      <c r="AC18" s="1574">
        <v>1</v>
      </c>
    </row>
    <row r="19" spans="1:29" ht="42.75">
      <c r="A19" s="530"/>
      <c r="B19" s="2622" t="s">
        <v>2547</v>
      </c>
      <c r="C19" s="870" t="str">
        <f>估价对象房地状况!C7</f>
        <v>估价对象所在区域公共配套设施齐备情况</v>
      </c>
      <c r="D19" s="563">
        <v>100</v>
      </c>
      <c r="E19" s="568"/>
      <c r="F19" s="569">
        <f>SUMIF(80:80,E20,81:81)-SUMIF(80:80,C20,81:81)+100</f>
        <v>100</v>
      </c>
      <c r="G19" s="568"/>
      <c r="H19" s="557">
        <f>SUMIF(80:80,G20,81:81)-SUMIF(80:80,C20,81:81)+100</f>
        <v>100</v>
      </c>
      <c r="I19" s="568"/>
      <c r="J19" s="557">
        <f>SUMIF(80:80,I20,81:81)-SUMIF(80:80,C20,81:81)+100</f>
        <v>100</v>
      </c>
      <c r="K19" s="866">
        <v>3</v>
      </c>
      <c r="L19" s="2140"/>
      <c r="M19" s="2132"/>
      <c r="N19" s="2132"/>
      <c r="O19" s="2139"/>
      <c r="P19" s="3395"/>
      <c r="Q19" s="1570" t="str">
        <f>B19</f>
        <v>公共配套设施</v>
      </c>
      <c r="R19" s="1571" t="s">
        <v>11</v>
      </c>
      <c r="S19" s="1572">
        <f>F19</f>
        <v>100</v>
      </c>
      <c r="T19" s="1571" t="s">
        <v>11</v>
      </c>
      <c r="U19" s="1572">
        <f>H19</f>
        <v>100</v>
      </c>
      <c r="V19" s="1571" t="s">
        <v>11</v>
      </c>
      <c r="W19" s="1572">
        <f>J19</f>
        <v>100</v>
      </c>
      <c r="X19" s="1565"/>
      <c r="Y19" s="3395"/>
      <c r="Z19" s="1573" t="str">
        <f>Q19</f>
        <v>公共配套设施</v>
      </c>
      <c r="AA19" s="1574">
        <f t="shared" si="3"/>
        <v>1</v>
      </c>
      <c r="AB19" s="1574">
        <f t="shared" si="4"/>
        <v>1</v>
      </c>
      <c r="AC19" s="1574">
        <f t="shared" si="5"/>
        <v>1</v>
      </c>
    </row>
    <row r="20" spans="1:29" ht="15">
      <c r="A20" s="530"/>
      <c r="B20" s="593"/>
      <c r="C20" s="574" t="s">
        <v>3017</v>
      </c>
      <c r="D20" s="553"/>
      <c r="E20" s="554" t="s">
        <v>3017</v>
      </c>
      <c r="F20" s="555"/>
      <c r="G20" s="554" t="s">
        <v>3017</v>
      </c>
      <c r="H20" s="553"/>
      <c r="I20" s="554" t="s">
        <v>3017</v>
      </c>
      <c r="J20" s="553"/>
      <c r="K20" s="868"/>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8.5">
      <c r="A21" s="530"/>
      <c r="B21" s="2615" t="s">
        <v>2559</v>
      </c>
      <c r="C21" s="870" t="str">
        <f>估价对象房地状况!C8</f>
        <v>估价对象所在区域基础设施水平</v>
      </c>
      <c r="D21" s="563">
        <v>100</v>
      </c>
      <c r="E21" s="570"/>
      <c r="F21" s="569">
        <f>SUMIF(82:82,E22,83:83)-SUMIF(82:82,C22,83:83)+100</f>
        <v>100</v>
      </c>
      <c r="G21" s="570"/>
      <c r="H21" s="563">
        <f>SUMIF(82:82,G22,83:83)-SUMIF(82:82,C22,83:83)+100</f>
        <v>100</v>
      </c>
      <c r="I21" s="570"/>
      <c r="J21" s="563">
        <f>SUMIF(82:82,I22,83:83)-SUMIF(82:82,C22,83:83)+100</f>
        <v>100</v>
      </c>
      <c r="K21" s="866">
        <v>3</v>
      </c>
      <c r="L21" s="2140"/>
      <c r="M21" s="2132"/>
      <c r="N21" s="2132"/>
      <c r="O21" s="2139"/>
      <c r="P21" s="3395"/>
      <c r="Q21" s="2601" t="str">
        <f>B21</f>
        <v>基础设施水平</v>
      </c>
      <c r="R21" s="1571" t="s">
        <v>11</v>
      </c>
      <c r="S21" s="1572">
        <f>F21</f>
        <v>100</v>
      </c>
      <c r="T21" s="1571" t="s">
        <v>11</v>
      </c>
      <c r="U21" s="1572">
        <f>H21</f>
        <v>100</v>
      </c>
      <c r="V21" s="1571" t="s">
        <v>11</v>
      </c>
      <c r="W21" s="1572">
        <f>J21</f>
        <v>100</v>
      </c>
      <c r="X21" s="2603"/>
      <c r="Y21" s="3395"/>
      <c r="Z21" s="2602" t="str">
        <f>Q21</f>
        <v>基础设施水平</v>
      </c>
      <c r="AA21" s="1574">
        <f t="shared" ref="AA21" si="8">D21/F21</f>
        <v>1</v>
      </c>
      <c r="AB21" s="1574">
        <f t="shared" ref="AB21" si="9">D21/H21</f>
        <v>1</v>
      </c>
      <c r="AC21" s="1574">
        <f t="shared" ref="AC21" si="10">D21/J21</f>
        <v>1</v>
      </c>
    </row>
    <row r="22" spans="1:29" ht="15">
      <c r="A22" s="530"/>
      <c r="B22" s="919"/>
      <c r="C22" s="871" t="s">
        <v>3019</v>
      </c>
      <c r="D22" s="553"/>
      <c r="E22" s="574" t="s">
        <v>3019</v>
      </c>
      <c r="F22" s="555"/>
      <c r="G22" s="574" t="s">
        <v>3019</v>
      </c>
      <c r="H22" s="553"/>
      <c r="I22" s="574" t="s">
        <v>3019</v>
      </c>
      <c r="J22" s="553"/>
      <c r="K22" s="2621"/>
      <c r="L22" s="2140"/>
      <c r="M22" s="2132"/>
      <c r="N22" s="2132"/>
      <c r="O22" s="2139"/>
      <c r="P22" s="3395"/>
      <c r="Q22" s="2601"/>
      <c r="R22" s="1571"/>
      <c r="S22" s="1572"/>
      <c r="T22" s="1571"/>
      <c r="U22" s="1572"/>
      <c r="V22" s="1571"/>
      <c r="W22" s="1572"/>
      <c r="X22" s="2603"/>
      <c r="Y22" s="3395"/>
      <c r="Z22" s="2602"/>
      <c r="AA22" s="1574">
        <v>1</v>
      </c>
      <c r="AB22" s="1574">
        <v>1</v>
      </c>
      <c r="AC22" s="1574">
        <v>1</v>
      </c>
    </row>
    <row r="23" spans="1:29" ht="57">
      <c r="A23" s="530"/>
      <c r="B23" s="869" t="s">
        <v>297</v>
      </c>
      <c r="C23" s="870" t="str">
        <f>估价对象房地状况!C9</f>
        <v>区域自然环境：；人文环境；综合评价环境状况一般</v>
      </c>
      <c r="D23" s="557">
        <v>100</v>
      </c>
      <c r="E23" s="560"/>
      <c r="F23" s="561">
        <f>SUMIF(84:84,E24,85:85)-SUMIF(84:84,C24,85:85)+100</f>
        <v>100</v>
      </c>
      <c r="G23" s="560"/>
      <c r="H23" s="557">
        <f>SUMIF(84:84,G24,85:85)-SUMIF(84:84,C24,85:85)+100</f>
        <v>100</v>
      </c>
      <c r="I23" s="560"/>
      <c r="J23" s="557">
        <f>SUMIF(84:84,I24,85:85)-SUMIF(84:84,C24,85:85)+100</f>
        <v>100</v>
      </c>
      <c r="K23" s="866">
        <v>2</v>
      </c>
      <c r="L23" s="2140"/>
      <c r="M23" s="2132"/>
      <c r="N23" s="2132"/>
      <c r="O23" s="2139"/>
      <c r="P23" s="3395"/>
      <c r="Q23" s="1570" t="str">
        <f>B23</f>
        <v>自然及人文环境</v>
      </c>
      <c r="R23" s="1571" t="s">
        <v>11</v>
      </c>
      <c r="S23" s="1572">
        <f>F23</f>
        <v>100</v>
      </c>
      <c r="T23" s="1571" t="s">
        <v>11</v>
      </c>
      <c r="U23" s="1572">
        <f>H23</f>
        <v>100</v>
      </c>
      <c r="V23" s="1571" t="s">
        <v>11</v>
      </c>
      <c r="W23" s="1572">
        <f>J23</f>
        <v>100</v>
      </c>
      <c r="X23" s="1565"/>
      <c r="Y23" s="3395"/>
      <c r="Z23" s="1573" t="str">
        <f>Q23</f>
        <v>自然及人文环境</v>
      </c>
      <c r="AA23" s="1574">
        <f t="shared" si="3"/>
        <v>1</v>
      </c>
      <c r="AB23" s="1574">
        <f t="shared" si="4"/>
        <v>1</v>
      </c>
      <c r="AC23" s="1574">
        <f t="shared" si="5"/>
        <v>1</v>
      </c>
    </row>
    <row r="24" spans="1:29" ht="15.75" thickBot="1">
      <c r="A24" s="530"/>
      <c r="B24" s="593"/>
      <c r="C24" s="574" t="s">
        <v>3017</v>
      </c>
      <c r="D24" s="553"/>
      <c r="E24" s="554" t="s">
        <v>3017</v>
      </c>
      <c r="F24" s="555"/>
      <c r="G24" s="554" t="s">
        <v>3017</v>
      </c>
      <c r="H24" s="553"/>
      <c r="I24" s="554" t="s">
        <v>3017</v>
      </c>
      <c r="J24" s="553"/>
      <c r="K24" s="868"/>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hidden="1">
      <c r="A25" s="530"/>
      <c r="B25" s="1893" t="s">
        <v>2256</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95"/>
      <c r="Q25" s="1570" t="str">
        <f t="shared" ref="Q25:Q46" si="11">B25</f>
        <v>楼层-1</v>
      </c>
      <c r="R25" s="1571" t="s">
        <v>11</v>
      </c>
      <c r="S25" s="1572">
        <f>F25</f>
        <v>100</v>
      </c>
      <c r="T25" s="1571" t="s">
        <v>11</v>
      </c>
      <c r="U25" s="1572">
        <f>H25</f>
        <v>100</v>
      </c>
      <c r="V25" s="1571" t="s">
        <v>11</v>
      </c>
      <c r="W25" s="1572">
        <f>J25</f>
        <v>100</v>
      </c>
      <c r="X25" s="1565"/>
      <c r="Y25" s="3395"/>
      <c r="Z25" s="1573" t="str">
        <f>Q25</f>
        <v>楼层-1</v>
      </c>
      <c r="AA25" s="1574">
        <f t="shared" si="3"/>
        <v>1</v>
      </c>
      <c r="AB25" s="1574">
        <f t="shared" si="4"/>
        <v>1</v>
      </c>
      <c r="AC25" s="1574">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95"/>
      <c r="Q26" s="1570" t="str">
        <f t="shared" si="11"/>
        <v>朝向</v>
      </c>
      <c r="R26" s="1571" t="s">
        <v>11</v>
      </c>
      <c r="S26" s="1572">
        <f>F26</f>
        <v>100</v>
      </c>
      <c r="T26" s="1571" t="s">
        <v>11</v>
      </c>
      <c r="U26" s="1572">
        <f>H26</f>
        <v>100</v>
      </c>
      <c r="V26" s="1571" t="s">
        <v>11</v>
      </c>
      <c r="W26" s="1572">
        <f>J26</f>
        <v>100</v>
      </c>
      <c r="X26" s="1565"/>
      <c r="Y26" s="3395"/>
      <c r="Z26" s="1573" t="str">
        <f>Q26</f>
        <v>朝向</v>
      </c>
      <c r="AA26" s="1574">
        <f t="shared" si="3"/>
        <v>1</v>
      </c>
      <c r="AB26" s="1574">
        <f t="shared" si="4"/>
        <v>1</v>
      </c>
      <c r="AC26" s="1574">
        <f t="shared" si="5"/>
        <v>1</v>
      </c>
    </row>
    <row r="27" spans="1:29" s="1217" customFormat="1" ht="15" hidden="1">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95"/>
      <c r="Q27" s="1148">
        <f t="shared" si="11"/>
        <v>0</v>
      </c>
      <c r="R27" s="1566" t="s">
        <v>11</v>
      </c>
      <c r="S27" s="1567">
        <f>F27</f>
        <v>100</v>
      </c>
      <c r="T27" s="1566" t="s">
        <v>11</v>
      </c>
      <c r="U27" s="1567">
        <f>H27</f>
        <v>100</v>
      </c>
      <c r="V27" s="1566" t="s">
        <v>11</v>
      </c>
      <c r="W27" s="1567">
        <f>J27</f>
        <v>100</v>
      </c>
      <c r="X27" s="1568"/>
      <c r="Y27" s="3395"/>
      <c r="Z27" s="1147">
        <f>Q27</f>
        <v>0</v>
      </c>
      <c r="AA27" s="1574">
        <f>D27/F27</f>
        <v>1</v>
      </c>
      <c r="AB27" s="1574">
        <f>D27/H27</f>
        <v>1</v>
      </c>
      <c r="AC27" s="1574">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95"/>
      <c r="Q28" s="1570">
        <f t="shared" si="11"/>
        <v>0</v>
      </c>
      <c r="R28" s="1571" t="s">
        <v>11</v>
      </c>
      <c r="S28" s="1572">
        <f t="shared" ref="S28:S46" si="12">F28</f>
        <v>100</v>
      </c>
      <c r="T28" s="1571" t="s">
        <v>11</v>
      </c>
      <c r="U28" s="1572">
        <f t="shared" ref="U28:U46" si="13">H28</f>
        <v>100</v>
      </c>
      <c r="V28" s="1571" t="s">
        <v>11</v>
      </c>
      <c r="W28" s="1572">
        <f t="shared" ref="W28:W46" si="14">J28</f>
        <v>100</v>
      </c>
      <c r="X28" s="1565"/>
      <c r="Y28" s="3395"/>
      <c r="Z28" s="1573">
        <f t="shared" ref="Z28:Z46" si="15">Q28</f>
        <v>0</v>
      </c>
      <c r="AA28" s="1574">
        <f t="shared" si="3"/>
        <v>1</v>
      </c>
      <c r="AB28" s="1574">
        <f t="shared" si="4"/>
        <v>1</v>
      </c>
      <c r="AC28" s="1574">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95"/>
      <c r="Q29" s="1570">
        <f t="shared" si="11"/>
        <v>0</v>
      </c>
      <c r="R29" s="1571" t="s">
        <v>11</v>
      </c>
      <c r="S29" s="1572">
        <f t="shared" si="12"/>
        <v>100</v>
      </c>
      <c r="T29" s="1571" t="s">
        <v>11</v>
      </c>
      <c r="U29" s="1572">
        <f t="shared" si="13"/>
        <v>100</v>
      </c>
      <c r="V29" s="1571" t="s">
        <v>11</v>
      </c>
      <c r="W29" s="1572">
        <f t="shared" si="14"/>
        <v>100</v>
      </c>
      <c r="X29" s="1565"/>
      <c r="Y29" s="3395"/>
      <c r="Z29" s="1573">
        <f t="shared" si="15"/>
        <v>0</v>
      </c>
      <c r="AA29" s="1574">
        <f t="shared" si="3"/>
        <v>1</v>
      </c>
      <c r="AB29" s="1574">
        <f t="shared" si="4"/>
        <v>1</v>
      </c>
      <c r="AC29" s="1574">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95"/>
      <c r="Q30" s="1570">
        <f t="shared" si="11"/>
        <v>0</v>
      </c>
      <c r="R30" s="1571" t="s">
        <v>11</v>
      </c>
      <c r="S30" s="1572">
        <f t="shared" si="12"/>
        <v>100</v>
      </c>
      <c r="T30" s="1571" t="s">
        <v>11</v>
      </c>
      <c r="U30" s="1572">
        <f t="shared" si="13"/>
        <v>100</v>
      </c>
      <c r="V30" s="1571" t="s">
        <v>11</v>
      </c>
      <c r="W30" s="1572">
        <f t="shared" si="14"/>
        <v>100</v>
      </c>
      <c r="X30" s="1565"/>
      <c r="Y30" s="3395"/>
      <c r="Z30" s="1573">
        <f t="shared" si="15"/>
        <v>0</v>
      </c>
      <c r="AA30" s="1574">
        <f t="shared" si="3"/>
        <v>1</v>
      </c>
      <c r="AB30" s="1574">
        <f t="shared" si="4"/>
        <v>1</v>
      </c>
      <c r="AC30" s="1574">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95"/>
      <c r="Q31" s="1570">
        <f t="shared" si="11"/>
        <v>0</v>
      </c>
      <c r="R31" s="1571" t="s">
        <v>11</v>
      </c>
      <c r="S31" s="1572">
        <f t="shared" si="12"/>
        <v>100</v>
      </c>
      <c r="T31" s="1571" t="s">
        <v>11</v>
      </c>
      <c r="U31" s="1572">
        <f t="shared" si="13"/>
        <v>100</v>
      </c>
      <c r="V31" s="1571" t="s">
        <v>11</v>
      </c>
      <c r="W31" s="1572">
        <f t="shared" si="14"/>
        <v>100</v>
      </c>
      <c r="X31" s="1565"/>
      <c r="Y31" s="3395"/>
      <c r="Z31" s="1573">
        <f t="shared" si="15"/>
        <v>0</v>
      </c>
      <c r="AA31" s="1574">
        <f t="shared" si="3"/>
        <v>1</v>
      </c>
      <c r="AB31" s="1574">
        <f t="shared" si="4"/>
        <v>1</v>
      </c>
      <c r="AC31" s="1574">
        <f t="shared" si="5"/>
        <v>1</v>
      </c>
    </row>
    <row r="32" spans="1:29" ht="15">
      <c r="A32" s="2929" t="s">
        <v>2756</v>
      </c>
      <c r="B32" s="172" t="s">
        <v>724</v>
      </c>
      <c r="C32" s="876" t="s">
        <v>3048</v>
      </c>
      <c r="D32" s="595">
        <v>100</v>
      </c>
      <c r="E32" s="876" t="s">
        <v>3048</v>
      </c>
      <c r="F32" s="573">
        <f>SUMIF(100:100,E32,101:101)-SUMIF(100:100,C32,101:101)+100</f>
        <v>100</v>
      </c>
      <c r="G32" s="876" t="s">
        <v>3048</v>
      </c>
      <c r="H32" s="595">
        <f>SUMIF(100:100,G32,101:101)-SUMIF(100:100,C32,101:101)+100</f>
        <v>100</v>
      </c>
      <c r="I32" s="876" t="s">
        <v>3048</v>
      </c>
      <c r="J32" s="538">
        <f>SUMIF(100:100,I32,101:101)-SUMIF(100:100,C32,101:101)+100</f>
        <v>100</v>
      </c>
      <c r="K32" s="862">
        <v>5</v>
      </c>
      <c r="L32" s="2140"/>
      <c r="M32" s="2132"/>
      <c r="N32" s="2132"/>
      <c r="O32" s="2139"/>
      <c r="P32" s="3396" t="s">
        <v>550</v>
      </c>
      <c r="Q32" s="1570" t="str">
        <f t="shared" si="11"/>
        <v>建筑类型</v>
      </c>
      <c r="R32" s="1571" t="s">
        <v>11</v>
      </c>
      <c r="S32" s="1572">
        <f t="shared" si="12"/>
        <v>100</v>
      </c>
      <c r="T32" s="1571" t="s">
        <v>11</v>
      </c>
      <c r="U32" s="1572">
        <f t="shared" si="13"/>
        <v>100</v>
      </c>
      <c r="V32" s="1571" t="s">
        <v>11</v>
      </c>
      <c r="W32" s="1572">
        <f t="shared" si="14"/>
        <v>100</v>
      </c>
      <c r="X32" s="1565"/>
      <c r="Y32" s="3397" t="s">
        <v>550</v>
      </c>
      <c r="Z32" s="1573" t="str">
        <f t="shared" si="15"/>
        <v>建筑类型</v>
      </c>
      <c r="AA32" s="1574">
        <f t="shared" si="3"/>
        <v>1</v>
      </c>
      <c r="AB32" s="1574">
        <f t="shared" si="4"/>
        <v>1</v>
      </c>
      <c r="AC32" s="1574">
        <f t="shared" si="5"/>
        <v>1</v>
      </c>
    </row>
    <row r="33" spans="1:29" s="1336" customFormat="1" ht="15">
      <c r="A33" s="601"/>
      <c r="B33" s="525" t="s">
        <v>725</v>
      </c>
      <c r="C33" s="877">
        <f>'数据-汇总表'!E3</f>
        <v>191725</v>
      </c>
      <c r="D33" s="253">
        <v>100</v>
      </c>
      <c r="E33" s="877">
        <v>78222</v>
      </c>
      <c r="F33" s="861">
        <f>LOOKUP(E33,103:103,104:104)-LOOKUP(C33,103:103,104:104)+100</f>
        <v>99</v>
      </c>
      <c r="G33" s="877">
        <v>783248</v>
      </c>
      <c r="H33" s="253">
        <f>LOOKUP(G33,103:103,104:104)-LOOKUP(C33,103:103,104:104)+100</f>
        <v>102</v>
      </c>
      <c r="I33" s="877">
        <v>220000</v>
      </c>
      <c r="J33" s="253">
        <f>LOOKUP(I33,103:103,104:104)-LOOKUP(C33,103:103,104:104)+100</f>
        <v>101</v>
      </c>
      <c r="K33" s="863"/>
      <c r="L33" s="2138"/>
      <c r="M33" s="2169"/>
      <c r="N33" s="2169"/>
      <c r="O33" s="2141"/>
      <c r="P33" s="3397"/>
      <c r="Q33" s="1603" t="str">
        <f t="shared" si="11"/>
        <v>项目建筑规模</v>
      </c>
      <c r="R33" s="1575" t="s">
        <v>11</v>
      </c>
      <c r="S33" s="1576">
        <f t="shared" si="12"/>
        <v>99</v>
      </c>
      <c r="T33" s="1575" t="s">
        <v>11</v>
      </c>
      <c r="U33" s="1576">
        <f t="shared" si="13"/>
        <v>102</v>
      </c>
      <c r="V33" s="1575" t="s">
        <v>11</v>
      </c>
      <c r="W33" s="1576">
        <f t="shared" si="14"/>
        <v>101</v>
      </c>
      <c r="X33" s="1577"/>
      <c r="Y33" s="3397"/>
      <c r="Z33" s="1578" t="str">
        <f t="shared" si="15"/>
        <v>项目建筑规模</v>
      </c>
      <c r="AA33" s="1574">
        <f t="shared" si="3"/>
        <v>1.0101010101010102</v>
      </c>
      <c r="AB33" s="1574">
        <f t="shared" si="4"/>
        <v>0.98039215686274506</v>
      </c>
      <c r="AC33" s="1574">
        <f t="shared" si="5"/>
        <v>0.99009900990099009</v>
      </c>
    </row>
    <row r="34" spans="1:29" ht="15">
      <c r="A34" s="592"/>
      <c r="B34" s="525" t="s">
        <v>726</v>
      </c>
      <c r="C34" s="878" t="s">
        <v>3050</v>
      </c>
      <c r="D34" s="538">
        <v>100</v>
      </c>
      <c r="E34" s="878" t="s">
        <v>3050</v>
      </c>
      <c r="F34" s="573">
        <f>SUMIF(105:105,E34,106:106)-SUMIF(105:105,C34,106:106)+100</f>
        <v>100</v>
      </c>
      <c r="G34" s="878" t="s">
        <v>3050</v>
      </c>
      <c r="H34" s="538">
        <f>SUMIF(105:105,G34,106:106)-SUMIF(105:105,C34,106:106)+100</f>
        <v>100</v>
      </c>
      <c r="I34" s="878" t="s">
        <v>3050</v>
      </c>
      <c r="J34" s="538">
        <f>SUMIF(105:105,I34,106:106)-SUMIF(105:105,C34,106:106)+100</f>
        <v>100</v>
      </c>
      <c r="K34" s="862">
        <v>1</v>
      </c>
      <c r="L34" s="2140"/>
      <c r="M34" s="2132"/>
      <c r="N34" s="2132"/>
      <c r="O34" s="2139"/>
      <c r="P34" s="3397"/>
      <c r="Q34" s="1570" t="str">
        <f t="shared" si="11"/>
        <v>建筑结构</v>
      </c>
      <c r="R34" s="1571" t="s">
        <v>11</v>
      </c>
      <c r="S34" s="1572">
        <f t="shared" si="12"/>
        <v>100</v>
      </c>
      <c r="T34" s="1571" t="s">
        <v>11</v>
      </c>
      <c r="U34" s="1572">
        <f t="shared" si="13"/>
        <v>100</v>
      </c>
      <c r="V34" s="1571" t="s">
        <v>11</v>
      </c>
      <c r="W34" s="1572">
        <f t="shared" si="14"/>
        <v>100</v>
      </c>
      <c r="X34" s="1565"/>
      <c r="Y34" s="3397"/>
      <c r="Z34" s="1573" t="str">
        <f t="shared" si="15"/>
        <v>建筑结构</v>
      </c>
      <c r="AA34" s="1574">
        <f t="shared" si="3"/>
        <v>1</v>
      </c>
      <c r="AB34" s="1574">
        <f t="shared" si="4"/>
        <v>1</v>
      </c>
      <c r="AC34" s="1574">
        <f t="shared" si="5"/>
        <v>1</v>
      </c>
    </row>
    <row r="35" spans="1:29" ht="15">
      <c r="A35" s="592"/>
      <c r="B35" s="525" t="s">
        <v>727</v>
      </c>
      <c r="C35" s="597" t="s">
        <v>3065</v>
      </c>
      <c r="D35" s="538">
        <v>100</v>
      </c>
      <c r="E35" s="597" t="s">
        <v>3065</v>
      </c>
      <c r="F35" s="573">
        <f>SUMIF(107:107,E35,108:108)-SUMIF(107:107,C35,108:108)+100</f>
        <v>100</v>
      </c>
      <c r="G35" s="597" t="s">
        <v>3065</v>
      </c>
      <c r="H35" s="538">
        <f>SUMIF(107:107,G35,108:108)-SUMIF(107:107,C35,108:108)+100</f>
        <v>100</v>
      </c>
      <c r="I35" s="597" t="s">
        <v>3065</v>
      </c>
      <c r="J35" s="538">
        <f>SUMIF(107:107,I35,108:108)-SUMIF(107:107,C35,108:108)+100</f>
        <v>100</v>
      </c>
      <c r="K35" s="862">
        <v>1</v>
      </c>
      <c r="L35" s="2140"/>
      <c r="M35" s="2132"/>
      <c r="N35" s="2132"/>
      <c r="O35" s="2139"/>
      <c r="P35" s="3397"/>
      <c r="Q35" s="1570" t="str">
        <f t="shared" si="11"/>
        <v>建筑品质</v>
      </c>
      <c r="R35" s="1571" t="s">
        <v>11</v>
      </c>
      <c r="S35" s="1572">
        <f t="shared" si="12"/>
        <v>100</v>
      </c>
      <c r="T35" s="1571" t="s">
        <v>11</v>
      </c>
      <c r="U35" s="1572">
        <f t="shared" si="13"/>
        <v>100</v>
      </c>
      <c r="V35" s="1571" t="s">
        <v>11</v>
      </c>
      <c r="W35" s="1572">
        <f t="shared" si="14"/>
        <v>100</v>
      </c>
      <c r="X35" s="1565"/>
      <c r="Y35" s="3397"/>
      <c r="Z35" s="1573" t="str">
        <f t="shared" si="15"/>
        <v>建筑品质</v>
      </c>
      <c r="AA35" s="1574">
        <f t="shared" si="3"/>
        <v>1</v>
      </c>
      <c r="AB35" s="1574">
        <f t="shared" si="4"/>
        <v>1</v>
      </c>
      <c r="AC35" s="1574">
        <f t="shared" si="5"/>
        <v>1</v>
      </c>
    </row>
    <row r="36" spans="1:29" ht="15">
      <c r="A36" s="592"/>
      <c r="B36" s="525" t="s">
        <v>728</v>
      </c>
      <c r="C36" s="597" t="s">
        <v>3067</v>
      </c>
      <c r="D36" s="538">
        <v>100</v>
      </c>
      <c r="E36" s="597" t="s">
        <v>3067</v>
      </c>
      <c r="F36" s="573">
        <f>SUMIF(109:109,E36,110:110)-SUMIF(109:109,C36,110:110)+100</f>
        <v>100</v>
      </c>
      <c r="G36" s="597" t="s">
        <v>3067</v>
      </c>
      <c r="H36" s="538">
        <f>SUMIF(109:109,G36,110:110)-SUMIF(109:109,C36,110:110)+100</f>
        <v>100</v>
      </c>
      <c r="I36" s="597" t="s">
        <v>3067</v>
      </c>
      <c r="J36" s="538">
        <f>SUMIF(109:109,I36,110:110)-SUMIF(109:109,C36,110:110)+100</f>
        <v>100</v>
      </c>
      <c r="K36" s="862">
        <v>1</v>
      </c>
      <c r="L36" s="2140"/>
      <c r="M36" s="2132"/>
      <c r="N36" s="2132"/>
      <c r="O36" s="2139"/>
      <c r="P36" s="3397"/>
      <c r="Q36" s="1570" t="str">
        <f t="shared" si="11"/>
        <v>公共部分装修</v>
      </c>
      <c r="R36" s="1571" t="s">
        <v>11</v>
      </c>
      <c r="S36" s="1572">
        <f t="shared" si="12"/>
        <v>100</v>
      </c>
      <c r="T36" s="1571" t="s">
        <v>11</v>
      </c>
      <c r="U36" s="1572">
        <f t="shared" si="13"/>
        <v>100</v>
      </c>
      <c r="V36" s="1571" t="s">
        <v>11</v>
      </c>
      <c r="W36" s="1572">
        <f t="shared" si="14"/>
        <v>100</v>
      </c>
      <c r="X36" s="1565"/>
      <c r="Y36" s="3397"/>
      <c r="Z36" s="1573" t="str">
        <f t="shared" si="15"/>
        <v>公共部分装修</v>
      </c>
      <c r="AA36" s="1574">
        <f t="shared" si="3"/>
        <v>1</v>
      </c>
      <c r="AB36" s="1574">
        <f t="shared" si="4"/>
        <v>1</v>
      </c>
      <c r="AC36" s="1574">
        <f t="shared" si="5"/>
        <v>1</v>
      </c>
    </row>
    <row r="37" spans="1:29" s="1217" customFormat="1" ht="15">
      <c r="A37" s="598"/>
      <c r="B37" s="525" t="s">
        <v>729</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v>1</v>
      </c>
      <c r="L37" s="2133"/>
      <c r="M37" s="2134"/>
      <c r="N37" s="2134"/>
      <c r="O37" s="2135"/>
      <c r="P37" s="3397"/>
      <c r="Q37" s="1148" t="str">
        <f t="shared" si="11"/>
        <v>成新度</v>
      </c>
      <c r="R37" s="1566" t="s">
        <v>11</v>
      </c>
      <c r="S37" s="1567">
        <f t="shared" si="12"/>
        <v>100</v>
      </c>
      <c r="T37" s="1566" t="s">
        <v>11</v>
      </c>
      <c r="U37" s="1567">
        <f t="shared" si="13"/>
        <v>100</v>
      </c>
      <c r="V37" s="1566" t="s">
        <v>11</v>
      </c>
      <c r="W37" s="1567">
        <f t="shared" si="14"/>
        <v>100</v>
      </c>
      <c r="X37" s="1568"/>
      <c r="Y37" s="3397"/>
      <c r="Z37" s="1147" t="str">
        <f t="shared" si="15"/>
        <v>成新度</v>
      </c>
      <c r="AA37" s="1569">
        <f t="shared" si="3"/>
        <v>1</v>
      </c>
      <c r="AB37" s="1569">
        <f t="shared" si="4"/>
        <v>1</v>
      </c>
      <c r="AC37" s="1569">
        <f t="shared" si="5"/>
        <v>1</v>
      </c>
    </row>
    <row r="38" spans="1:29" ht="15">
      <c r="A38" s="592"/>
      <c r="B38" s="525" t="s">
        <v>730</v>
      </c>
      <c r="C38" s="597" t="s">
        <v>3073</v>
      </c>
      <c r="D38" s="538">
        <v>100</v>
      </c>
      <c r="E38" s="597" t="s">
        <v>3073</v>
      </c>
      <c r="F38" s="573">
        <f>SUMIF(114:114,E38,115:115)-SUMIF(114:114,C38,115:115)+100</f>
        <v>100</v>
      </c>
      <c r="G38" s="597" t="s">
        <v>3073</v>
      </c>
      <c r="H38" s="538">
        <f>SUMIF(114:114,G38,115:115)-SUMIF(114:114,C38,115:115)+100</f>
        <v>100</v>
      </c>
      <c r="I38" s="597" t="s">
        <v>3073</v>
      </c>
      <c r="J38" s="538">
        <f>SUMIF(114:114,I38,115:115)-SUMIF(114:114,C38,115:115)+100</f>
        <v>100</v>
      </c>
      <c r="K38" s="862">
        <v>1</v>
      </c>
      <c r="L38" s="2140"/>
      <c r="M38" s="2132"/>
      <c r="N38" s="2132"/>
      <c r="O38" s="2139"/>
      <c r="P38" s="3397" t="s">
        <v>550</v>
      </c>
      <c r="Q38" s="1570" t="str">
        <f t="shared" si="11"/>
        <v>物业管理</v>
      </c>
      <c r="R38" s="1571" t="s">
        <v>11</v>
      </c>
      <c r="S38" s="1572">
        <f t="shared" si="12"/>
        <v>100</v>
      </c>
      <c r="T38" s="1571" t="s">
        <v>11</v>
      </c>
      <c r="U38" s="1572">
        <f t="shared" si="13"/>
        <v>100</v>
      </c>
      <c r="V38" s="1571" t="s">
        <v>11</v>
      </c>
      <c r="W38" s="1572">
        <f t="shared" si="14"/>
        <v>100</v>
      </c>
      <c r="X38" s="1565"/>
      <c r="Y38" s="3397" t="s">
        <v>550</v>
      </c>
      <c r="Z38" s="1573" t="str">
        <f t="shared" si="15"/>
        <v>物业管理</v>
      </c>
      <c r="AA38" s="1574">
        <f t="shared" si="3"/>
        <v>1</v>
      </c>
      <c r="AB38" s="1574">
        <f t="shared" si="4"/>
        <v>1</v>
      </c>
      <c r="AC38" s="1574">
        <f t="shared" si="5"/>
        <v>1</v>
      </c>
    </row>
    <row r="39" spans="1:29" ht="15">
      <c r="A39" s="592"/>
      <c r="B39" s="1893" t="s">
        <v>2565</v>
      </c>
      <c r="C39" s="597" t="s">
        <v>3019</v>
      </c>
      <c r="D39" s="538">
        <v>100</v>
      </c>
      <c r="E39" s="597" t="s">
        <v>3019</v>
      </c>
      <c r="F39" s="573">
        <f>SUMIF(116:116,E39,117:117)-SUMIF(116:116,C39,117:117)+100</f>
        <v>100</v>
      </c>
      <c r="G39" s="597" t="s">
        <v>3019</v>
      </c>
      <c r="H39" s="538">
        <f>SUMIF(116:116,G39,117:117)-SUMIF(116:116,C39,117:117)+100</f>
        <v>100</v>
      </c>
      <c r="I39" s="597" t="s">
        <v>3019</v>
      </c>
      <c r="J39" s="538">
        <f>SUMIF(116:116,I39,117:117)-SUMIF(116:116,C39,117:117)+100</f>
        <v>100</v>
      </c>
      <c r="K39" s="862">
        <v>1</v>
      </c>
      <c r="L39" s="2140"/>
      <c r="M39" s="2132"/>
      <c r="N39" s="2132"/>
      <c r="O39" s="2139"/>
      <c r="P39" s="3397"/>
      <c r="Q39" s="1570" t="str">
        <f t="shared" si="11"/>
        <v>市政基础设施</v>
      </c>
      <c r="R39" s="1571" t="s">
        <v>11</v>
      </c>
      <c r="S39" s="1572">
        <f t="shared" si="12"/>
        <v>100</v>
      </c>
      <c r="T39" s="1571" t="s">
        <v>11</v>
      </c>
      <c r="U39" s="1572">
        <f t="shared" si="13"/>
        <v>100</v>
      </c>
      <c r="V39" s="1571" t="s">
        <v>11</v>
      </c>
      <c r="W39" s="1572">
        <f t="shared" si="14"/>
        <v>100</v>
      </c>
      <c r="X39" s="1565"/>
      <c r="Y39" s="3397"/>
      <c r="Z39" s="1573" t="str">
        <f t="shared" si="15"/>
        <v>市政基础设施</v>
      </c>
      <c r="AA39" s="1574">
        <f t="shared" si="3"/>
        <v>1</v>
      </c>
      <c r="AB39" s="1574">
        <f t="shared" si="4"/>
        <v>1</v>
      </c>
      <c r="AC39" s="1574">
        <f t="shared" si="5"/>
        <v>1</v>
      </c>
    </row>
    <row r="40" spans="1:29" ht="15">
      <c r="A40" s="592"/>
      <c r="B40" s="525" t="s">
        <v>731</v>
      </c>
      <c r="C40" s="597" t="s">
        <v>3080</v>
      </c>
      <c r="D40" s="538">
        <v>100</v>
      </c>
      <c r="E40" s="597" t="s">
        <v>3080</v>
      </c>
      <c r="F40" s="573">
        <f>SUMIF(118:118,E40,119:119)-SUMIF(118:118,C40,119:119)+100</f>
        <v>100</v>
      </c>
      <c r="G40" s="597" t="s">
        <v>3080</v>
      </c>
      <c r="H40" s="538">
        <f>SUMIF(118:118,G40,119:119)-SUMIF(118:118,C40,119:119)+100</f>
        <v>100</v>
      </c>
      <c r="I40" s="597" t="s">
        <v>3080</v>
      </c>
      <c r="J40" s="538">
        <f>SUMIF(118:118,I40,119:119)-SUMIF(118:118,C40,119:119)+100</f>
        <v>100</v>
      </c>
      <c r="K40" s="862">
        <v>1</v>
      </c>
      <c r="L40" s="2140"/>
      <c r="M40" s="2132"/>
      <c r="N40" s="2132"/>
      <c r="O40" s="2139"/>
      <c r="P40" s="3397"/>
      <c r="Q40" s="1570" t="str">
        <f t="shared" si="11"/>
        <v>房型</v>
      </c>
      <c r="R40" s="1571" t="s">
        <v>11</v>
      </c>
      <c r="S40" s="1572">
        <f t="shared" si="12"/>
        <v>100</v>
      </c>
      <c r="T40" s="1571" t="s">
        <v>11</v>
      </c>
      <c r="U40" s="1572">
        <f t="shared" si="13"/>
        <v>100</v>
      </c>
      <c r="V40" s="1571" t="s">
        <v>11</v>
      </c>
      <c r="W40" s="1572">
        <f t="shared" si="14"/>
        <v>100</v>
      </c>
      <c r="X40" s="1565"/>
      <c r="Y40" s="3397"/>
      <c r="Z40" s="1573" t="str">
        <f t="shared" si="15"/>
        <v>房型</v>
      </c>
      <c r="AA40" s="1574">
        <f t="shared" si="3"/>
        <v>1</v>
      </c>
      <c r="AB40" s="1574">
        <f t="shared" si="4"/>
        <v>1</v>
      </c>
      <c r="AC40" s="1574">
        <f t="shared" si="5"/>
        <v>1</v>
      </c>
    </row>
    <row r="41" spans="1:29" s="1336" customFormat="1" ht="28.5" hidden="1">
      <c r="A41" s="601"/>
      <c r="B41" s="525" t="s">
        <v>732</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8"/>
      <c r="M41" s="2169"/>
      <c r="N41" s="2169"/>
      <c r="O41" s="2141"/>
      <c r="P41" s="3397"/>
      <c r="Q41" s="1603" t="str">
        <f t="shared" si="11"/>
        <v>单套/主力户型建筑面积</v>
      </c>
      <c r="R41" s="1575" t="s">
        <v>11</v>
      </c>
      <c r="S41" s="1576">
        <f t="shared" si="12"/>
        <v>100</v>
      </c>
      <c r="T41" s="1575" t="s">
        <v>11</v>
      </c>
      <c r="U41" s="1576">
        <f t="shared" si="13"/>
        <v>100</v>
      </c>
      <c r="V41" s="1575" t="s">
        <v>11</v>
      </c>
      <c r="W41" s="1576">
        <f t="shared" si="14"/>
        <v>100</v>
      </c>
      <c r="X41" s="1577"/>
      <c r="Y41" s="3397"/>
      <c r="Z41" s="1578" t="str">
        <f t="shared" si="15"/>
        <v>单套/主力户型建筑面积</v>
      </c>
      <c r="AA41" s="1574">
        <f t="shared" si="3"/>
        <v>1</v>
      </c>
      <c r="AB41" s="1574">
        <f t="shared" si="4"/>
        <v>1</v>
      </c>
      <c r="AC41" s="1574">
        <f t="shared" si="5"/>
        <v>1</v>
      </c>
    </row>
    <row r="42" spans="1:29" ht="15.75" thickBot="1">
      <c r="A42" s="592"/>
      <c r="B42" s="525" t="s">
        <v>733</v>
      </c>
      <c r="C42" s="597" t="s">
        <v>3071</v>
      </c>
      <c r="D42" s="538">
        <v>100</v>
      </c>
      <c r="E42" s="597" t="s">
        <v>3071</v>
      </c>
      <c r="F42" s="573">
        <f>SUMIF(122:122,E42,123:123)-SUMIF(122:122,C42,123:123)+100</f>
        <v>100</v>
      </c>
      <c r="G42" s="597" t="s">
        <v>3067</v>
      </c>
      <c r="H42" s="538">
        <f>SUMIF(122:122,G42,123:123)-SUMIF(122:122,C42,123:123)+100</f>
        <v>106</v>
      </c>
      <c r="I42" s="597" t="s">
        <v>3071</v>
      </c>
      <c r="J42" s="538">
        <f>SUMIF(122:122,I42,123:123)-SUMIF(122:122,C42,123:123)+100</f>
        <v>100</v>
      </c>
      <c r="K42" s="862">
        <v>2</v>
      </c>
      <c r="L42" s="2140"/>
      <c r="M42" s="2132"/>
      <c r="N42" s="2132"/>
      <c r="O42" s="2139"/>
      <c r="P42" s="3397"/>
      <c r="Q42" s="1570" t="str">
        <f t="shared" si="11"/>
        <v>内部装修</v>
      </c>
      <c r="R42" s="1571" t="s">
        <v>11</v>
      </c>
      <c r="S42" s="1572">
        <f t="shared" si="12"/>
        <v>100</v>
      </c>
      <c r="T42" s="1571" t="s">
        <v>11</v>
      </c>
      <c r="U42" s="1572">
        <f t="shared" si="13"/>
        <v>106</v>
      </c>
      <c r="V42" s="1571" t="s">
        <v>11</v>
      </c>
      <c r="W42" s="1572">
        <f t="shared" si="14"/>
        <v>100</v>
      </c>
      <c r="X42" s="1565"/>
      <c r="Y42" s="3397"/>
      <c r="Z42" s="1573" t="str">
        <f t="shared" si="15"/>
        <v>内部装修</v>
      </c>
      <c r="AA42" s="1574">
        <f t="shared" si="3"/>
        <v>1</v>
      </c>
      <c r="AB42" s="1574">
        <f t="shared" si="4"/>
        <v>0.94339622641509435</v>
      </c>
      <c r="AC42" s="1574">
        <f t="shared" si="5"/>
        <v>1</v>
      </c>
    </row>
    <row r="43" spans="1:29" ht="27" hidden="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397"/>
      <c r="Q43" s="1570" t="str">
        <f t="shared" si="11"/>
        <v>内部装修维护情况</v>
      </c>
      <c r="R43" s="1571" t="s">
        <v>11</v>
      </c>
      <c r="S43" s="1572">
        <f t="shared" si="12"/>
        <v>100</v>
      </c>
      <c r="T43" s="1571" t="s">
        <v>11</v>
      </c>
      <c r="U43" s="1572">
        <f t="shared" si="13"/>
        <v>100</v>
      </c>
      <c r="V43" s="1571" t="s">
        <v>11</v>
      </c>
      <c r="W43" s="1572">
        <f t="shared" si="14"/>
        <v>100</v>
      </c>
      <c r="X43" s="1565"/>
      <c r="Y43" s="3397"/>
      <c r="Z43" s="1573" t="str">
        <f t="shared" si="15"/>
        <v>内部装修维护情况</v>
      </c>
      <c r="AA43" s="1574">
        <f t="shared" si="3"/>
        <v>1</v>
      </c>
      <c r="AB43" s="1574">
        <f t="shared" si="4"/>
        <v>1</v>
      </c>
      <c r="AC43" s="1574">
        <f t="shared" si="5"/>
        <v>1</v>
      </c>
    </row>
    <row r="44" spans="1:29" s="1217" customFormat="1" ht="15" hidden="1">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397"/>
      <c r="Q44" s="1148">
        <f t="shared" si="11"/>
        <v>0</v>
      </c>
      <c r="R44" s="1566" t="s">
        <v>11</v>
      </c>
      <c r="S44" s="1567">
        <f t="shared" si="12"/>
        <v>100</v>
      </c>
      <c r="T44" s="1566" t="s">
        <v>11</v>
      </c>
      <c r="U44" s="1567">
        <f t="shared" si="13"/>
        <v>100</v>
      </c>
      <c r="V44" s="1566" t="s">
        <v>11</v>
      </c>
      <c r="W44" s="1567">
        <f t="shared" si="14"/>
        <v>100</v>
      </c>
      <c r="X44" s="1568"/>
      <c r="Y44" s="3397"/>
      <c r="Z44" s="1147">
        <f t="shared" si="15"/>
        <v>0</v>
      </c>
      <c r="AA44" s="1569">
        <f t="shared" si="3"/>
        <v>1</v>
      </c>
      <c r="AB44" s="1569">
        <f t="shared" si="4"/>
        <v>1</v>
      </c>
      <c r="AC44" s="1569">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397"/>
      <c r="Q45" s="1570">
        <f t="shared" si="11"/>
        <v>0</v>
      </c>
      <c r="R45" s="1571" t="s">
        <v>11</v>
      </c>
      <c r="S45" s="1572">
        <f t="shared" si="12"/>
        <v>100</v>
      </c>
      <c r="T45" s="1571" t="s">
        <v>11</v>
      </c>
      <c r="U45" s="1572">
        <f t="shared" si="13"/>
        <v>100</v>
      </c>
      <c r="V45" s="1571" t="s">
        <v>11</v>
      </c>
      <c r="W45" s="1572">
        <f t="shared" si="14"/>
        <v>100</v>
      </c>
      <c r="X45" s="1565"/>
      <c r="Y45" s="3397"/>
      <c r="Z45" s="1573">
        <f t="shared" si="15"/>
        <v>0</v>
      </c>
      <c r="AA45" s="1574">
        <f t="shared" si="3"/>
        <v>1</v>
      </c>
      <c r="AB45" s="1574">
        <f t="shared" si="4"/>
        <v>1</v>
      </c>
      <c r="AC45" s="1574">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73"/>
      <c r="Q46" s="1570">
        <f t="shared" si="11"/>
        <v>0</v>
      </c>
      <c r="R46" s="1571" t="s">
        <v>10</v>
      </c>
      <c r="S46" s="1572">
        <f t="shared" si="12"/>
        <v>100</v>
      </c>
      <c r="T46" s="1571" t="s">
        <v>10</v>
      </c>
      <c r="U46" s="1572">
        <f t="shared" si="13"/>
        <v>100</v>
      </c>
      <c r="V46" s="1571" t="s">
        <v>10</v>
      </c>
      <c r="W46" s="1572">
        <f t="shared" si="14"/>
        <v>100</v>
      </c>
      <c r="X46" s="1565"/>
      <c r="Y46" s="3473"/>
      <c r="Z46" s="1573">
        <f t="shared" si="15"/>
        <v>0</v>
      </c>
      <c r="AA46" s="1574">
        <f t="shared" si="3"/>
        <v>1</v>
      </c>
      <c r="AB46" s="1574">
        <f t="shared" si="4"/>
        <v>1</v>
      </c>
      <c r="AC46" s="1574">
        <f t="shared" si="5"/>
        <v>1</v>
      </c>
    </row>
    <row r="47" spans="1:29" ht="15">
      <c r="A47" s="605" t="s">
        <v>735</v>
      </c>
      <c r="B47" s="884"/>
      <c r="C47" s="2649" t="s">
        <v>9</v>
      </c>
      <c r="D47" s="2650"/>
      <c r="E47" s="2651">
        <v>9000</v>
      </c>
      <c r="F47" s="2652"/>
      <c r="G47" s="2653">
        <v>11000</v>
      </c>
      <c r="H47" s="2654"/>
      <c r="I47" s="2651">
        <v>10300</v>
      </c>
      <c r="J47" s="2654"/>
      <c r="K47" s="1604"/>
      <c r="L47" s="2142"/>
      <c r="M47" s="2143"/>
      <c r="N47" s="2132"/>
      <c r="O47" s="2143"/>
      <c r="P47" s="3392" t="str">
        <f>A47</f>
        <v>成交单价（元/平方米）</v>
      </c>
      <c r="Q47" s="3392"/>
      <c r="R47" s="3472">
        <f>E47</f>
        <v>9000</v>
      </c>
      <c r="S47" s="3472"/>
      <c r="T47" s="3472">
        <f>G47</f>
        <v>11000</v>
      </c>
      <c r="U47" s="3472"/>
      <c r="V47" s="3472">
        <f>I47</f>
        <v>10300</v>
      </c>
      <c r="W47" s="3472"/>
      <c r="X47" s="1557"/>
      <c r="Y47" s="1579"/>
      <c r="Z47" s="1557"/>
      <c r="AA47" s="1557"/>
      <c r="AB47" s="1557"/>
      <c r="AC47" s="1557"/>
    </row>
    <row r="48" spans="1:29" ht="15.75" thickBot="1">
      <c r="A48" s="613" t="s">
        <v>2761</v>
      </c>
      <c r="B48" s="885"/>
      <c r="C48" s="2655">
        <f>R49</f>
        <v>9707</v>
      </c>
      <c r="D48" s="2656"/>
      <c r="E48" s="2657">
        <f>R48</f>
        <v>8741</v>
      </c>
      <c r="F48" s="2657"/>
      <c r="G48" s="2655">
        <f>T48</f>
        <v>9974</v>
      </c>
      <c r="H48" s="2656"/>
      <c r="I48" s="2657">
        <f>V48</f>
        <v>10406</v>
      </c>
      <c r="J48" s="2656"/>
      <c r="K48" s="1605"/>
      <c r="L48" s="2142"/>
      <c r="M48" s="2143"/>
      <c r="N48" s="2143"/>
      <c r="O48" s="2143"/>
      <c r="P48" s="3392" t="str">
        <f>A48</f>
        <v>比较价格（元/平方米）</v>
      </c>
      <c r="Q48" s="3392"/>
      <c r="R48" s="3472">
        <f>IF(F1="售价",ROUND(PRODUCT(R47,AA7:AA46),0),ROUND(PRODUCT(R47,AA7:AA46),1))</f>
        <v>8741</v>
      </c>
      <c r="S48" s="3472"/>
      <c r="T48" s="3472">
        <f>IF(F1="售价",ROUND(PRODUCT(T47,AB7:AB46),0),ROUND(PRODUCT(T47,AB7:AB46),1))</f>
        <v>9974</v>
      </c>
      <c r="U48" s="3472"/>
      <c r="V48" s="3472">
        <f>IF(F1="售价",ROUND(PRODUCT(V47,AC7:AC46),0),ROUND(PRODUCT(V47,AC7:AC46),1))</f>
        <v>10406</v>
      </c>
      <c r="W48" s="3472"/>
      <c r="X48" s="1557"/>
      <c r="Y48" s="1557"/>
      <c r="Z48" s="1557"/>
      <c r="AA48" s="1557"/>
      <c r="AB48" s="1557"/>
      <c r="AC48" s="1557"/>
    </row>
    <row r="49" spans="1:29" ht="15.75" thickBot="1">
      <c r="A49" s="619" t="s">
        <v>2935</v>
      </c>
      <c r="B49" s="620"/>
      <c r="C49" s="2658">
        <f>R49</f>
        <v>9707</v>
      </c>
      <c r="D49" s="2658"/>
      <c r="E49" s="2658"/>
      <c r="F49" s="2658"/>
      <c r="G49" s="2658"/>
      <c r="H49" s="2658"/>
      <c r="I49" s="2658"/>
      <c r="J49" s="2658"/>
      <c r="K49" s="1606"/>
      <c r="L49" s="2142"/>
      <c r="M49" s="2143"/>
      <c r="N49" s="2143"/>
      <c r="O49" s="2143"/>
      <c r="P49" s="3414" t="str">
        <f>A49</f>
        <v>估价对象XX用房的比较价格（楼面单价，元/平方米）</v>
      </c>
      <c r="Q49" s="3415"/>
      <c r="R49" s="3471">
        <f>IF(F1="售价",ROUND(AVERAGE(R48:V48),0),ROUND(AVERAGE(R48:V48),1))</f>
        <v>9707</v>
      </c>
      <c r="S49" s="3471"/>
      <c r="T49" s="3471"/>
      <c r="U49" s="3471"/>
      <c r="V49" s="3471"/>
      <c r="W49" s="3471"/>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2.9630477062120963E-2</v>
      </c>
      <c r="F52" s="625" t="str">
        <f>IF(OR(E52&gt;=0.3,E52&lt;=-0.3),"超过30%","")</f>
        <v/>
      </c>
      <c r="G52" s="624">
        <f>IF(G47&lt;G48,G48/G47-1,G47/G48-1)</f>
        <v>0.10286745538399833</v>
      </c>
      <c r="H52" s="625" t="str">
        <f>IF(OR(G52&gt;=0.3,G52&lt;=-0.3),"超过30%","")</f>
        <v/>
      </c>
      <c r="I52" s="624">
        <f>IF(I47&lt;I48,I48/I47-1,I47/I48-1)</f>
        <v>1.0291262135922352E-2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0.14105937535751067</v>
      </c>
      <c r="F53" s="625" t="str">
        <f>IF(OR(E53&gt;=0.2,E53&lt;=-0.2),"超过20%","")</f>
        <v/>
      </c>
      <c r="G53" s="624">
        <f>IF(G48&lt;I48,I48/G48-1,G48/I48-1)</f>
        <v>4.3312612793262373E-2</v>
      </c>
      <c r="H53" s="625" t="str">
        <f>IF(OR(G53&gt;=0.2,G53&lt;=-0.2),"超过20%","")</f>
        <v/>
      </c>
      <c r="I53" s="624">
        <f>IF(I48&lt;E48,E48/I48-1,I48/E48-1)</f>
        <v>0.19048163825649245</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0.22222222222222232</v>
      </c>
      <c r="F54" s="625" t="str">
        <f>IF(OR(E54&gt;=0.3,E54&lt;=-0.3),"超过30%","")</f>
        <v/>
      </c>
      <c r="G54" s="624">
        <f>IF(G47&lt;I47,I47/G47-1,G47/I47-1)</f>
        <v>6.7961165048543659E-2</v>
      </c>
      <c r="H54" s="625" t="str">
        <f>IF(OR(G54&gt;=0.3,G54&lt;=-0.3),"超过30%","")</f>
        <v/>
      </c>
      <c r="I54" s="624">
        <f>IF(I47&lt;E47,E47/I47-1,I47/E47-1)</f>
        <v>0.14444444444444438</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v>99.5</v>
      </c>
      <c r="E59" s="648">
        <v>99</v>
      </c>
      <c r="F59" s="648">
        <v>98.5</v>
      </c>
      <c r="G59" s="648">
        <v>98</v>
      </c>
      <c r="H59" s="648">
        <v>97.5</v>
      </c>
      <c r="I59" s="648">
        <v>97</v>
      </c>
      <c r="J59" s="648">
        <v>96.5</v>
      </c>
      <c r="K59" s="648">
        <v>96</v>
      </c>
      <c r="L59" s="648">
        <v>95.5</v>
      </c>
      <c r="M59" s="648">
        <v>95</v>
      </c>
      <c r="N59" s="648">
        <v>94.5</v>
      </c>
      <c r="O59" s="648">
        <v>94</v>
      </c>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3（含）-3.5</v>
      </c>
      <c r="J67" s="680" t="str">
        <f t="shared" si="18"/>
        <v>3.5（含）-4</v>
      </c>
      <c r="K67" s="680" t="str">
        <f t="shared" si="18"/>
        <v>4（含）-4.5</v>
      </c>
      <c r="L67" s="680" t="str">
        <f t="shared" si="18"/>
        <v>4.5（含）-5</v>
      </c>
      <c r="M67" s="553" t="str">
        <f>M68&amp;"（含）"&amp;"-"&amp;P68</f>
        <v>5（含）-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0.5</v>
      </c>
      <c r="E68" s="539">
        <v>1</v>
      </c>
      <c r="F68" s="539">
        <v>1.5</v>
      </c>
      <c r="G68" s="539">
        <v>2</v>
      </c>
      <c r="H68" s="539">
        <v>2.5</v>
      </c>
      <c r="I68" s="539">
        <v>3</v>
      </c>
      <c r="J68" s="539">
        <v>3.5</v>
      </c>
      <c r="K68" s="539">
        <v>4</v>
      </c>
      <c r="L68" s="539">
        <v>4.5</v>
      </c>
      <c r="M68" s="539">
        <v>5</v>
      </c>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0</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0</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96</v>
      </c>
      <c r="E77" s="677">
        <f>D77-$K15</f>
        <v>92</v>
      </c>
      <c r="F77" s="677">
        <f>E77-$K15</f>
        <v>88</v>
      </c>
      <c r="G77" s="677">
        <f>F77-$K15</f>
        <v>84</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2559</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97</v>
      </c>
      <c r="E83" s="677">
        <f>D83-$K21</f>
        <v>94</v>
      </c>
      <c r="F83" s="677">
        <f>E83-$K21</f>
        <v>91</v>
      </c>
      <c r="G83" s="677">
        <f>F83-$K21</f>
        <v>88</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2257</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745</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f>B27</f>
        <v>0</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0</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0</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0</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0</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746</v>
      </c>
      <c r="C100" s="3190" t="s">
        <v>3062</v>
      </c>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747</v>
      </c>
      <c r="C102" s="706" t="str">
        <f>C103&amp;"(含)"&amp;"-"&amp;D103</f>
        <v>0(含)-100000</v>
      </c>
      <c r="D102" s="706" t="str">
        <f t="shared" ref="D102:L102" si="23">D103&amp;"(含)"&amp;"-"&amp;E103</f>
        <v>100000(含)-200000</v>
      </c>
      <c r="E102" s="706" t="str">
        <f t="shared" si="23"/>
        <v>200000(含)-500000</v>
      </c>
      <c r="F102" s="706" t="str">
        <f t="shared" si="23"/>
        <v>500000(含)-1000000</v>
      </c>
      <c r="G102" s="706" t="str">
        <f t="shared" si="23"/>
        <v>1000000(含)-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v>100000</v>
      </c>
      <c r="E103" s="728">
        <v>200000</v>
      </c>
      <c r="F103" s="728">
        <v>500000</v>
      </c>
      <c r="G103" s="728">
        <v>1000000</v>
      </c>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v>100</v>
      </c>
      <c r="D104" s="669">
        <v>101</v>
      </c>
      <c r="E104" s="690">
        <v>102</v>
      </c>
      <c r="F104" s="669">
        <v>103</v>
      </c>
      <c r="G104" s="690">
        <v>104</v>
      </c>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3191" t="s">
        <v>3063</v>
      </c>
      <c r="D105" s="3191" t="s">
        <v>3064</v>
      </c>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192" t="s">
        <v>3066</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3191" t="s">
        <v>3068</v>
      </c>
      <c r="D109" s="3191" t="s">
        <v>3069</v>
      </c>
      <c r="E109" s="3191" t="s">
        <v>3070</v>
      </c>
      <c r="F109" s="3192" t="s">
        <v>3072</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3191" t="s">
        <v>3074</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3191" t="s">
        <v>3075</v>
      </c>
      <c r="D116" s="3191" t="s">
        <v>3076</v>
      </c>
      <c r="E116" s="3191" t="s">
        <v>3077</v>
      </c>
      <c r="F116" s="3191" t="s">
        <v>3078</v>
      </c>
      <c r="G116" s="3191" t="s">
        <v>3079</v>
      </c>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3192" t="s">
        <v>3081</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99</v>
      </c>
      <c r="E119" s="677">
        <f t="shared" si="28"/>
        <v>98</v>
      </c>
      <c r="F119" s="677">
        <f t="shared" si="28"/>
        <v>97</v>
      </c>
      <c r="G119" s="677">
        <f t="shared" si="28"/>
        <v>96</v>
      </c>
      <c r="H119" s="677">
        <f t="shared" si="28"/>
        <v>95</v>
      </c>
      <c r="I119" s="677">
        <f t="shared" si="28"/>
        <v>94</v>
      </c>
      <c r="J119" s="677">
        <f t="shared" si="28"/>
        <v>93</v>
      </c>
      <c r="K119" s="677">
        <f t="shared" si="28"/>
        <v>92</v>
      </c>
      <c r="L119" s="677">
        <f t="shared" si="28"/>
        <v>91</v>
      </c>
      <c r="M119" s="677">
        <f t="shared" si="28"/>
        <v>90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732</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3191" t="s">
        <v>3068</v>
      </c>
      <c r="D122" s="3191" t="s">
        <v>3069</v>
      </c>
      <c r="E122" s="3191" t="s">
        <v>3070</v>
      </c>
      <c r="F122" s="3192" t="s">
        <v>3072</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0</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0</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0</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17" sqref="K17"/>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5" t="s">
        <v>719</v>
      </c>
      <c r="C1" s="2646" t="s">
        <v>720</v>
      </c>
      <c r="D1" s="2647" t="s">
        <v>3049</v>
      </c>
      <c r="E1" s="2648"/>
      <c r="F1" s="2829" t="s">
        <v>3060</v>
      </c>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1" t="s">
        <v>467</v>
      </c>
      <c r="B2" s="2644">
        <f>ROUND(B3*D3/10000,0)</f>
        <v>33121</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7" t="s">
        <v>519</v>
      </c>
      <c r="B3" s="849">
        <f>C49</f>
        <v>14209</v>
      </c>
      <c r="C3" s="850" t="s">
        <v>722</v>
      </c>
      <c r="D3" s="849">
        <f>SUMIF('数据-汇总表'!$C19:$C33,D1,'数据-汇总表'!$E19:$E33)</f>
        <v>23309.88</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0" t="s">
        <v>521</v>
      </c>
      <c r="B4" s="511"/>
      <c r="C4" s="3398" t="s">
        <v>522</v>
      </c>
      <c r="D4" s="3399"/>
      <c r="E4" s="3423" t="s">
        <v>523</v>
      </c>
      <c r="F4" s="3424"/>
      <c r="G4" s="3398" t="s">
        <v>524</v>
      </c>
      <c r="H4" s="3399"/>
      <c r="I4" s="3398" t="s">
        <v>525</v>
      </c>
      <c r="J4" s="3399"/>
      <c r="K4" s="851" t="s">
        <v>526</v>
      </c>
      <c r="L4" s="2131"/>
      <c r="M4" s="2132"/>
      <c r="N4" s="2132"/>
      <c r="O4" s="2132"/>
      <c r="P4" s="3400" t="s">
        <v>527</v>
      </c>
      <c r="Q4" s="3401"/>
      <c r="R4" s="3386" t="s">
        <v>523</v>
      </c>
      <c r="S4" s="3387"/>
      <c r="T4" s="3386" t="s">
        <v>524</v>
      </c>
      <c r="U4" s="3387"/>
      <c r="V4" s="3406" t="s">
        <v>525</v>
      </c>
      <c r="W4" s="3406"/>
      <c r="X4" s="3187"/>
      <c r="Y4" s="3386" t="s">
        <v>527</v>
      </c>
      <c r="Z4" s="3387"/>
      <c r="AA4" s="3381" t="s">
        <v>523</v>
      </c>
      <c r="AB4" s="3381" t="s">
        <v>524</v>
      </c>
      <c r="AC4" s="3381" t="s">
        <v>525</v>
      </c>
    </row>
    <row r="5" spans="1:29" ht="15.75" thickBot="1">
      <c r="A5" s="513"/>
      <c r="B5" s="514"/>
      <c r="C5" s="3427" t="s">
        <v>2929</v>
      </c>
      <c r="D5" s="3410"/>
      <c r="E5" s="3470" t="s">
        <v>3106</v>
      </c>
      <c r="F5" s="3426"/>
      <c r="G5" s="3470" t="s">
        <v>3090</v>
      </c>
      <c r="H5" s="3426"/>
      <c r="I5" s="3409" t="s">
        <v>3084</v>
      </c>
      <c r="J5" s="3410"/>
      <c r="K5" s="852"/>
      <c r="L5" s="2131"/>
      <c r="M5" s="2132"/>
      <c r="N5" s="2132"/>
      <c r="O5" s="2132"/>
      <c r="P5" s="3402"/>
      <c r="Q5" s="3403"/>
      <c r="R5" s="3388"/>
      <c r="S5" s="3389"/>
      <c r="T5" s="3388"/>
      <c r="U5" s="3389"/>
      <c r="V5" s="3406"/>
      <c r="W5" s="3406"/>
      <c r="X5" s="3187"/>
      <c r="Y5" s="3388"/>
      <c r="Z5" s="3389"/>
      <c r="AA5" s="3382"/>
      <c r="AB5" s="3382"/>
      <c r="AC5" s="3382"/>
    </row>
    <row r="6" spans="1:29" ht="15.75" hidden="1" thickBot="1">
      <c r="A6" s="515"/>
      <c r="B6" s="516"/>
      <c r="C6" s="3407" t="s">
        <v>2933</v>
      </c>
      <c r="D6" s="3408"/>
      <c r="E6" s="3428" t="s">
        <v>2933</v>
      </c>
      <c r="F6" s="3429"/>
      <c r="G6" s="3407" t="s">
        <v>2933</v>
      </c>
      <c r="H6" s="3408"/>
      <c r="I6" s="3407" t="s">
        <v>2933</v>
      </c>
      <c r="J6" s="3408"/>
      <c r="K6" s="852" t="s">
        <v>528</v>
      </c>
      <c r="L6" s="2131"/>
      <c r="M6" s="2132"/>
      <c r="N6" s="2132"/>
      <c r="O6" s="2132"/>
      <c r="P6" s="3404"/>
      <c r="Q6" s="3405"/>
      <c r="R6" s="3388"/>
      <c r="S6" s="3389"/>
      <c r="T6" s="3390"/>
      <c r="U6" s="3391"/>
      <c r="V6" s="3406"/>
      <c r="W6" s="3406"/>
      <c r="X6" s="3187"/>
      <c r="Y6" s="3390"/>
      <c r="Z6" s="3391"/>
      <c r="AA6" s="3383"/>
      <c r="AB6" s="3383"/>
      <c r="AC6" s="3383"/>
    </row>
    <row r="7" spans="1:29" s="1217" customFormat="1" ht="15.75" thickBot="1">
      <c r="A7" s="2934"/>
      <c r="B7" s="2941" t="s">
        <v>529</v>
      </c>
      <c r="C7" s="517">
        <f>'数据-取费表'!B2</f>
        <v>43239</v>
      </c>
      <c r="D7" s="518">
        <v>100</v>
      </c>
      <c r="E7" s="519">
        <v>43224</v>
      </c>
      <c r="F7" s="520">
        <f>SUMIF(58:58,YEAR(E7)&amp;"-"&amp;MONTH(E7),59:59)</f>
        <v>100</v>
      </c>
      <c r="G7" s="521">
        <v>43239</v>
      </c>
      <c r="H7" s="518">
        <f>SUMIF(58:58,YEAR(G7)&amp;"-"&amp;MONTH(G7),59:59)</f>
        <v>100</v>
      </c>
      <c r="I7" s="521">
        <v>43238</v>
      </c>
      <c r="J7" s="518">
        <f>SUMIF(58:58,YEAR(I7)&amp;"-"&amp;MONTH(I7),59:59)</f>
        <v>100</v>
      </c>
      <c r="K7" s="853"/>
      <c r="L7" s="2133"/>
      <c r="M7" s="2134"/>
      <c r="N7" s="2134"/>
      <c r="O7" s="2134"/>
      <c r="P7" s="3384" t="s">
        <v>530</v>
      </c>
      <c r="Q7" s="3393"/>
      <c r="R7" s="1566" t="s">
        <v>13</v>
      </c>
      <c r="S7" s="1567">
        <f t="shared" ref="S7:S15" si="0">F7</f>
        <v>100</v>
      </c>
      <c r="T7" s="1566" t="s">
        <v>13</v>
      </c>
      <c r="U7" s="1567">
        <f t="shared" ref="U7:U15" si="1">H7</f>
        <v>100</v>
      </c>
      <c r="V7" s="1566" t="s">
        <v>13</v>
      </c>
      <c r="W7" s="1567">
        <f t="shared" ref="W7:W15" si="2">J7</f>
        <v>100</v>
      </c>
      <c r="X7" s="1568"/>
      <c r="Y7" s="3384" t="s">
        <v>530</v>
      </c>
      <c r="Z7" s="3385"/>
      <c r="AA7" s="1569">
        <f>D7/F7</f>
        <v>1</v>
      </c>
      <c r="AB7" s="1569">
        <f>D7/H7</f>
        <v>1</v>
      </c>
      <c r="AC7" s="1569">
        <f>D7/J7</f>
        <v>1</v>
      </c>
    </row>
    <row r="8" spans="1:29" s="1217" customFormat="1" ht="15.75" thickBot="1">
      <c r="A8" s="2935"/>
      <c r="B8" s="2942" t="s">
        <v>531</v>
      </c>
      <c r="C8" s="523" t="s">
        <v>576</v>
      </c>
      <c r="D8" s="518">
        <v>100</v>
      </c>
      <c r="E8" s="854" t="s">
        <v>3058</v>
      </c>
      <c r="F8" s="520">
        <f>SUMIF(61:61,E8,62:62)-SUMIF(61:61,C8,62:62)+100</f>
        <v>100</v>
      </c>
      <c r="G8" s="854" t="s">
        <v>3058</v>
      </c>
      <c r="H8" s="518">
        <f>SUMIF(61:61,G8,62:62)-SUMIF(61:61,C8,62:62)+100</f>
        <v>100</v>
      </c>
      <c r="I8" s="854" t="s">
        <v>3058</v>
      </c>
      <c r="J8" s="518">
        <f>SUMIF(61:61,I8,62:62)-SUMIF(61:61,C8,62:62)+100</f>
        <v>100</v>
      </c>
      <c r="K8" s="853"/>
      <c r="L8" s="2133"/>
      <c r="M8" s="2134"/>
      <c r="N8" s="2134"/>
      <c r="O8" s="2134"/>
      <c r="P8" s="3384" t="s">
        <v>533</v>
      </c>
      <c r="Q8" s="3385"/>
      <c r="R8" s="1566" t="s">
        <v>13</v>
      </c>
      <c r="S8" s="1567">
        <f t="shared" si="0"/>
        <v>100</v>
      </c>
      <c r="T8" s="1566" t="s">
        <v>13</v>
      </c>
      <c r="U8" s="1567">
        <f t="shared" si="1"/>
        <v>100</v>
      </c>
      <c r="V8" s="1566" t="s">
        <v>13</v>
      </c>
      <c r="W8" s="1567">
        <f t="shared" si="2"/>
        <v>100</v>
      </c>
      <c r="X8" s="1568"/>
      <c r="Y8" s="3384" t="s">
        <v>533</v>
      </c>
      <c r="Z8" s="3385"/>
      <c r="AA8" s="1569">
        <f t="shared" ref="AA8:AA46" si="3">D8/F8</f>
        <v>1</v>
      </c>
      <c r="AB8" s="1569">
        <f t="shared" ref="AB8:AB46" si="4">D8/H8</f>
        <v>1</v>
      </c>
      <c r="AC8" s="1569">
        <f t="shared" ref="AC8:AC46" si="5">D8/J8</f>
        <v>1</v>
      </c>
    </row>
    <row r="9" spans="1:29" s="1217" customFormat="1" ht="15">
      <c r="A9" s="2936"/>
      <c r="B9" s="2943" t="s">
        <v>2757</v>
      </c>
      <c r="C9" s="3193" t="s">
        <v>3059</v>
      </c>
      <c r="D9" s="252">
        <v>100</v>
      </c>
      <c r="E9" s="856" t="s">
        <v>922</v>
      </c>
      <c r="F9" s="857">
        <f>SUMIF(63:63,E9,64:64)-SUMIF(63:63,C9,64:64)+100</f>
        <v>100</v>
      </c>
      <c r="G9" s="856" t="s">
        <v>922</v>
      </c>
      <c r="H9" s="252">
        <f>SUMIF(63:63,G9,64:64)-SUMIF(63:63,C9,64:64)+100</f>
        <v>100</v>
      </c>
      <c r="I9" s="856" t="s">
        <v>922</v>
      </c>
      <c r="J9" s="252">
        <f>SUMIF(63:63,I9,64:64)-SUMIF(63:63,C9,64:64)+100</f>
        <v>100</v>
      </c>
      <c r="K9" s="853"/>
      <c r="L9" s="2133"/>
      <c r="M9" s="2134"/>
      <c r="N9" s="2134"/>
      <c r="O9" s="2135"/>
      <c r="P9" s="3392" t="s">
        <v>535</v>
      </c>
      <c r="Q9" s="3183" t="str">
        <f t="shared" ref="Q9:Q15" si="6">B9</f>
        <v>用途</v>
      </c>
      <c r="R9" s="1566" t="s">
        <v>8</v>
      </c>
      <c r="S9" s="1567">
        <f t="shared" si="0"/>
        <v>100</v>
      </c>
      <c r="T9" s="1566" t="s">
        <v>8</v>
      </c>
      <c r="U9" s="1567">
        <f t="shared" si="1"/>
        <v>100</v>
      </c>
      <c r="V9" s="1566" t="s">
        <v>8</v>
      </c>
      <c r="W9" s="1567">
        <f t="shared" si="2"/>
        <v>100</v>
      </c>
      <c r="X9" s="1568"/>
      <c r="Y9" s="3349" t="s">
        <v>536</v>
      </c>
      <c r="Z9" s="3178" t="str">
        <f t="shared" ref="Z9:Z15" si="7">Q9</f>
        <v>用途</v>
      </c>
      <c r="AA9" s="1569">
        <f t="shared" si="3"/>
        <v>1</v>
      </c>
      <c r="AB9" s="1569">
        <f t="shared" si="4"/>
        <v>1</v>
      </c>
      <c r="AC9" s="1569">
        <f t="shared" si="5"/>
        <v>1</v>
      </c>
    </row>
    <row r="10" spans="1:29" s="1335" customFormat="1" ht="27">
      <c r="A10" s="2937"/>
      <c r="B10" s="2942" t="s">
        <v>2758</v>
      </c>
      <c r="C10" s="859" t="s">
        <v>3082</v>
      </c>
      <c r="D10" s="253">
        <v>100</v>
      </c>
      <c r="E10" s="859" t="s">
        <v>3082</v>
      </c>
      <c r="F10" s="861">
        <f>SUMIF(65:65,E10,66:66)-SUMIF(65:65,C10,66:66)+100</f>
        <v>100</v>
      </c>
      <c r="G10" s="859" t="s">
        <v>3082</v>
      </c>
      <c r="H10" s="253">
        <f>SUMIF(65:65,G10,66:66)-SUMIF(65:65,C10,66:66)+100</f>
        <v>100</v>
      </c>
      <c r="I10" s="859" t="s">
        <v>3082</v>
      </c>
      <c r="J10" s="253">
        <f>SUMIF(65:65,I10,66:66)-SUMIF(65:65,C10,66:66)+100</f>
        <v>100</v>
      </c>
      <c r="K10" s="862">
        <v>2</v>
      </c>
      <c r="L10" s="2136"/>
      <c r="M10" s="2176"/>
      <c r="N10" s="2176"/>
      <c r="O10" s="2137"/>
      <c r="P10" s="3392"/>
      <c r="Q10" s="3183" t="str">
        <f t="shared" si="6"/>
        <v>土地使用年限（年）</v>
      </c>
      <c r="R10" s="1566" t="s">
        <v>8</v>
      </c>
      <c r="S10" s="1567">
        <f t="shared" si="0"/>
        <v>100</v>
      </c>
      <c r="T10" s="1566" t="s">
        <v>8</v>
      </c>
      <c r="U10" s="1567">
        <f t="shared" si="1"/>
        <v>100</v>
      </c>
      <c r="V10" s="1566" t="s">
        <v>8</v>
      </c>
      <c r="W10" s="1567">
        <f t="shared" si="2"/>
        <v>100</v>
      </c>
      <c r="X10" s="1568"/>
      <c r="Y10" s="3349"/>
      <c r="Z10" s="3178" t="str">
        <f t="shared" si="7"/>
        <v>土地使用年限（年）</v>
      </c>
      <c r="AA10" s="1569">
        <f t="shared" si="3"/>
        <v>1</v>
      </c>
      <c r="AB10" s="1569">
        <f t="shared" si="4"/>
        <v>1</v>
      </c>
      <c r="AC10" s="1569">
        <f t="shared" si="5"/>
        <v>1</v>
      </c>
    </row>
    <row r="11" spans="1:29" ht="15.75" thickBot="1">
      <c r="A11" s="2938"/>
      <c r="B11" s="2942" t="s">
        <v>2759</v>
      </c>
      <c r="C11" s="531">
        <f>'数据-汇总表'!I7</f>
        <v>2</v>
      </c>
      <c r="D11" s="253">
        <v>100</v>
      </c>
      <c r="E11" s="532">
        <v>2.1</v>
      </c>
      <c r="F11" s="861">
        <f>LOOKUP(E11,68:68,69:69)-LOOKUP(C11,68:68,69:69)+100</f>
        <v>100</v>
      </c>
      <c r="G11" s="532">
        <v>2.1</v>
      </c>
      <c r="H11" s="253">
        <f>LOOKUP(G11,68:68,69:69)-LOOKUP(C11,68:68,69:69)+100</f>
        <v>100</v>
      </c>
      <c r="I11" s="531">
        <v>1</v>
      </c>
      <c r="J11" s="253">
        <f>LOOKUP(I11,68:68,69:69)-LOOKUP(C11,68:68,69:69)+100</f>
        <v>106</v>
      </c>
      <c r="K11" s="3205">
        <v>3</v>
      </c>
      <c r="L11" s="2138"/>
      <c r="M11" s="2132"/>
      <c r="N11" s="2132"/>
      <c r="O11" s="2139"/>
      <c r="P11" s="3392"/>
      <c r="Q11" s="3183" t="str">
        <f t="shared" si="6"/>
        <v>容积率</v>
      </c>
      <c r="R11" s="1566" t="s">
        <v>11</v>
      </c>
      <c r="S11" s="1567">
        <f t="shared" si="0"/>
        <v>100</v>
      </c>
      <c r="T11" s="1566" t="s">
        <v>11</v>
      </c>
      <c r="U11" s="1567">
        <f t="shared" si="1"/>
        <v>100</v>
      </c>
      <c r="V11" s="1566" t="s">
        <v>11</v>
      </c>
      <c r="W11" s="1567">
        <f t="shared" si="2"/>
        <v>106</v>
      </c>
      <c r="X11" s="1568"/>
      <c r="Y11" s="3349"/>
      <c r="Z11" s="3178" t="str">
        <f t="shared" si="7"/>
        <v>容积率</v>
      </c>
      <c r="AA11" s="1569">
        <f t="shared" si="3"/>
        <v>1</v>
      </c>
      <c r="AB11" s="1569">
        <f t="shared" si="4"/>
        <v>1</v>
      </c>
      <c r="AC11" s="1569">
        <f t="shared" si="5"/>
        <v>0.94339622641509435</v>
      </c>
    </row>
    <row r="12" spans="1:29" s="1217" customFormat="1" ht="15.75" hidden="1" thickBot="1">
      <c r="A12" s="2939"/>
      <c r="B12" s="2945"/>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92"/>
      <c r="Q12" s="3183">
        <f t="shared" si="6"/>
        <v>0</v>
      </c>
      <c r="R12" s="1566" t="s">
        <v>11</v>
      </c>
      <c r="S12" s="1567">
        <f t="shared" si="0"/>
        <v>100</v>
      </c>
      <c r="T12" s="1566" t="s">
        <v>11</v>
      </c>
      <c r="U12" s="1567">
        <f t="shared" si="1"/>
        <v>100</v>
      </c>
      <c r="V12" s="1566" t="s">
        <v>11</v>
      </c>
      <c r="W12" s="1567">
        <f t="shared" si="2"/>
        <v>100</v>
      </c>
      <c r="X12" s="1568"/>
      <c r="Y12" s="3349"/>
      <c r="Z12" s="3178">
        <f t="shared" si="7"/>
        <v>0</v>
      </c>
      <c r="AA12" s="1569">
        <f>D12/F12</f>
        <v>1</v>
      </c>
      <c r="AB12" s="1569">
        <f>D12/H12</f>
        <v>1</v>
      </c>
      <c r="AC12" s="1569">
        <f>D12/J12</f>
        <v>1</v>
      </c>
    </row>
    <row r="13" spans="1:29" ht="15.75" hidden="1" thickBot="1">
      <c r="A13" s="2939"/>
      <c r="B13" s="2945"/>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92"/>
      <c r="Q13" s="3183">
        <f t="shared" si="6"/>
        <v>0</v>
      </c>
      <c r="R13" s="1566" t="s">
        <v>11</v>
      </c>
      <c r="S13" s="1567">
        <f t="shared" si="0"/>
        <v>100</v>
      </c>
      <c r="T13" s="1566" t="s">
        <v>11</v>
      </c>
      <c r="U13" s="1567">
        <f t="shared" si="1"/>
        <v>100</v>
      </c>
      <c r="V13" s="1566" t="s">
        <v>11</v>
      </c>
      <c r="W13" s="1567">
        <f t="shared" si="2"/>
        <v>100</v>
      </c>
      <c r="X13" s="1568"/>
      <c r="Y13" s="3349"/>
      <c r="Z13" s="3178">
        <f t="shared" si="7"/>
        <v>0</v>
      </c>
      <c r="AA13" s="1569">
        <f t="shared" si="3"/>
        <v>1</v>
      </c>
      <c r="AB13" s="1569">
        <f t="shared" si="4"/>
        <v>1</v>
      </c>
      <c r="AC13" s="1569">
        <f t="shared" si="5"/>
        <v>1</v>
      </c>
    </row>
    <row r="14" spans="1:29" ht="15.75" hidden="1" thickBot="1">
      <c r="A14" s="2940"/>
      <c r="B14" s="2946"/>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92"/>
      <c r="Q14" s="3183">
        <f t="shared" si="6"/>
        <v>0</v>
      </c>
      <c r="R14" s="1566" t="s">
        <v>11</v>
      </c>
      <c r="S14" s="1567">
        <f t="shared" si="0"/>
        <v>100</v>
      </c>
      <c r="T14" s="1566" t="s">
        <v>11</v>
      </c>
      <c r="U14" s="1567">
        <f t="shared" si="1"/>
        <v>100</v>
      </c>
      <c r="V14" s="1566" t="s">
        <v>11</v>
      </c>
      <c r="W14" s="1567">
        <f t="shared" si="2"/>
        <v>100</v>
      </c>
      <c r="X14" s="1568"/>
      <c r="Y14" s="3349"/>
      <c r="Z14" s="3178">
        <f t="shared" si="7"/>
        <v>0</v>
      </c>
      <c r="AA14" s="1569">
        <f t="shared" si="3"/>
        <v>1</v>
      </c>
      <c r="AB14" s="1569">
        <f t="shared" si="4"/>
        <v>1</v>
      </c>
      <c r="AC14" s="1569">
        <f t="shared" si="5"/>
        <v>1</v>
      </c>
    </row>
    <row r="15" spans="1:29" ht="99.75">
      <c r="A15" s="2932" t="s">
        <v>2755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4</v>
      </c>
      <c r="L15" s="2140"/>
      <c r="M15" s="2132"/>
      <c r="N15" s="2132"/>
      <c r="O15" s="2139"/>
      <c r="P15" s="3394" t="s">
        <v>540</v>
      </c>
      <c r="Q15" s="3185" t="str">
        <f t="shared" si="6"/>
        <v>居住社区成熟度</v>
      </c>
      <c r="R15" s="1571" t="s">
        <v>11</v>
      </c>
      <c r="S15" s="1572">
        <f t="shared" si="0"/>
        <v>100</v>
      </c>
      <c r="T15" s="1571" t="s">
        <v>11</v>
      </c>
      <c r="U15" s="1572">
        <f t="shared" si="1"/>
        <v>100</v>
      </c>
      <c r="V15" s="1571" t="s">
        <v>11</v>
      </c>
      <c r="W15" s="1572">
        <f t="shared" si="2"/>
        <v>100</v>
      </c>
      <c r="X15" s="3187"/>
      <c r="Y15" s="3394" t="s">
        <v>540</v>
      </c>
      <c r="Z15" s="3186" t="str">
        <f t="shared" si="7"/>
        <v>居住社区成熟度</v>
      </c>
      <c r="AA15" s="3188">
        <f t="shared" si="3"/>
        <v>1</v>
      </c>
      <c r="AB15" s="3188">
        <f t="shared" si="4"/>
        <v>1</v>
      </c>
      <c r="AC15" s="3188">
        <f t="shared" si="5"/>
        <v>1</v>
      </c>
    </row>
    <row r="16" spans="1:29" ht="15">
      <c r="A16" s="530"/>
      <c r="B16" s="867"/>
      <c r="C16" s="574" t="s">
        <v>3017</v>
      </c>
      <c r="D16" s="553"/>
      <c r="E16" s="554" t="s">
        <v>3017</v>
      </c>
      <c r="F16" s="555"/>
      <c r="G16" s="554" t="s">
        <v>3017</v>
      </c>
      <c r="H16" s="557"/>
      <c r="I16" s="554" t="s">
        <v>3017</v>
      </c>
      <c r="J16" s="553"/>
      <c r="K16" s="868"/>
      <c r="L16" s="2140"/>
      <c r="M16" s="2132"/>
      <c r="N16" s="2132"/>
      <c r="O16" s="2139"/>
      <c r="P16" s="3395"/>
      <c r="Q16" s="3185"/>
      <c r="R16" s="1571"/>
      <c r="S16" s="1572"/>
      <c r="T16" s="1571"/>
      <c r="U16" s="1572"/>
      <c r="V16" s="1571"/>
      <c r="W16" s="1572"/>
      <c r="X16" s="3187"/>
      <c r="Y16" s="3395"/>
      <c r="Z16" s="3186"/>
      <c r="AA16" s="3188">
        <v>1</v>
      </c>
      <c r="AB16" s="3188">
        <v>1</v>
      </c>
      <c r="AC16" s="3188">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0"/>
      <c r="H17" s="563">
        <f>SUMIF(78:78,G18,79:79)-SUMIF(78:78,C18,79:79)+100</f>
        <v>100</v>
      </c>
      <c r="I17" s="560"/>
      <c r="J17" s="563">
        <f>SUMIF(78:78,I18,79:79)-SUMIF(78:78,C18,79:79)+100</f>
        <v>100</v>
      </c>
      <c r="K17" s="866">
        <v>3</v>
      </c>
      <c r="L17" s="2140"/>
      <c r="M17" s="2132"/>
      <c r="N17" s="2132"/>
      <c r="O17" s="2139"/>
      <c r="P17" s="3395"/>
      <c r="Q17" s="3185" t="str">
        <f>B17</f>
        <v>交通便捷度</v>
      </c>
      <c r="R17" s="1571" t="s">
        <v>11</v>
      </c>
      <c r="S17" s="1572">
        <f>F17</f>
        <v>100</v>
      </c>
      <c r="T17" s="1571" t="s">
        <v>11</v>
      </c>
      <c r="U17" s="1572">
        <f>H17</f>
        <v>100</v>
      </c>
      <c r="V17" s="1571" t="s">
        <v>11</v>
      </c>
      <c r="W17" s="1572">
        <f>J17</f>
        <v>100</v>
      </c>
      <c r="X17" s="3187"/>
      <c r="Y17" s="3395"/>
      <c r="Z17" s="3186" t="str">
        <f>Q17</f>
        <v>交通便捷度</v>
      </c>
      <c r="AA17" s="3188">
        <f t="shared" si="3"/>
        <v>1</v>
      </c>
      <c r="AB17" s="3188">
        <f t="shared" si="4"/>
        <v>1</v>
      </c>
      <c r="AC17" s="3188">
        <f t="shared" si="5"/>
        <v>1</v>
      </c>
    </row>
    <row r="18" spans="1:29" ht="15">
      <c r="A18" s="530"/>
      <c r="B18" s="593"/>
      <c r="C18" s="871" t="s">
        <v>3017</v>
      </c>
      <c r="D18" s="557"/>
      <c r="E18" s="566" t="s">
        <v>3017</v>
      </c>
      <c r="F18" s="561"/>
      <c r="G18" s="566" t="s">
        <v>3017</v>
      </c>
      <c r="H18" s="553"/>
      <c r="I18" s="566" t="s">
        <v>3017</v>
      </c>
      <c r="J18" s="553"/>
      <c r="K18" s="868"/>
      <c r="L18" s="2140"/>
      <c r="M18" s="2132"/>
      <c r="N18" s="2132"/>
      <c r="O18" s="2139"/>
      <c r="P18" s="3395"/>
      <c r="Q18" s="3185"/>
      <c r="R18" s="1571"/>
      <c r="S18" s="1572"/>
      <c r="T18" s="1571"/>
      <c r="U18" s="1572"/>
      <c r="V18" s="1571"/>
      <c r="W18" s="1572"/>
      <c r="X18" s="3187"/>
      <c r="Y18" s="3395"/>
      <c r="Z18" s="3186"/>
      <c r="AA18" s="3188">
        <v>1</v>
      </c>
      <c r="AB18" s="3188">
        <v>1</v>
      </c>
      <c r="AC18" s="3188">
        <v>1</v>
      </c>
    </row>
    <row r="19" spans="1:29" ht="42.75">
      <c r="A19" s="530"/>
      <c r="B19" s="2622" t="s">
        <v>2547</v>
      </c>
      <c r="C19" s="870" t="str">
        <f>估价对象房地状况!C7</f>
        <v>估价对象所在区域公共配套设施齐备情况</v>
      </c>
      <c r="D19" s="563">
        <v>100</v>
      </c>
      <c r="E19" s="568"/>
      <c r="F19" s="569">
        <f>SUMIF(80:80,E20,81:81)-SUMIF(80:80,C20,81:81)+100</f>
        <v>100</v>
      </c>
      <c r="G19" s="568"/>
      <c r="H19" s="557">
        <f>SUMIF(80:80,G20,81:81)-SUMIF(80:80,C20,81:81)+100</f>
        <v>100</v>
      </c>
      <c r="I19" s="568"/>
      <c r="J19" s="557">
        <f>SUMIF(80:80,I20,81:81)-SUMIF(80:80,C20,81:81)+100</f>
        <v>100</v>
      </c>
      <c r="K19" s="866">
        <v>3</v>
      </c>
      <c r="L19" s="2140"/>
      <c r="M19" s="2132"/>
      <c r="N19" s="2132"/>
      <c r="O19" s="2139"/>
      <c r="P19" s="3395"/>
      <c r="Q19" s="3185" t="str">
        <f>B19</f>
        <v>公共配套设施</v>
      </c>
      <c r="R19" s="1571" t="s">
        <v>11</v>
      </c>
      <c r="S19" s="1572">
        <f>F19</f>
        <v>100</v>
      </c>
      <c r="T19" s="1571" t="s">
        <v>11</v>
      </c>
      <c r="U19" s="1572">
        <f>H19</f>
        <v>100</v>
      </c>
      <c r="V19" s="1571" t="s">
        <v>11</v>
      </c>
      <c r="W19" s="1572">
        <f>J19</f>
        <v>100</v>
      </c>
      <c r="X19" s="3187"/>
      <c r="Y19" s="3395"/>
      <c r="Z19" s="3186" t="str">
        <f>Q19</f>
        <v>公共配套设施</v>
      </c>
      <c r="AA19" s="3188">
        <f t="shared" si="3"/>
        <v>1</v>
      </c>
      <c r="AB19" s="3188">
        <f t="shared" si="4"/>
        <v>1</v>
      </c>
      <c r="AC19" s="3188">
        <f t="shared" si="5"/>
        <v>1</v>
      </c>
    </row>
    <row r="20" spans="1:29" ht="15">
      <c r="A20" s="530"/>
      <c r="B20" s="593"/>
      <c r="C20" s="574" t="s">
        <v>3017</v>
      </c>
      <c r="D20" s="553"/>
      <c r="E20" s="554" t="s">
        <v>3017</v>
      </c>
      <c r="F20" s="555"/>
      <c r="G20" s="554" t="s">
        <v>3017</v>
      </c>
      <c r="H20" s="553"/>
      <c r="I20" s="554" t="s">
        <v>3017</v>
      </c>
      <c r="J20" s="553"/>
      <c r="K20" s="868"/>
      <c r="L20" s="2140"/>
      <c r="M20" s="2132"/>
      <c r="N20" s="2132"/>
      <c r="O20" s="2139"/>
      <c r="P20" s="3395"/>
      <c r="Q20" s="3185"/>
      <c r="R20" s="1571"/>
      <c r="S20" s="1572"/>
      <c r="T20" s="1571"/>
      <c r="U20" s="1572"/>
      <c r="V20" s="1571"/>
      <c r="W20" s="1572"/>
      <c r="X20" s="3187"/>
      <c r="Y20" s="3395"/>
      <c r="Z20" s="3186"/>
      <c r="AA20" s="3188">
        <v>1</v>
      </c>
      <c r="AB20" s="3188">
        <v>1</v>
      </c>
      <c r="AC20" s="3188">
        <v>1</v>
      </c>
    </row>
    <row r="21" spans="1:29" ht="28.5">
      <c r="A21" s="530"/>
      <c r="B21" s="2615" t="s">
        <v>2548</v>
      </c>
      <c r="C21" s="870" t="str">
        <f>估价对象房地状况!C8</f>
        <v>估价对象所在区域基础设施水平</v>
      </c>
      <c r="D21" s="563">
        <v>100</v>
      </c>
      <c r="E21" s="570"/>
      <c r="F21" s="569">
        <f>SUMIF(82:82,E22,83:83)-SUMIF(82:82,C22,83:83)+100</f>
        <v>100</v>
      </c>
      <c r="G21" s="570"/>
      <c r="H21" s="563">
        <f>SUMIF(82:82,G22,83:83)-SUMIF(82:82,C22,83:83)+100</f>
        <v>100</v>
      </c>
      <c r="I21" s="570"/>
      <c r="J21" s="563">
        <f>SUMIF(82:82,I22,83:83)-SUMIF(82:82,C22,83:83)+100</f>
        <v>100</v>
      </c>
      <c r="K21" s="866">
        <v>3</v>
      </c>
      <c r="L21" s="2140"/>
      <c r="M21" s="2132"/>
      <c r="N21" s="2132"/>
      <c r="O21" s="2139"/>
      <c r="P21" s="3395"/>
      <c r="Q21" s="3185" t="str">
        <f>B21</f>
        <v>基础设施水平</v>
      </c>
      <c r="R21" s="1571" t="s">
        <v>11</v>
      </c>
      <c r="S21" s="1572">
        <f>F21</f>
        <v>100</v>
      </c>
      <c r="T21" s="1571" t="s">
        <v>11</v>
      </c>
      <c r="U21" s="1572">
        <f>H21</f>
        <v>100</v>
      </c>
      <c r="V21" s="1571" t="s">
        <v>11</v>
      </c>
      <c r="W21" s="1572">
        <f>J21</f>
        <v>100</v>
      </c>
      <c r="X21" s="3187"/>
      <c r="Y21" s="3395"/>
      <c r="Z21" s="3186" t="str">
        <f>Q21</f>
        <v>基础设施水平</v>
      </c>
      <c r="AA21" s="3188">
        <f t="shared" ref="AA21" si="8">D21/F21</f>
        <v>1</v>
      </c>
      <c r="AB21" s="3188">
        <f t="shared" ref="AB21" si="9">D21/H21</f>
        <v>1</v>
      </c>
      <c r="AC21" s="3188">
        <f t="shared" ref="AC21" si="10">D21/J21</f>
        <v>1</v>
      </c>
    </row>
    <row r="22" spans="1:29" ht="15">
      <c r="A22" s="530"/>
      <c r="B22" s="919"/>
      <c r="C22" s="871" t="s">
        <v>3019</v>
      </c>
      <c r="D22" s="553"/>
      <c r="E22" s="574" t="s">
        <v>3019</v>
      </c>
      <c r="F22" s="555"/>
      <c r="G22" s="574" t="s">
        <v>3019</v>
      </c>
      <c r="H22" s="553"/>
      <c r="I22" s="574" t="s">
        <v>3019</v>
      </c>
      <c r="J22" s="553"/>
      <c r="K22" s="2621"/>
      <c r="L22" s="2140"/>
      <c r="M22" s="2132"/>
      <c r="N22" s="2132"/>
      <c r="O22" s="2139"/>
      <c r="P22" s="3395"/>
      <c r="Q22" s="3185"/>
      <c r="R22" s="1571"/>
      <c r="S22" s="1572"/>
      <c r="T22" s="1571"/>
      <c r="U22" s="1572"/>
      <c r="V22" s="1571"/>
      <c r="W22" s="1572"/>
      <c r="X22" s="3187"/>
      <c r="Y22" s="3395"/>
      <c r="Z22" s="3186"/>
      <c r="AA22" s="3188">
        <v>1</v>
      </c>
      <c r="AB22" s="3188">
        <v>1</v>
      </c>
      <c r="AC22" s="3188">
        <v>1</v>
      </c>
    </row>
    <row r="23" spans="1:29" ht="57">
      <c r="A23" s="530"/>
      <c r="B23" s="869" t="s">
        <v>297</v>
      </c>
      <c r="C23" s="870" t="str">
        <f>估价对象房地状况!C9</f>
        <v>区域自然环境：；人文环境；综合评价环境状况一般</v>
      </c>
      <c r="D23" s="557">
        <v>100</v>
      </c>
      <c r="E23" s="560"/>
      <c r="F23" s="561">
        <f>SUMIF(84:84,E24,85:85)-SUMIF(84:84,C24,85:85)+100</f>
        <v>100</v>
      </c>
      <c r="G23" s="560"/>
      <c r="H23" s="557">
        <f>SUMIF(84:84,G24,85:85)-SUMIF(84:84,C24,85:85)+100</f>
        <v>100</v>
      </c>
      <c r="I23" s="560"/>
      <c r="J23" s="557">
        <f>SUMIF(84:84,I24,85:85)-SUMIF(84:84,C24,85:85)+100</f>
        <v>100</v>
      </c>
      <c r="K23" s="866">
        <v>2</v>
      </c>
      <c r="L23" s="2140"/>
      <c r="M23" s="2132"/>
      <c r="N23" s="2132"/>
      <c r="O23" s="2139"/>
      <c r="P23" s="3395"/>
      <c r="Q23" s="3185" t="str">
        <f>B23</f>
        <v>自然及人文环境</v>
      </c>
      <c r="R23" s="1571" t="s">
        <v>11</v>
      </c>
      <c r="S23" s="1572">
        <f>F23</f>
        <v>100</v>
      </c>
      <c r="T23" s="1571" t="s">
        <v>11</v>
      </c>
      <c r="U23" s="1572">
        <f>H23</f>
        <v>100</v>
      </c>
      <c r="V23" s="1571" t="s">
        <v>11</v>
      </c>
      <c r="W23" s="1572">
        <f>J23</f>
        <v>100</v>
      </c>
      <c r="X23" s="3187"/>
      <c r="Y23" s="3395"/>
      <c r="Z23" s="3186" t="str">
        <f>Q23</f>
        <v>自然及人文环境</v>
      </c>
      <c r="AA23" s="3188">
        <f t="shared" si="3"/>
        <v>1</v>
      </c>
      <c r="AB23" s="3188">
        <f t="shared" si="4"/>
        <v>1</v>
      </c>
      <c r="AC23" s="3188">
        <f t="shared" si="5"/>
        <v>1</v>
      </c>
    </row>
    <row r="24" spans="1:29" ht="15.75" thickBot="1">
      <c r="A24" s="530"/>
      <c r="B24" s="593"/>
      <c r="C24" s="574" t="s">
        <v>3017</v>
      </c>
      <c r="D24" s="553"/>
      <c r="E24" s="554" t="s">
        <v>3017</v>
      </c>
      <c r="F24" s="555"/>
      <c r="G24" s="554" t="s">
        <v>3017</v>
      </c>
      <c r="H24" s="553"/>
      <c r="I24" s="554" t="s">
        <v>3017</v>
      </c>
      <c r="J24" s="553"/>
      <c r="K24" s="868"/>
      <c r="L24" s="2140"/>
      <c r="M24" s="2132"/>
      <c r="N24" s="2132"/>
      <c r="O24" s="2139"/>
      <c r="P24" s="3395"/>
      <c r="Q24" s="3185"/>
      <c r="R24" s="1571"/>
      <c r="S24" s="1572"/>
      <c r="T24" s="1571"/>
      <c r="U24" s="1572"/>
      <c r="V24" s="1571"/>
      <c r="W24" s="1572"/>
      <c r="X24" s="3187"/>
      <c r="Y24" s="3395"/>
      <c r="Z24" s="3186"/>
      <c r="AA24" s="3188">
        <v>1</v>
      </c>
      <c r="AB24" s="3188">
        <v>1</v>
      </c>
      <c r="AC24" s="3188">
        <v>1</v>
      </c>
    </row>
    <row r="25" spans="1:29" ht="15.75" hidden="1" thickBot="1">
      <c r="A25" s="530"/>
      <c r="B25" s="1893" t="s">
        <v>2256</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95"/>
      <c r="Q25" s="3185" t="str">
        <f t="shared" ref="Q25:Q46" si="11">B25</f>
        <v>楼层-1</v>
      </c>
      <c r="R25" s="1571" t="s">
        <v>11</v>
      </c>
      <c r="S25" s="1572">
        <f>F25</f>
        <v>100</v>
      </c>
      <c r="T25" s="1571" t="s">
        <v>11</v>
      </c>
      <c r="U25" s="1572">
        <f>H25</f>
        <v>100</v>
      </c>
      <c r="V25" s="1571" t="s">
        <v>11</v>
      </c>
      <c r="W25" s="1572">
        <f>J25</f>
        <v>100</v>
      </c>
      <c r="X25" s="3187"/>
      <c r="Y25" s="3395"/>
      <c r="Z25" s="3186" t="str">
        <f>Q25</f>
        <v>楼层-1</v>
      </c>
      <c r="AA25" s="3188">
        <f t="shared" si="3"/>
        <v>1</v>
      </c>
      <c r="AB25" s="3188">
        <f t="shared" si="4"/>
        <v>1</v>
      </c>
      <c r="AC25" s="3188">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95"/>
      <c r="Q26" s="3185" t="str">
        <f t="shared" si="11"/>
        <v>朝向</v>
      </c>
      <c r="R26" s="1571" t="s">
        <v>11</v>
      </c>
      <c r="S26" s="1572">
        <f>F26</f>
        <v>100</v>
      </c>
      <c r="T26" s="1571" t="s">
        <v>11</v>
      </c>
      <c r="U26" s="1572">
        <f>H26</f>
        <v>100</v>
      </c>
      <c r="V26" s="1571" t="s">
        <v>11</v>
      </c>
      <c r="W26" s="1572">
        <f>J26</f>
        <v>100</v>
      </c>
      <c r="X26" s="3187"/>
      <c r="Y26" s="3395"/>
      <c r="Z26" s="3186" t="str">
        <f>Q26</f>
        <v>朝向</v>
      </c>
      <c r="AA26" s="3188">
        <f t="shared" si="3"/>
        <v>1</v>
      </c>
      <c r="AB26" s="3188">
        <f t="shared" si="4"/>
        <v>1</v>
      </c>
      <c r="AC26" s="3188">
        <f t="shared" si="5"/>
        <v>1</v>
      </c>
    </row>
    <row r="27" spans="1:29" s="1217" customFormat="1" ht="15.75" hidden="1" thickBot="1">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95"/>
      <c r="Q27" s="3183">
        <f t="shared" si="11"/>
        <v>0</v>
      </c>
      <c r="R27" s="1566" t="s">
        <v>11</v>
      </c>
      <c r="S27" s="1567">
        <f>F27</f>
        <v>100</v>
      </c>
      <c r="T27" s="1566" t="s">
        <v>11</v>
      </c>
      <c r="U27" s="1567">
        <f>H27</f>
        <v>100</v>
      </c>
      <c r="V27" s="1566" t="s">
        <v>11</v>
      </c>
      <c r="W27" s="1567">
        <f>J27</f>
        <v>100</v>
      </c>
      <c r="X27" s="1568"/>
      <c r="Y27" s="3395"/>
      <c r="Z27" s="3178">
        <f>Q27</f>
        <v>0</v>
      </c>
      <c r="AA27" s="3188">
        <f>D27/F27</f>
        <v>1</v>
      </c>
      <c r="AB27" s="3188">
        <f>D27/H27</f>
        <v>1</v>
      </c>
      <c r="AC27" s="3188">
        <f>D27/J27</f>
        <v>1</v>
      </c>
    </row>
    <row r="28" spans="1:29" ht="15.75" hidden="1" thickBot="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95"/>
      <c r="Q28" s="3185">
        <f t="shared" si="11"/>
        <v>0</v>
      </c>
      <c r="R28" s="1571" t="s">
        <v>11</v>
      </c>
      <c r="S28" s="1572">
        <f t="shared" ref="S28:S46" si="12">F28</f>
        <v>100</v>
      </c>
      <c r="T28" s="1571" t="s">
        <v>11</v>
      </c>
      <c r="U28" s="1572">
        <f t="shared" ref="U28:U46" si="13">H28</f>
        <v>100</v>
      </c>
      <c r="V28" s="1571" t="s">
        <v>11</v>
      </c>
      <c r="W28" s="1572">
        <f t="shared" ref="W28:W46" si="14">J28</f>
        <v>100</v>
      </c>
      <c r="X28" s="3187"/>
      <c r="Y28" s="3395"/>
      <c r="Z28" s="3186">
        <f t="shared" ref="Z28:Z46" si="15">Q28</f>
        <v>0</v>
      </c>
      <c r="AA28" s="3188">
        <f t="shared" si="3"/>
        <v>1</v>
      </c>
      <c r="AB28" s="3188">
        <f t="shared" si="4"/>
        <v>1</v>
      </c>
      <c r="AC28" s="3188">
        <f t="shared" si="5"/>
        <v>1</v>
      </c>
    </row>
    <row r="29" spans="1:29" ht="15.75" hidden="1" thickBot="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95"/>
      <c r="Q29" s="3185">
        <f t="shared" si="11"/>
        <v>0</v>
      </c>
      <c r="R29" s="1571" t="s">
        <v>11</v>
      </c>
      <c r="S29" s="1572">
        <f t="shared" si="12"/>
        <v>100</v>
      </c>
      <c r="T29" s="1571" t="s">
        <v>11</v>
      </c>
      <c r="U29" s="1572">
        <f t="shared" si="13"/>
        <v>100</v>
      </c>
      <c r="V29" s="1571" t="s">
        <v>11</v>
      </c>
      <c r="W29" s="1572">
        <f t="shared" si="14"/>
        <v>100</v>
      </c>
      <c r="X29" s="3187"/>
      <c r="Y29" s="3395"/>
      <c r="Z29" s="3186">
        <f t="shared" si="15"/>
        <v>0</v>
      </c>
      <c r="AA29" s="3188">
        <f t="shared" si="3"/>
        <v>1</v>
      </c>
      <c r="AB29" s="3188">
        <f t="shared" si="4"/>
        <v>1</v>
      </c>
      <c r="AC29" s="3188">
        <f t="shared" si="5"/>
        <v>1</v>
      </c>
    </row>
    <row r="30" spans="1:29" ht="15.75" hidden="1" thickBot="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95"/>
      <c r="Q30" s="3185">
        <f t="shared" si="11"/>
        <v>0</v>
      </c>
      <c r="R30" s="1571" t="s">
        <v>11</v>
      </c>
      <c r="S30" s="1572">
        <f t="shared" si="12"/>
        <v>100</v>
      </c>
      <c r="T30" s="1571" t="s">
        <v>11</v>
      </c>
      <c r="U30" s="1572">
        <f t="shared" si="13"/>
        <v>100</v>
      </c>
      <c r="V30" s="1571" t="s">
        <v>11</v>
      </c>
      <c r="W30" s="1572">
        <f t="shared" si="14"/>
        <v>100</v>
      </c>
      <c r="X30" s="3187"/>
      <c r="Y30" s="3395"/>
      <c r="Z30" s="3186">
        <f t="shared" si="15"/>
        <v>0</v>
      </c>
      <c r="AA30" s="3188">
        <f t="shared" si="3"/>
        <v>1</v>
      </c>
      <c r="AB30" s="3188">
        <f t="shared" si="4"/>
        <v>1</v>
      </c>
      <c r="AC30" s="3188">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95"/>
      <c r="Q31" s="3185">
        <f t="shared" si="11"/>
        <v>0</v>
      </c>
      <c r="R31" s="1571" t="s">
        <v>11</v>
      </c>
      <c r="S31" s="1572">
        <f t="shared" si="12"/>
        <v>100</v>
      </c>
      <c r="T31" s="1571" t="s">
        <v>11</v>
      </c>
      <c r="U31" s="1572">
        <f t="shared" si="13"/>
        <v>100</v>
      </c>
      <c r="V31" s="1571" t="s">
        <v>11</v>
      </c>
      <c r="W31" s="1572">
        <f t="shared" si="14"/>
        <v>100</v>
      </c>
      <c r="X31" s="3187"/>
      <c r="Y31" s="3395"/>
      <c r="Z31" s="3186">
        <f t="shared" si="15"/>
        <v>0</v>
      </c>
      <c r="AA31" s="3188">
        <f t="shared" si="3"/>
        <v>1</v>
      </c>
      <c r="AB31" s="3188">
        <f t="shared" si="4"/>
        <v>1</v>
      </c>
      <c r="AC31" s="3188">
        <f t="shared" si="5"/>
        <v>1</v>
      </c>
    </row>
    <row r="32" spans="1:29" ht="15">
      <c r="A32" s="2929" t="s">
        <v>2756</v>
      </c>
      <c r="B32" s="172" t="s">
        <v>724</v>
      </c>
      <c r="C32" s="876" t="s">
        <v>3010</v>
      </c>
      <c r="D32" s="595">
        <v>100</v>
      </c>
      <c r="E32" s="876" t="s">
        <v>3010</v>
      </c>
      <c r="F32" s="573">
        <f>SUMIF(100:100,E32,101:101)-SUMIF(100:100,C32,101:101)+100</f>
        <v>100</v>
      </c>
      <c r="G32" s="876" t="s">
        <v>3010</v>
      </c>
      <c r="H32" s="595">
        <f>SUMIF(100:100,G32,101:101)-SUMIF(100:100,C32,101:101)+100</f>
        <v>100</v>
      </c>
      <c r="I32" s="876" t="s">
        <v>3010</v>
      </c>
      <c r="J32" s="538">
        <f>SUMIF(100:100,I32,101:101)-SUMIF(100:100,C32,101:101)+100</f>
        <v>100</v>
      </c>
      <c r="K32" s="862">
        <v>5</v>
      </c>
      <c r="L32" s="2140"/>
      <c r="M32" s="2132"/>
      <c r="N32" s="2132"/>
      <c r="O32" s="2139"/>
      <c r="P32" s="3396" t="s">
        <v>550</v>
      </c>
      <c r="Q32" s="3185" t="str">
        <f t="shared" si="11"/>
        <v>建筑类型</v>
      </c>
      <c r="R32" s="1571" t="s">
        <v>11</v>
      </c>
      <c r="S32" s="1572">
        <f t="shared" si="12"/>
        <v>100</v>
      </c>
      <c r="T32" s="1571" t="s">
        <v>11</v>
      </c>
      <c r="U32" s="1572">
        <f t="shared" si="13"/>
        <v>100</v>
      </c>
      <c r="V32" s="1571" t="s">
        <v>11</v>
      </c>
      <c r="W32" s="1572">
        <f t="shared" si="14"/>
        <v>100</v>
      </c>
      <c r="X32" s="3187"/>
      <c r="Y32" s="3397" t="s">
        <v>550</v>
      </c>
      <c r="Z32" s="3186" t="str">
        <f t="shared" si="15"/>
        <v>建筑类型</v>
      </c>
      <c r="AA32" s="3188">
        <f t="shared" si="3"/>
        <v>1</v>
      </c>
      <c r="AB32" s="3188">
        <f t="shared" si="4"/>
        <v>1</v>
      </c>
      <c r="AC32" s="3188">
        <f t="shared" si="5"/>
        <v>1</v>
      </c>
    </row>
    <row r="33" spans="1:29" s="1336" customFormat="1" ht="15">
      <c r="A33" s="601"/>
      <c r="B33" s="525" t="s">
        <v>725</v>
      </c>
      <c r="C33" s="877">
        <f>'数据-汇总表'!E3</f>
        <v>191725</v>
      </c>
      <c r="D33" s="253">
        <v>100</v>
      </c>
      <c r="E33" s="877">
        <v>1925235</v>
      </c>
      <c r="F33" s="861">
        <f>LOOKUP(E33,103:103,104:104)-LOOKUP(C33,103:103,104:104)+100</f>
        <v>103</v>
      </c>
      <c r="G33" s="877">
        <v>1925235</v>
      </c>
      <c r="H33" s="253">
        <f>LOOKUP(G33,103:103,104:104)-LOOKUP(C33,103:103,104:104)+100</f>
        <v>103</v>
      </c>
      <c r="I33" s="877">
        <v>78222</v>
      </c>
      <c r="J33" s="253">
        <f>LOOKUP(I33,103:103,104:104)-LOOKUP(C33,103:103,104:104)+100</f>
        <v>99</v>
      </c>
      <c r="K33" s="863"/>
      <c r="L33" s="2138"/>
      <c r="M33" s="2169"/>
      <c r="N33" s="2169"/>
      <c r="O33" s="2141"/>
      <c r="P33" s="3397"/>
      <c r="Q33" s="1603" t="str">
        <f t="shared" si="11"/>
        <v>项目建筑规模</v>
      </c>
      <c r="R33" s="1575" t="s">
        <v>11</v>
      </c>
      <c r="S33" s="1576">
        <f t="shared" si="12"/>
        <v>103</v>
      </c>
      <c r="T33" s="1575" t="s">
        <v>11</v>
      </c>
      <c r="U33" s="1576">
        <f t="shared" si="13"/>
        <v>103</v>
      </c>
      <c r="V33" s="1575" t="s">
        <v>11</v>
      </c>
      <c r="W33" s="1576">
        <f t="shared" si="14"/>
        <v>99</v>
      </c>
      <c r="X33" s="1577"/>
      <c r="Y33" s="3397"/>
      <c r="Z33" s="1578" t="str">
        <f t="shared" si="15"/>
        <v>项目建筑规模</v>
      </c>
      <c r="AA33" s="3188">
        <f t="shared" si="3"/>
        <v>0.970873786407767</v>
      </c>
      <c r="AB33" s="3188">
        <f t="shared" si="4"/>
        <v>0.970873786407767</v>
      </c>
      <c r="AC33" s="3188">
        <f t="shared" si="5"/>
        <v>1.0101010101010102</v>
      </c>
    </row>
    <row r="34" spans="1:29" ht="15">
      <c r="A34" s="592"/>
      <c r="B34" s="525" t="s">
        <v>726</v>
      </c>
      <c r="C34" s="878" t="s">
        <v>3050</v>
      </c>
      <c r="D34" s="538">
        <v>100</v>
      </c>
      <c r="E34" s="878" t="s">
        <v>3050</v>
      </c>
      <c r="F34" s="573">
        <f>SUMIF(105:105,E34,106:106)-SUMIF(105:105,C34,106:106)+100</f>
        <v>100</v>
      </c>
      <c r="G34" s="878" t="s">
        <v>3050</v>
      </c>
      <c r="H34" s="538">
        <f>SUMIF(105:105,G34,106:106)-SUMIF(105:105,C34,106:106)+100</f>
        <v>100</v>
      </c>
      <c r="I34" s="878" t="s">
        <v>3050</v>
      </c>
      <c r="J34" s="538">
        <f>SUMIF(105:105,I34,106:106)-SUMIF(105:105,C34,106:106)+100</f>
        <v>100</v>
      </c>
      <c r="K34" s="862">
        <v>1</v>
      </c>
      <c r="L34" s="2140"/>
      <c r="M34" s="2132"/>
      <c r="N34" s="2132"/>
      <c r="O34" s="2139"/>
      <c r="P34" s="3397"/>
      <c r="Q34" s="3185" t="str">
        <f t="shared" si="11"/>
        <v>建筑结构</v>
      </c>
      <c r="R34" s="1571" t="s">
        <v>11</v>
      </c>
      <c r="S34" s="1572">
        <f t="shared" si="12"/>
        <v>100</v>
      </c>
      <c r="T34" s="1571" t="s">
        <v>11</v>
      </c>
      <c r="U34" s="1572">
        <f t="shared" si="13"/>
        <v>100</v>
      </c>
      <c r="V34" s="1571" t="s">
        <v>11</v>
      </c>
      <c r="W34" s="1572">
        <f t="shared" si="14"/>
        <v>100</v>
      </c>
      <c r="X34" s="3187"/>
      <c r="Y34" s="3397"/>
      <c r="Z34" s="3186" t="str">
        <f t="shared" si="15"/>
        <v>建筑结构</v>
      </c>
      <c r="AA34" s="3188">
        <f t="shared" si="3"/>
        <v>1</v>
      </c>
      <c r="AB34" s="3188">
        <f t="shared" si="4"/>
        <v>1</v>
      </c>
      <c r="AC34" s="3188">
        <f t="shared" si="5"/>
        <v>1</v>
      </c>
    </row>
    <row r="35" spans="1:29" ht="15">
      <c r="A35" s="592"/>
      <c r="B35" s="525" t="s">
        <v>727</v>
      </c>
      <c r="C35" s="597" t="s">
        <v>3065</v>
      </c>
      <c r="D35" s="538">
        <v>100</v>
      </c>
      <c r="E35" s="597" t="s">
        <v>3065</v>
      </c>
      <c r="F35" s="573">
        <f>SUMIF(107:107,E35,108:108)-SUMIF(107:107,C35,108:108)+100</f>
        <v>100</v>
      </c>
      <c r="G35" s="597" t="s">
        <v>3065</v>
      </c>
      <c r="H35" s="538">
        <f>SUMIF(107:107,G35,108:108)-SUMIF(107:107,C35,108:108)+100</f>
        <v>100</v>
      </c>
      <c r="I35" s="597" t="s">
        <v>3065</v>
      </c>
      <c r="J35" s="538">
        <f>SUMIF(107:107,I35,108:108)-SUMIF(107:107,C35,108:108)+100</f>
        <v>100</v>
      </c>
      <c r="K35" s="862">
        <v>1</v>
      </c>
      <c r="L35" s="2140"/>
      <c r="M35" s="2132"/>
      <c r="N35" s="2132"/>
      <c r="O35" s="2139"/>
      <c r="P35" s="3397"/>
      <c r="Q35" s="3185" t="str">
        <f t="shared" si="11"/>
        <v>建筑品质</v>
      </c>
      <c r="R35" s="1571" t="s">
        <v>11</v>
      </c>
      <c r="S35" s="1572">
        <f t="shared" si="12"/>
        <v>100</v>
      </c>
      <c r="T35" s="1571" t="s">
        <v>11</v>
      </c>
      <c r="U35" s="1572">
        <f t="shared" si="13"/>
        <v>100</v>
      </c>
      <c r="V35" s="1571" t="s">
        <v>11</v>
      </c>
      <c r="W35" s="1572">
        <f t="shared" si="14"/>
        <v>100</v>
      </c>
      <c r="X35" s="3187"/>
      <c r="Y35" s="3397"/>
      <c r="Z35" s="3186" t="str">
        <f t="shared" si="15"/>
        <v>建筑品质</v>
      </c>
      <c r="AA35" s="3188">
        <f t="shared" si="3"/>
        <v>1</v>
      </c>
      <c r="AB35" s="3188">
        <f t="shared" si="4"/>
        <v>1</v>
      </c>
      <c r="AC35" s="3188">
        <f t="shared" si="5"/>
        <v>1</v>
      </c>
    </row>
    <row r="36" spans="1:29" ht="15">
      <c r="A36" s="592"/>
      <c r="B36" s="525" t="s">
        <v>728</v>
      </c>
      <c r="C36" s="597" t="s">
        <v>3067</v>
      </c>
      <c r="D36" s="538">
        <v>100</v>
      </c>
      <c r="E36" s="597" t="s">
        <v>3067</v>
      </c>
      <c r="F36" s="573">
        <f>SUMIF(109:109,E36,110:110)-SUMIF(109:109,C36,110:110)+100</f>
        <v>100</v>
      </c>
      <c r="G36" s="597" t="s">
        <v>3067</v>
      </c>
      <c r="H36" s="538">
        <f>SUMIF(109:109,G36,110:110)-SUMIF(109:109,C36,110:110)+100</f>
        <v>100</v>
      </c>
      <c r="I36" s="597" t="s">
        <v>3067</v>
      </c>
      <c r="J36" s="538">
        <f>SUMIF(109:109,I36,110:110)-SUMIF(109:109,C36,110:110)+100</f>
        <v>100</v>
      </c>
      <c r="K36" s="862">
        <v>1</v>
      </c>
      <c r="L36" s="2140"/>
      <c r="M36" s="2132"/>
      <c r="N36" s="2132"/>
      <c r="O36" s="2139"/>
      <c r="P36" s="3397"/>
      <c r="Q36" s="3185" t="str">
        <f t="shared" si="11"/>
        <v>公共部分装修</v>
      </c>
      <c r="R36" s="1571" t="s">
        <v>11</v>
      </c>
      <c r="S36" s="1572">
        <f t="shared" si="12"/>
        <v>100</v>
      </c>
      <c r="T36" s="1571" t="s">
        <v>11</v>
      </c>
      <c r="U36" s="1572">
        <f t="shared" si="13"/>
        <v>100</v>
      </c>
      <c r="V36" s="1571" t="s">
        <v>11</v>
      </c>
      <c r="W36" s="1572">
        <f t="shared" si="14"/>
        <v>100</v>
      </c>
      <c r="X36" s="3187"/>
      <c r="Y36" s="3397"/>
      <c r="Z36" s="3186" t="str">
        <f t="shared" si="15"/>
        <v>公共部分装修</v>
      </c>
      <c r="AA36" s="3188">
        <f t="shared" si="3"/>
        <v>1</v>
      </c>
      <c r="AB36" s="3188">
        <f t="shared" si="4"/>
        <v>1</v>
      </c>
      <c r="AC36" s="3188">
        <f t="shared" si="5"/>
        <v>1</v>
      </c>
    </row>
    <row r="37" spans="1:29" s="1217" customFormat="1" ht="15">
      <c r="A37" s="598"/>
      <c r="B37" s="525" t="s">
        <v>729</v>
      </c>
      <c r="C37" s="880">
        <v>1</v>
      </c>
      <c r="D37" s="253">
        <v>100</v>
      </c>
      <c r="E37" s="880">
        <f>ROUND(1-(2018-2014)/60,2)</f>
        <v>0.93</v>
      </c>
      <c r="F37" s="861">
        <f>LOOKUP(E37,112:112,113:113)-LOOKUP(C37,112:112,113:113)+100</f>
        <v>100</v>
      </c>
      <c r="G37" s="880">
        <f>ROUND(1-(2018-2014)/60,2)</f>
        <v>0.93</v>
      </c>
      <c r="H37" s="253">
        <f>LOOKUP(G37,112:112,113:113)-LOOKUP(C37,112:112,113:113)+100</f>
        <v>100</v>
      </c>
      <c r="I37" s="880">
        <f>ROUND(1-(2018-2015)/60,2)</f>
        <v>0.95</v>
      </c>
      <c r="J37" s="253">
        <f>LOOKUP(I37,112:112,113:113)-LOOKUP(C37,112:112,113:113)+100</f>
        <v>100</v>
      </c>
      <c r="K37" s="862">
        <v>1</v>
      </c>
      <c r="L37" s="2133"/>
      <c r="M37" s="2134"/>
      <c r="N37" s="2134"/>
      <c r="O37" s="2135"/>
      <c r="P37" s="3397"/>
      <c r="Q37" s="3183" t="str">
        <f t="shared" si="11"/>
        <v>成新度</v>
      </c>
      <c r="R37" s="1566" t="s">
        <v>11</v>
      </c>
      <c r="S37" s="1567">
        <f t="shared" si="12"/>
        <v>100</v>
      </c>
      <c r="T37" s="1566" t="s">
        <v>11</v>
      </c>
      <c r="U37" s="1567">
        <f t="shared" si="13"/>
        <v>100</v>
      </c>
      <c r="V37" s="1566" t="s">
        <v>11</v>
      </c>
      <c r="W37" s="1567">
        <f t="shared" si="14"/>
        <v>100</v>
      </c>
      <c r="X37" s="1568"/>
      <c r="Y37" s="3397"/>
      <c r="Z37" s="3178" t="str">
        <f t="shared" si="15"/>
        <v>成新度</v>
      </c>
      <c r="AA37" s="1569">
        <f t="shared" si="3"/>
        <v>1</v>
      </c>
      <c r="AB37" s="1569">
        <f t="shared" si="4"/>
        <v>1</v>
      </c>
      <c r="AC37" s="1569">
        <f t="shared" si="5"/>
        <v>1</v>
      </c>
    </row>
    <row r="38" spans="1:29" ht="15">
      <c r="A38" s="592"/>
      <c r="B38" s="525" t="s">
        <v>730</v>
      </c>
      <c r="C38" s="597" t="s">
        <v>3073</v>
      </c>
      <c r="D38" s="538">
        <v>100</v>
      </c>
      <c r="E38" s="597" t="s">
        <v>3073</v>
      </c>
      <c r="F38" s="573">
        <f>SUMIF(114:114,E38,115:115)-SUMIF(114:114,C38,115:115)+100</f>
        <v>100</v>
      </c>
      <c r="G38" s="597" t="s">
        <v>3073</v>
      </c>
      <c r="H38" s="538">
        <f>SUMIF(114:114,G38,115:115)-SUMIF(114:114,C38,115:115)+100</f>
        <v>100</v>
      </c>
      <c r="I38" s="597" t="s">
        <v>3073</v>
      </c>
      <c r="J38" s="538">
        <f>SUMIF(114:114,I38,115:115)-SUMIF(114:114,C38,115:115)+100</f>
        <v>100</v>
      </c>
      <c r="K38" s="862">
        <v>1</v>
      </c>
      <c r="L38" s="2140"/>
      <c r="M38" s="2132"/>
      <c r="N38" s="2132"/>
      <c r="O38" s="2139"/>
      <c r="P38" s="3397" t="s">
        <v>550</v>
      </c>
      <c r="Q38" s="3185" t="str">
        <f t="shared" si="11"/>
        <v>物业管理</v>
      </c>
      <c r="R38" s="1571" t="s">
        <v>11</v>
      </c>
      <c r="S38" s="1572">
        <f t="shared" si="12"/>
        <v>100</v>
      </c>
      <c r="T38" s="1571" t="s">
        <v>11</v>
      </c>
      <c r="U38" s="1572">
        <f t="shared" si="13"/>
        <v>100</v>
      </c>
      <c r="V38" s="1571" t="s">
        <v>11</v>
      </c>
      <c r="W38" s="1572">
        <f t="shared" si="14"/>
        <v>100</v>
      </c>
      <c r="X38" s="3187"/>
      <c r="Y38" s="3397" t="s">
        <v>550</v>
      </c>
      <c r="Z38" s="3186" t="str">
        <f t="shared" si="15"/>
        <v>物业管理</v>
      </c>
      <c r="AA38" s="3188">
        <f t="shared" si="3"/>
        <v>1</v>
      </c>
      <c r="AB38" s="3188">
        <f t="shared" si="4"/>
        <v>1</v>
      </c>
      <c r="AC38" s="3188">
        <f t="shared" si="5"/>
        <v>1</v>
      </c>
    </row>
    <row r="39" spans="1:29" ht="15">
      <c r="A39" s="592"/>
      <c r="B39" s="1893" t="s">
        <v>2565</v>
      </c>
      <c r="C39" s="597" t="s">
        <v>3019</v>
      </c>
      <c r="D39" s="538">
        <v>100</v>
      </c>
      <c r="E39" s="597" t="s">
        <v>3019</v>
      </c>
      <c r="F39" s="573">
        <f>SUMIF(116:116,E39,117:117)-SUMIF(116:116,C39,117:117)+100</f>
        <v>100</v>
      </c>
      <c r="G39" s="597" t="s">
        <v>3019</v>
      </c>
      <c r="H39" s="538">
        <f>SUMIF(116:116,G39,117:117)-SUMIF(116:116,C39,117:117)+100</f>
        <v>100</v>
      </c>
      <c r="I39" s="597" t="s">
        <v>3019</v>
      </c>
      <c r="J39" s="538">
        <f>SUMIF(116:116,I39,117:117)-SUMIF(116:116,C39,117:117)+100</f>
        <v>100</v>
      </c>
      <c r="K39" s="862">
        <v>1</v>
      </c>
      <c r="L39" s="2140"/>
      <c r="M39" s="2132"/>
      <c r="N39" s="2132"/>
      <c r="O39" s="2139"/>
      <c r="P39" s="3397"/>
      <c r="Q39" s="3185" t="str">
        <f t="shared" si="11"/>
        <v>市政基础设施</v>
      </c>
      <c r="R39" s="1571" t="s">
        <v>11</v>
      </c>
      <c r="S39" s="1572">
        <f t="shared" si="12"/>
        <v>100</v>
      </c>
      <c r="T39" s="1571" t="s">
        <v>11</v>
      </c>
      <c r="U39" s="1572">
        <f t="shared" si="13"/>
        <v>100</v>
      </c>
      <c r="V39" s="1571" t="s">
        <v>11</v>
      </c>
      <c r="W39" s="1572">
        <f t="shared" si="14"/>
        <v>100</v>
      </c>
      <c r="X39" s="3187"/>
      <c r="Y39" s="3397"/>
      <c r="Z39" s="3186" t="str">
        <f t="shared" si="15"/>
        <v>市政基础设施</v>
      </c>
      <c r="AA39" s="3188">
        <f t="shared" si="3"/>
        <v>1</v>
      </c>
      <c r="AB39" s="3188">
        <f t="shared" si="4"/>
        <v>1</v>
      </c>
      <c r="AC39" s="3188">
        <f t="shared" si="5"/>
        <v>1</v>
      </c>
    </row>
    <row r="40" spans="1:29" ht="15">
      <c r="A40" s="592"/>
      <c r="B40" s="525" t="s">
        <v>731</v>
      </c>
      <c r="C40" s="597" t="s">
        <v>3080</v>
      </c>
      <c r="D40" s="538">
        <v>100</v>
      </c>
      <c r="E40" s="597" t="s">
        <v>3080</v>
      </c>
      <c r="F40" s="573">
        <f>SUMIF(118:118,E40,119:119)-SUMIF(118:118,C40,119:119)+100</f>
        <v>100</v>
      </c>
      <c r="G40" s="597" t="s">
        <v>3080</v>
      </c>
      <c r="H40" s="538">
        <f>SUMIF(118:118,G40,119:119)-SUMIF(118:118,C40,119:119)+100</f>
        <v>100</v>
      </c>
      <c r="I40" s="597" t="s">
        <v>3080</v>
      </c>
      <c r="J40" s="538">
        <f>SUMIF(118:118,I40,119:119)-SUMIF(118:118,C40,119:119)+100</f>
        <v>100</v>
      </c>
      <c r="K40" s="862">
        <v>1</v>
      </c>
      <c r="L40" s="2140"/>
      <c r="M40" s="2132"/>
      <c r="N40" s="2132"/>
      <c r="O40" s="2139"/>
      <c r="P40" s="3397"/>
      <c r="Q40" s="3185" t="str">
        <f t="shared" si="11"/>
        <v>房型</v>
      </c>
      <c r="R40" s="1571" t="s">
        <v>11</v>
      </c>
      <c r="S40" s="1572">
        <f t="shared" si="12"/>
        <v>100</v>
      </c>
      <c r="T40" s="1571" t="s">
        <v>11</v>
      </c>
      <c r="U40" s="1572">
        <f t="shared" si="13"/>
        <v>100</v>
      </c>
      <c r="V40" s="1571" t="s">
        <v>11</v>
      </c>
      <c r="W40" s="1572">
        <f t="shared" si="14"/>
        <v>100</v>
      </c>
      <c r="X40" s="3187"/>
      <c r="Y40" s="3397"/>
      <c r="Z40" s="3186" t="str">
        <f t="shared" si="15"/>
        <v>房型</v>
      </c>
      <c r="AA40" s="3188">
        <f t="shared" si="3"/>
        <v>1</v>
      </c>
      <c r="AB40" s="3188">
        <f t="shared" si="4"/>
        <v>1</v>
      </c>
      <c r="AC40" s="3188">
        <f t="shared" si="5"/>
        <v>1</v>
      </c>
    </row>
    <row r="41" spans="1:29" s="1336" customFormat="1" ht="28.5" hidden="1">
      <c r="A41" s="601"/>
      <c r="B41" s="525" t="s">
        <v>732</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8"/>
      <c r="M41" s="2169"/>
      <c r="N41" s="2169"/>
      <c r="O41" s="2141"/>
      <c r="P41" s="3397"/>
      <c r="Q41" s="1603" t="str">
        <f t="shared" si="11"/>
        <v>单套/主力户型建筑面积</v>
      </c>
      <c r="R41" s="1575" t="s">
        <v>11</v>
      </c>
      <c r="S41" s="1576">
        <f t="shared" si="12"/>
        <v>100</v>
      </c>
      <c r="T41" s="1575" t="s">
        <v>11</v>
      </c>
      <c r="U41" s="1576">
        <f t="shared" si="13"/>
        <v>100</v>
      </c>
      <c r="V41" s="1575" t="s">
        <v>11</v>
      </c>
      <c r="W41" s="1576">
        <f t="shared" si="14"/>
        <v>100</v>
      </c>
      <c r="X41" s="1577"/>
      <c r="Y41" s="3397"/>
      <c r="Z41" s="1578" t="str">
        <f t="shared" si="15"/>
        <v>单套/主力户型建筑面积</v>
      </c>
      <c r="AA41" s="3188">
        <f t="shared" si="3"/>
        <v>1</v>
      </c>
      <c r="AB41" s="3188">
        <f t="shared" si="4"/>
        <v>1</v>
      </c>
      <c r="AC41" s="3188">
        <f t="shared" si="5"/>
        <v>1</v>
      </c>
    </row>
    <row r="42" spans="1:29" ht="15.75" thickBot="1">
      <c r="A42" s="592"/>
      <c r="B42" s="525" t="s">
        <v>733</v>
      </c>
      <c r="C42" s="597" t="s">
        <v>3071</v>
      </c>
      <c r="D42" s="538">
        <v>100</v>
      </c>
      <c r="E42" s="597" t="s">
        <v>3067</v>
      </c>
      <c r="F42" s="573">
        <f>SUMIF(122:122,E42,123:123)-SUMIF(122:122,C42,123:123)+100</f>
        <v>106</v>
      </c>
      <c r="G42" s="597" t="s">
        <v>3067</v>
      </c>
      <c r="H42" s="538">
        <f>SUMIF(122:122,G42,123:123)-SUMIF(122:122,C42,123:123)+100</f>
        <v>106</v>
      </c>
      <c r="I42" s="597" t="s">
        <v>3067</v>
      </c>
      <c r="J42" s="538">
        <f>SUMIF(122:122,I42,123:123)-SUMIF(122:122,C42,123:123)+100</f>
        <v>106</v>
      </c>
      <c r="K42" s="862">
        <v>2</v>
      </c>
      <c r="L42" s="2140"/>
      <c r="M42" s="2132"/>
      <c r="N42" s="2132"/>
      <c r="O42" s="2139"/>
      <c r="P42" s="3397"/>
      <c r="Q42" s="3185" t="str">
        <f t="shared" si="11"/>
        <v>内部装修</v>
      </c>
      <c r="R42" s="1571" t="s">
        <v>11</v>
      </c>
      <c r="S42" s="1572">
        <f t="shared" si="12"/>
        <v>106</v>
      </c>
      <c r="T42" s="1571" t="s">
        <v>11</v>
      </c>
      <c r="U42" s="1572">
        <f t="shared" si="13"/>
        <v>106</v>
      </c>
      <c r="V42" s="1571" t="s">
        <v>11</v>
      </c>
      <c r="W42" s="1572">
        <f t="shared" si="14"/>
        <v>106</v>
      </c>
      <c r="X42" s="3187"/>
      <c r="Y42" s="3397"/>
      <c r="Z42" s="3186" t="str">
        <f t="shared" si="15"/>
        <v>内部装修</v>
      </c>
      <c r="AA42" s="3188">
        <f t="shared" si="3"/>
        <v>0.94339622641509435</v>
      </c>
      <c r="AB42" s="3188">
        <f t="shared" si="4"/>
        <v>0.94339622641509435</v>
      </c>
      <c r="AC42" s="3188">
        <f t="shared" si="5"/>
        <v>0.94339622641509435</v>
      </c>
    </row>
    <row r="43" spans="1:29" ht="27.75" hidden="1" thickBot="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397"/>
      <c r="Q43" s="3185" t="str">
        <f t="shared" si="11"/>
        <v>内部装修维护情况</v>
      </c>
      <c r="R43" s="1571" t="s">
        <v>11</v>
      </c>
      <c r="S43" s="1572">
        <f t="shared" si="12"/>
        <v>100</v>
      </c>
      <c r="T43" s="1571" t="s">
        <v>11</v>
      </c>
      <c r="U43" s="1572">
        <f t="shared" si="13"/>
        <v>100</v>
      </c>
      <c r="V43" s="1571" t="s">
        <v>11</v>
      </c>
      <c r="W43" s="1572">
        <f t="shared" si="14"/>
        <v>100</v>
      </c>
      <c r="X43" s="3187"/>
      <c r="Y43" s="3397"/>
      <c r="Z43" s="3186" t="str">
        <f t="shared" si="15"/>
        <v>内部装修维护情况</v>
      </c>
      <c r="AA43" s="3188">
        <f t="shared" si="3"/>
        <v>1</v>
      </c>
      <c r="AB43" s="3188">
        <f t="shared" si="4"/>
        <v>1</v>
      </c>
      <c r="AC43" s="3188">
        <f t="shared" si="5"/>
        <v>1</v>
      </c>
    </row>
    <row r="44" spans="1:29" s="1217" customFormat="1" ht="15.75" hidden="1" thickBot="1">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397"/>
      <c r="Q44" s="3183">
        <f t="shared" si="11"/>
        <v>0</v>
      </c>
      <c r="R44" s="1566" t="s">
        <v>11</v>
      </c>
      <c r="S44" s="1567">
        <f t="shared" si="12"/>
        <v>100</v>
      </c>
      <c r="T44" s="1566" t="s">
        <v>11</v>
      </c>
      <c r="U44" s="1567">
        <f t="shared" si="13"/>
        <v>100</v>
      </c>
      <c r="V44" s="1566" t="s">
        <v>11</v>
      </c>
      <c r="W44" s="1567">
        <f t="shared" si="14"/>
        <v>100</v>
      </c>
      <c r="X44" s="1568"/>
      <c r="Y44" s="3397"/>
      <c r="Z44" s="3178">
        <f t="shared" si="15"/>
        <v>0</v>
      </c>
      <c r="AA44" s="1569">
        <f t="shared" si="3"/>
        <v>1</v>
      </c>
      <c r="AB44" s="1569">
        <f t="shared" si="4"/>
        <v>1</v>
      </c>
      <c r="AC44" s="1569">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397"/>
      <c r="Q45" s="3185">
        <f t="shared" si="11"/>
        <v>0</v>
      </c>
      <c r="R45" s="1571" t="s">
        <v>11</v>
      </c>
      <c r="S45" s="1572">
        <f t="shared" si="12"/>
        <v>100</v>
      </c>
      <c r="T45" s="1571" t="s">
        <v>11</v>
      </c>
      <c r="U45" s="1572">
        <f t="shared" si="13"/>
        <v>100</v>
      </c>
      <c r="V45" s="1571" t="s">
        <v>11</v>
      </c>
      <c r="W45" s="1572">
        <f t="shared" si="14"/>
        <v>100</v>
      </c>
      <c r="X45" s="3187"/>
      <c r="Y45" s="3397"/>
      <c r="Z45" s="3186">
        <f t="shared" si="15"/>
        <v>0</v>
      </c>
      <c r="AA45" s="3188">
        <f t="shared" si="3"/>
        <v>1</v>
      </c>
      <c r="AB45" s="3188">
        <f t="shared" si="4"/>
        <v>1</v>
      </c>
      <c r="AC45" s="3188">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73"/>
      <c r="Q46" s="3185">
        <f t="shared" si="11"/>
        <v>0</v>
      </c>
      <c r="R46" s="1571" t="s">
        <v>10</v>
      </c>
      <c r="S46" s="1572">
        <f t="shared" si="12"/>
        <v>100</v>
      </c>
      <c r="T46" s="1571" t="s">
        <v>10</v>
      </c>
      <c r="U46" s="1572">
        <f t="shared" si="13"/>
        <v>100</v>
      </c>
      <c r="V46" s="1571" t="s">
        <v>10</v>
      </c>
      <c r="W46" s="1572">
        <f t="shared" si="14"/>
        <v>100</v>
      </c>
      <c r="X46" s="3187"/>
      <c r="Y46" s="3473"/>
      <c r="Z46" s="3186">
        <f t="shared" si="15"/>
        <v>0</v>
      </c>
      <c r="AA46" s="3188">
        <f t="shared" si="3"/>
        <v>1</v>
      </c>
      <c r="AB46" s="3188">
        <f t="shared" si="4"/>
        <v>1</v>
      </c>
      <c r="AC46" s="3188">
        <f t="shared" si="5"/>
        <v>1</v>
      </c>
    </row>
    <row r="47" spans="1:29" ht="15">
      <c r="A47" s="605" t="s">
        <v>735</v>
      </c>
      <c r="B47" s="884"/>
      <c r="C47" s="2649" t="s">
        <v>9</v>
      </c>
      <c r="D47" s="2650"/>
      <c r="E47" s="2651">
        <v>15458</v>
      </c>
      <c r="F47" s="2652"/>
      <c r="G47" s="2653">
        <v>15059</v>
      </c>
      <c r="H47" s="2654"/>
      <c r="I47" s="2651">
        <v>16326</v>
      </c>
      <c r="J47" s="2654"/>
      <c r="K47" s="1604"/>
      <c r="L47" s="2142"/>
      <c r="M47" s="2143"/>
      <c r="N47" s="2132"/>
      <c r="O47" s="2143"/>
      <c r="P47" s="3392" t="str">
        <f>A47</f>
        <v>成交单价（元/平方米）</v>
      </c>
      <c r="Q47" s="3392"/>
      <c r="R47" s="3472">
        <f>E47</f>
        <v>15458</v>
      </c>
      <c r="S47" s="3472"/>
      <c r="T47" s="3472">
        <f>G47</f>
        <v>15059</v>
      </c>
      <c r="U47" s="3472"/>
      <c r="V47" s="3472">
        <f>I47</f>
        <v>16326</v>
      </c>
      <c r="W47" s="3472"/>
      <c r="X47" s="1557"/>
      <c r="Y47" s="1579"/>
      <c r="Z47" s="1557"/>
      <c r="AA47" s="1557"/>
      <c r="AB47" s="1557"/>
      <c r="AC47" s="1557"/>
    </row>
    <row r="48" spans="1:29" ht="15.75" thickBot="1">
      <c r="A48" s="613" t="s">
        <v>2694</v>
      </c>
      <c r="B48" s="885"/>
      <c r="C48" s="2655">
        <f>R49</f>
        <v>14209</v>
      </c>
      <c r="D48" s="2656"/>
      <c r="E48" s="2657">
        <f>R48</f>
        <v>14158</v>
      </c>
      <c r="F48" s="2657"/>
      <c r="G48" s="2655">
        <f>T48</f>
        <v>13793</v>
      </c>
      <c r="H48" s="2656"/>
      <c r="I48" s="2657">
        <f>V48</f>
        <v>14677</v>
      </c>
      <c r="J48" s="2656"/>
      <c r="K48" s="1605"/>
      <c r="L48" s="2142"/>
      <c r="M48" s="2143"/>
      <c r="N48" s="2143"/>
      <c r="O48" s="2143"/>
      <c r="P48" s="3392" t="str">
        <f>A48</f>
        <v>比较价格（元/平方米）</v>
      </c>
      <c r="Q48" s="3392"/>
      <c r="R48" s="3472">
        <f>IF(F1="售价",ROUND(PRODUCT(R47,AA7:AA46),0),ROUND(PRODUCT(R47,AA7:AA46),1))</f>
        <v>14158</v>
      </c>
      <c r="S48" s="3472"/>
      <c r="T48" s="3472">
        <f>IF(F1="售价",ROUND(PRODUCT(T47,AB7:AB46),0),ROUND(PRODUCT(T47,AB7:AB46),1))</f>
        <v>13793</v>
      </c>
      <c r="U48" s="3472"/>
      <c r="V48" s="3472">
        <f>IF(F1="售价",ROUND(PRODUCT(V47,AC7:AC46),0),ROUND(PRODUCT(V47,AC7:AC46),1))</f>
        <v>14677</v>
      </c>
      <c r="W48" s="3472"/>
      <c r="X48" s="1557"/>
      <c r="Y48" s="1557"/>
      <c r="Z48" s="1557"/>
      <c r="AA48" s="1557"/>
      <c r="AB48" s="1557"/>
      <c r="AC48" s="1557"/>
    </row>
    <row r="49" spans="1:29" ht="15.75" thickBot="1">
      <c r="A49" s="619" t="s">
        <v>2935</v>
      </c>
      <c r="B49" s="620"/>
      <c r="C49" s="2658">
        <f>R49</f>
        <v>14209</v>
      </c>
      <c r="D49" s="2658"/>
      <c r="E49" s="2658"/>
      <c r="F49" s="2658"/>
      <c r="G49" s="2658"/>
      <c r="H49" s="2658"/>
      <c r="I49" s="2658"/>
      <c r="J49" s="2658"/>
      <c r="K49" s="1606"/>
      <c r="L49" s="2142"/>
      <c r="M49" s="2143"/>
      <c r="N49" s="2143"/>
      <c r="O49" s="2143"/>
      <c r="P49" s="3414" t="str">
        <f>A49</f>
        <v>估价对象XX用房的比较价格（楼面单价，元/平方米）</v>
      </c>
      <c r="Q49" s="3415"/>
      <c r="R49" s="3471">
        <f>IF(F1="售价",ROUND(AVERAGE(R48:V48),0),ROUND(AVERAGE(R48:V48),1))</f>
        <v>14209</v>
      </c>
      <c r="S49" s="3471"/>
      <c r="T49" s="3471"/>
      <c r="U49" s="3471"/>
      <c r="V49" s="3471"/>
      <c r="W49" s="3471"/>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9.1820878655177296E-2</v>
      </c>
      <c r="F52" s="625" t="str">
        <f>IF(OR(E52&gt;=0.3,E52&lt;=-0.3),"超过30%","")</f>
        <v/>
      </c>
      <c r="G52" s="624">
        <f>IF(G47&lt;G48,G48/G47-1,G47/G48-1)</f>
        <v>9.1785688392662879E-2</v>
      </c>
      <c r="H52" s="625" t="str">
        <f>IF(OR(G52&gt;=0.3,G52&lt;=-0.3),"超过30%","")</f>
        <v/>
      </c>
      <c r="I52" s="624">
        <f>IF(I47&lt;I48,I48/I47-1,I47/I48-1)</f>
        <v>0.11235266062546834</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2.6462698470238522E-2</v>
      </c>
      <c r="F53" s="625" t="str">
        <f>IF(OR(E53&gt;=0.2,E53&lt;=-0.2),"超过20%","")</f>
        <v/>
      </c>
      <c r="G53" s="624">
        <f>IF(G48&lt;I48,I48/G48-1,G48/I48-1)</f>
        <v>6.4090480678605122E-2</v>
      </c>
      <c r="H53" s="625" t="str">
        <f>IF(OR(G53&gt;=0.2,G53&lt;=-0.2),"超过20%","")</f>
        <v/>
      </c>
      <c r="I53" s="624">
        <f>IF(I48&lt;E48,E48/I48-1,I48/E48-1)</f>
        <v>3.6657720016951556E-2</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2.6495783252540095E-2</v>
      </c>
      <c r="F54" s="625" t="str">
        <f>IF(OR(E54&gt;=0.3,E54&lt;=-0.3),"超过30%","")</f>
        <v/>
      </c>
      <c r="G54" s="624">
        <f>IF(G47&lt;I47,I47/G47-1,G47/I47-1)</f>
        <v>8.4135732784381467E-2</v>
      </c>
      <c r="H54" s="625" t="str">
        <f>IF(OR(G54&gt;=0.3,G54&lt;=-0.3),"超过30%","")</f>
        <v/>
      </c>
      <c r="I54" s="624">
        <f>IF(I47&lt;E47,E47/I47-1,I47/E47-1)</f>
        <v>5.6152154224349937E-2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v>99.5</v>
      </c>
      <c r="E59" s="648">
        <v>99</v>
      </c>
      <c r="F59" s="648">
        <v>98.5</v>
      </c>
      <c r="G59" s="648">
        <v>98</v>
      </c>
      <c r="H59" s="648">
        <v>97.5</v>
      </c>
      <c r="I59" s="648">
        <v>97</v>
      </c>
      <c r="J59" s="648">
        <v>96.5</v>
      </c>
      <c r="K59" s="648">
        <v>96</v>
      </c>
      <c r="L59" s="648">
        <v>95.5</v>
      </c>
      <c r="M59" s="648">
        <v>95</v>
      </c>
      <c r="N59" s="648">
        <v>94.5</v>
      </c>
      <c r="O59" s="648">
        <v>94</v>
      </c>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3（含）-3.5</v>
      </c>
      <c r="J67" s="680" t="str">
        <f t="shared" si="18"/>
        <v>3.5（含）-4</v>
      </c>
      <c r="K67" s="680" t="str">
        <f t="shared" si="18"/>
        <v>4（含）-4.5</v>
      </c>
      <c r="L67" s="680" t="str">
        <f t="shared" si="18"/>
        <v>4.5（含）-5</v>
      </c>
      <c r="M67" s="553" t="str">
        <f>M68&amp;"（含）"&amp;"-"&amp;P68</f>
        <v>5（含）-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0.5</v>
      </c>
      <c r="E68" s="539">
        <v>1</v>
      </c>
      <c r="F68" s="539">
        <v>1.5</v>
      </c>
      <c r="G68" s="539">
        <v>2</v>
      </c>
      <c r="H68" s="539">
        <v>2.5</v>
      </c>
      <c r="I68" s="539">
        <v>3</v>
      </c>
      <c r="J68" s="539">
        <v>3.5</v>
      </c>
      <c r="K68" s="539">
        <v>4</v>
      </c>
      <c r="L68" s="539">
        <v>4.5</v>
      </c>
      <c r="M68" s="539">
        <v>5</v>
      </c>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0</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0</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96</v>
      </c>
      <c r="E77" s="677">
        <f>D77-$K15</f>
        <v>92</v>
      </c>
      <c r="F77" s="677">
        <f>E77-$K15</f>
        <v>88</v>
      </c>
      <c r="G77" s="677">
        <f>F77-$K15</f>
        <v>84</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2317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2548</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97</v>
      </c>
      <c r="E83" s="677">
        <f>D83-$K21</f>
        <v>94</v>
      </c>
      <c r="F83" s="677">
        <f>E83-$K21</f>
        <v>91</v>
      </c>
      <c r="G83" s="677">
        <f>F83-$K21</f>
        <v>88</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2257</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745</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f>B27</f>
        <v>0</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0</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0</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0</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0</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746</v>
      </c>
      <c r="C100" s="3190" t="s">
        <v>3091</v>
      </c>
      <c r="D100" s="3190" t="s">
        <v>3085</v>
      </c>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747</v>
      </c>
      <c r="C102" s="706" t="str">
        <f>C103&amp;"(含)"&amp;"-"&amp;D103</f>
        <v>0(含)-100000</v>
      </c>
      <c r="D102" s="706" t="str">
        <f t="shared" ref="D102:L102" si="23">D103&amp;"(含)"&amp;"-"&amp;E103</f>
        <v>100000(含)-200000</v>
      </c>
      <c r="E102" s="706" t="str">
        <f t="shared" si="23"/>
        <v>200000(含)-500000</v>
      </c>
      <c r="F102" s="706" t="str">
        <f t="shared" si="23"/>
        <v>500000(含)-1000000</v>
      </c>
      <c r="G102" s="706" t="str">
        <f t="shared" si="23"/>
        <v>1000000(含)-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v>100000</v>
      </c>
      <c r="E103" s="728">
        <v>200000</v>
      </c>
      <c r="F103" s="728">
        <v>500000</v>
      </c>
      <c r="G103" s="728">
        <v>1000000</v>
      </c>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v>100</v>
      </c>
      <c r="D104" s="669">
        <v>101</v>
      </c>
      <c r="E104" s="690">
        <v>102</v>
      </c>
      <c r="F104" s="669">
        <v>103</v>
      </c>
      <c r="G104" s="690">
        <v>104</v>
      </c>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3191" t="s">
        <v>3063</v>
      </c>
      <c r="D105" s="3191" t="s">
        <v>3064</v>
      </c>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192" t="s">
        <v>3066</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3191" t="s">
        <v>3068</v>
      </c>
      <c r="D109" s="3191" t="s">
        <v>3069</v>
      </c>
      <c r="E109" s="3191" t="s">
        <v>3070</v>
      </c>
      <c r="F109" s="3192" t="s">
        <v>3072</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3191" t="s">
        <v>3074</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3191" t="s">
        <v>3075</v>
      </c>
      <c r="D116" s="3191" t="s">
        <v>3076</v>
      </c>
      <c r="E116" s="3191" t="s">
        <v>3077</v>
      </c>
      <c r="F116" s="3191" t="s">
        <v>3078</v>
      </c>
      <c r="G116" s="3191" t="s">
        <v>3079</v>
      </c>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3192" t="s">
        <v>3081</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99</v>
      </c>
      <c r="E119" s="677">
        <f t="shared" si="28"/>
        <v>98</v>
      </c>
      <c r="F119" s="677">
        <f t="shared" si="28"/>
        <v>97</v>
      </c>
      <c r="G119" s="677">
        <f t="shared" si="28"/>
        <v>96</v>
      </c>
      <c r="H119" s="677">
        <f t="shared" si="28"/>
        <v>95</v>
      </c>
      <c r="I119" s="677">
        <f t="shared" si="28"/>
        <v>94</v>
      </c>
      <c r="J119" s="677">
        <f t="shared" si="28"/>
        <v>93</v>
      </c>
      <c r="K119" s="677">
        <f t="shared" si="28"/>
        <v>92</v>
      </c>
      <c r="L119" s="677">
        <f t="shared" si="28"/>
        <v>91</v>
      </c>
      <c r="M119" s="677">
        <f t="shared" si="28"/>
        <v>90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732</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3191" t="s">
        <v>3068</v>
      </c>
      <c r="D122" s="3191" t="s">
        <v>3069</v>
      </c>
      <c r="E122" s="3191" t="s">
        <v>3070</v>
      </c>
      <c r="F122" s="3192" t="s">
        <v>3072</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0</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0</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0</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2262</v>
      </c>
      <c r="H138" s="1926" t="s">
        <v>2263</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2269</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47" sqref="D47"/>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2991</v>
      </c>
      <c r="D1" s="3153" t="s">
        <v>3051</v>
      </c>
      <c r="E1" s="2409" t="s">
        <v>2375</v>
      </c>
      <c r="F1" s="2410">
        <f ca="1">J53</f>
        <v>37.119999999999997</v>
      </c>
      <c r="G1" s="772">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1862</v>
      </c>
      <c r="C2" s="2055"/>
      <c r="D2" s="2053"/>
      <c r="E2" s="2054"/>
      <c r="F2" s="2054"/>
      <c r="G2" s="1588"/>
      <c r="H2" s="2055"/>
      <c r="I2" s="2055"/>
      <c r="J2" s="2055"/>
      <c r="K2" s="2056"/>
      <c r="L2" s="2055"/>
      <c r="M2" s="2055"/>
    </row>
    <row r="3" spans="1:33" ht="18" customHeight="1" thickBot="1">
      <c r="A3" s="831" t="s">
        <v>1727</v>
      </c>
      <c r="B3" s="832">
        <f ca="1">IF(ISERROR(B2*10000/F43),0,ROUND(B2*10000/F43,0))</f>
        <v>7884</v>
      </c>
      <c r="C3" s="2055"/>
      <c r="D3" s="2053"/>
      <c r="E3" s="2054"/>
      <c r="F3" s="2054"/>
      <c r="G3" s="1588"/>
      <c r="H3" s="774" t="s">
        <v>695</v>
      </c>
      <c r="I3" s="1360"/>
      <c r="J3" s="1360"/>
      <c r="K3" s="1589"/>
      <c r="L3" s="1360"/>
      <c r="M3" s="1360"/>
    </row>
    <row r="4" spans="1:33" ht="18" customHeight="1">
      <c r="A4" s="775" t="s">
        <v>1728</v>
      </c>
      <c r="B4" s="776" t="s">
        <v>1729</v>
      </c>
      <c r="C4" s="776" t="s">
        <v>1730</v>
      </c>
      <c r="D4" s="776" t="s">
        <v>633</v>
      </c>
      <c r="E4" s="777" t="s">
        <v>1731</v>
      </c>
      <c r="F4" s="778"/>
      <c r="G4" s="1590"/>
      <c r="H4" s="775" t="s">
        <v>1732</v>
      </c>
      <c r="I4" s="776" t="s">
        <v>1733</v>
      </c>
      <c r="J4" s="776" t="s">
        <v>1734</v>
      </c>
      <c r="K4" s="776" t="s">
        <v>1735</v>
      </c>
      <c r="L4" s="777" t="s">
        <v>1736</v>
      </c>
      <c r="M4" s="778"/>
    </row>
    <row r="5" spans="1:33" ht="18" customHeight="1">
      <c r="A5" s="779">
        <v>1</v>
      </c>
      <c r="B5" s="780" t="s">
        <v>2459</v>
      </c>
      <c r="C5" s="55">
        <f ca="1">C6+C10+C12</f>
        <v>121</v>
      </c>
      <c r="D5" s="2518" t="s">
        <v>2462</v>
      </c>
      <c r="E5" s="2512"/>
      <c r="F5" s="2513"/>
      <c r="G5" s="1590"/>
      <c r="H5" s="779">
        <v>1</v>
      </c>
      <c r="I5" s="780" t="s">
        <v>2459</v>
      </c>
      <c r="J5" s="55">
        <f ca="1">J6+J10+J12</f>
        <v>0</v>
      </c>
      <c r="K5" s="2518" t="s">
        <v>2462</v>
      </c>
      <c r="L5" s="2512"/>
      <c r="M5" s="2513"/>
    </row>
    <row r="6" spans="1:33" ht="18" customHeight="1">
      <c r="A6" s="1828" t="s">
        <v>1824</v>
      </c>
      <c r="B6" s="3454" t="s">
        <v>2464</v>
      </c>
      <c r="C6" s="781">
        <f ca="1">ROUND(F6*F8*F7*(1-F9)/10000,0)</f>
        <v>121</v>
      </c>
      <c r="D6" s="2519" t="s">
        <v>2463</v>
      </c>
      <c r="E6" s="782" t="s">
        <v>1738</v>
      </c>
      <c r="F6" s="783">
        <f ca="1">INDIRECT("'数据-取费表'!u"&amp;$G$1)</f>
        <v>1.6500000000000001</v>
      </c>
      <c r="G6" s="1590"/>
      <c r="H6" s="2526" t="s">
        <v>2469</v>
      </c>
      <c r="I6" s="3454" t="s">
        <v>2464</v>
      </c>
      <c r="J6" s="781">
        <f ca="1">ROUND(M6*M8*M7*(1-M9)/10000,0)</f>
        <v>0</v>
      </c>
      <c r="K6" s="339" t="s">
        <v>1737</v>
      </c>
      <c r="L6" s="782" t="s">
        <v>1738</v>
      </c>
      <c r="M6" s="783">
        <f ca="1">INDIRECT("'数据-取费表'!z"&amp;$G$1)</f>
        <v>0</v>
      </c>
    </row>
    <row r="7" spans="1:33" ht="18" customHeight="1">
      <c r="A7" s="2522"/>
      <c r="B7" s="3455"/>
      <c r="C7" s="786"/>
      <c r="D7" s="787"/>
      <c r="E7" s="782" t="s">
        <v>1739</v>
      </c>
      <c r="F7" s="783">
        <f ca="1">IF(INDIRECT("'数据-取费表'!ah"&amp;$G$1)="",INDIRECT("'数据-取费表'!k"&amp;$G$1),INDIRECT("'数据-取费表'!ah"&amp;$G$1))</f>
        <v>2361.6</v>
      </c>
      <c r="G7" s="1590"/>
      <c r="H7" s="2511"/>
      <c r="I7" s="3455"/>
      <c r="J7" s="786"/>
      <c r="K7" s="787"/>
      <c r="L7" s="782" t="s">
        <v>1739</v>
      </c>
      <c r="M7" s="783">
        <f ca="1">F7</f>
        <v>2361.6</v>
      </c>
    </row>
    <row r="8" spans="1:33" ht="18" customHeight="1">
      <c r="A8" s="2515"/>
      <c r="B8" s="3456"/>
      <c r="C8" s="786"/>
      <c r="D8" s="787"/>
      <c r="E8" s="782" t="s">
        <v>1740</v>
      </c>
      <c r="F8" s="783">
        <f ca="1">INDIRECT("'数据-取费表'!ai"&amp;$G$1)</f>
        <v>365</v>
      </c>
      <c r="G8" s="1590"/>
      <c r="H8" s="2511"/>
      <c r="I8" s="3456"/>
      <c r="J8" s="786"/>
      <c r="K8" s="787"/>
      <c r="L8" s="782" t="s">
        <v>1740</v>
      </c>
      <c r="M8" s="783">
        <f ca="1">INDIRECT("'数据-取费表'!ai"&amp;$G$1)</f>
        <v>365</v>
      </c>
    </row>
    <row r="9" spans="1:33" ht="18" customHeight="1">
      <c r="A9" s="784"/>
      <c r="B9" s="3457"/>
      <c r="C9" s="786"/>
      <c r="D9" s="787"/>
      <c r="E9" s="782" t="s">
        <v>1741</v>
      </c>
      <c r="F9" s="792">
        <f ca="1">INDIRECT("'数据-取费表'!w"&amp;$G$1)</f>
        <v>0.15</v>
      </c>
      <c r="G9" s="1590"/>
      <c r="H9" s="2527"/>
      <c r="I9" s="3456"/>
      <c r="J9" s="786"/>
      <c r="K9" s="787"/>
      <c r="L9" s="793" t="s">
        <v>1741</v>
      </c>
      <c r="M9" s="794">
        <f ca="1">INDIRECT("'数据-取费表'!ab"&amp;$G$1)</f>
        <v>0</v>
      </c>
    </row>
    <row r="10" spans="1:33" ht="18" customHeight="1">
      <c r="A10" s="1828" t="s">
        <v>2467</v>
      </c>
      <c r="B10" s="2516" t="s">
        <v>2460</v>
      </c>
      <c r="C10" s="797">
        <f ca="1">ROUND(IF(F10="押一",C6/12*F11,IF(F10="押二",C6/12*2*F11,IF(F10="押三",C6/12*3*F11,C11*F11))),0)</f>
        <v>0</v>
      </c>
      <c r="D10" s="2523" t="s">
        <v>2976</v>
      </c>
      <c r="E10" s="2520" t="s">
        <v>2465</v>
      </c>
      <c r="F10" s="2643" t="s">
        <v>3055</v>
      </c>
      <c r="G10" s="1590"/>
      <c r="H10" s="2583" t="s">
        <v>2470</v>
      </c>
      <c r="I10" s="2588" t="s">
        <v>2460</v>
      </c>
      <c r="J10" s="781">
        <f ca="1">ROUND(IF(M10="押一",J6/12*M11,IF(M10="押二",J6/12*2*M11,IF(M10="押三",J6/12*3*M11,J11*M11))),0)</f>
        <v>0</v>
      </c>
      <c r="K10" s="2523" t="s">
        <v>2976</v>
      </c>
      <c r="L10" s="2520" t="s">
        <v>2465</v>
      </c>
      <c r="M10" s="2643"/>
    </row>
    <row r="11" spans="1:33" ht="18" customHeight="1">
      <c r="A11" s="788"/>
      <c r="B11" s="2517" t="s">
        <v>2574</v>
      </c>
      <c r="C11" s="2521"/>
      <c r="D11" s="787"/>
      <c r="E11" s="2520" t="s">
        <v>2466</v>
      </c>
      <c r="F11" s="794">
        <f ca="1">'数据-取费表'!B39</f>
        <v>1.4999999999999999E-2</v>
      </c>
      <c r="G11" s="1590"/>
      <c r="H11" s="2584"/>
      <c r="I11" s="2517" t="s">
        <v>2574</v>
      </c>
      <c r="J11" s="2521"/>
      <c r="K11" s="2585"/>
      <c r="L11" s="2520" t="s">
        <v>2466</v>
      </c>
      <c r="M11" s="2514">
        <f ca="1">'数据-取费表'!B39</f>
        <v>1.4999999999999999E-2</v>
      </c>
    </row>
    <row r="12" spans="1:33" ht="18" customHeight="1" thickBot="1">
      <c r="A12" s="2559" t="s">
        <v>2468</v>
      </c>
      <c r="B12" s="2560" t="s">
        <v>2461</v>
      </c>
      <c r="C12" s="2561"/>
      <c r="D12" s="2562"/>
      <c r="E12" s="2563"/>
      <c r="F12" s="2564"/>
      <c r="G12" s="1590"/>
      <c r="H12" s="2573" t="s">
        <v>2471</v>
      </c>
      <c r="I12" s="2586" t="s">
        <v>2461</v>
      </c>
      <c r="J12" s="2587"/>
      <c r="K12" s="2562"/>
      <c r="L12" s="2563"/>
      <c r="M12" s="2576"/>
    </row>
    <row r="13" spans="1:33" ht="18" customHeight="1" thickTop="1">
      <c r="A13" s="1827">
        <v>2</v>
      </c>
      <c r="B13" s="1825" t="s">
        <v>1742</v>
      </c>
      <c r="C13" s="790">
        <f ca="1">ROUND(C29*F13,0)</f>
        <v>814</v>
      </c>
      <c r="D13" s="1832" t="s">
        <v>2297</v>
      </c>
      <c r="E13" s="1832" t="s">
        <v>1744</v>
      </c>
      <c r="F13" s="2558">
        <f ca="1">INDIRECT("'数据-取费表'!y"&amp;$G$1)</f>
        <v>1</v>
      </c>
      <c r="G13" s="1590"/>
      <c r="H13" s="1827">
        <v>2</v>
      </c>
      <c r="I13" s="1825" t="s">
        <v>1742</v>
      </c>
      <c r="J13" s="1817">
        <f ca="1">ROUND(J14*J15,0)</f>
        <v>0</v>
      </c>
      <c r="K13" s="1819" t="s">
        <v>1743</v>
      </c>
      <c r="L13" s="2574"/>
      <c r="M13" s="2575"/>
    </row>
    <row r="14" spans="1:33" ht="18" customHeight="1">
      <c r="A14" s="1646" t="s">
        <v>1884</v>
      </c>
      <c r="B14" s="782" t="s">
        <v>645</v>
      </c>
      <c r="C14" s="802">
        <f ca="1">INDIRECT("'数据-取费表'!m"&amp;$G$1)+INDIRECT("'数据-取费表'!t"&amp;$G$1)</f>
        <v>510</v>
      </c>
      <c r="D14" s="1977" t="s">
        <v>1745</v>
      </c>
      <c r="E14" s="1978"/>
      <c r="F14" s="803"/>
      <c r="G14" s="1590"/>
      <c r="H14" s="1647" t="s">
        <v>1830</v>
      </c>
      <c r="I14" s="2229" t="s">
        <v>2827</v>
      </c>
      <c r="J14" s="53">
        <f ca="1">C29</f>
        <v>814</v>
      </c>
      <c r="K14" s="26"/>
      <c r="L14" s="799"/>
      <c r="M14" s="800"/>
    </row>
    <row r="15" spans="1:33" s="2062" customFormat="1" ht="18" customHeight="1" thickBot="1">
      <c r="A15" s="1646" t="s">
        <v>1885</v>
      </c>
      <c r="B15" s="782" t="s">
        <v>647</v>
      </c>
      <c r="C15" s="53">
        <f ca="1">ROUND(C14*F15,0)</f>
        <v>15</v>
      </c>
      <c r="D15" s="804" t="s">
        <v>1746</v>
      </c>
      <c r="E15" s="804" t="s">
        <v>1747</v>
      </c>
      <c r="F15" s="805">
        <f>'数据-取费表'!B33</f>
        <v>0.03</v>
      </c>
      <c r="G15" s="1591"/>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1886</v>
      </c>
      <c r="B16" s="782" t="s">
        <v>650</v>
      </c>
      <c r="C16" s="53">
        <f ca="1">ROUND(INDIRECT("'数据-取费表'!m"&amp;$G$1)*F16,0)</f>
        <v>0</v>
      </c>
      <c r="D16" s="782" t="s">
        <v>1746</v>
      </c>
      <c r="E16" s="782" t="s">
        <v>1747</v>
      </c>
      <c r="F16" s="807">
        <f ca="1">IF(INDIRECT("'数据-取费表'!c"&amp;$G$1)="住宅",'数据-取费表'!B34,0)</f>
        <v>0</v>
      </c>
      <c r="G16" s="1590"/>
      <c r="H16" s="1827" t="s">
        <v>1748</v>
      </c>
      <c r="I16" s="1825" t="s">
        <v>1749</v>
      </c>
      <c r="J16" s="790">
        <f ca="1">ROUND(J17+J22+J23+J24,0)</f>
        <v>81</v>
      </c>
      <c r="K16" s="1819" t="s">
        <v>1750</v>
      </c>
      <c r="L16" s="2508"/>
      <c r="M16" s="2513"/>
    </row>
    <row r="17" spans="1:33" s="2062" customFormat="1" ht="18" customHeight="1">
      <c r="A17" s="1646" t="s">
        <v>1887</v>
      </c>
      <c r="B17" s="782" t="s">
        <v>653</v>
      </c>
      <c r="C17" s="53">
        <f ca="1">ROUND(F17*(F43+INDIRECT("'数据-取费表'!S"&amp;$G$1))/10000,0)</f>
        <v>51</v>
      </c>
      <c r="D17" s="782" t="s">
        <v>1751</v>
      </c>
      <c r="E17" s="782" t="s">
        <v>1752</v>
      </c>
      <c r="F17" s="56">
        <f>'数据-取费表'!B35</f>
        <v>200</v>
      </c>
      <c r="G17" s="1591"/>
      <c r="H17" s="1647" t="s">
        <v>1830</v>
      </c>
      <c r="I17" s="782" t="s">
        <v>656</v>
      </c>
      <c r="J17" s="53">
        <f ca="1">ROUND(IF(项目基本情况!B11="自然人",J5*M17,J18+J19+J20),0)</f>
        <v>69</v>
      </c>
      <c r="K17" s="2507" t="s">
        <v>1753</v>
      </c>
      <c r="L17" s="2506"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2" t="s">
        <v>659</v>
      </c>
      <c r="C18" s="53">
        <f ca="1">ROUND(C14*F18,0)</f>
        <v>8</v>
      </c>
      <c r="D18" s="782" t="s">
        <v>1746</v>
      </c>
      <c r="E18" s="782" t="s">
        <v>1747</v>
      </c>
      <c r="F18" s="807">
        <f>'数据-取费表'!B36</f>
        <v>1.4999999999999999E-2</v>
      </c>
      <c r="G18" s="1591"/>
      <c r="H18" s="1646" t="s">
        <v>1884</v>
      </c>
      <c r="I18" s="782" t="s">
        <v>1755</v>
      </c>
      <c r="J18" s="53">
        <f ca="1">ROUND(J5*M18/1.05,1)</f>
        <v>0</v>
      </c>
      <c r="K18" s="2506" t="s">
        <v>1756</v>
      </c>
      <c r="L18" s="782" t="s">
        <v>1747</v>
      </c>
      <c r="M18" s="807">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7" t="s">
        <v>1830</v>
      </c>
      <c r="B19" s="782" t="s">
        <v>662</v>
      </c>
      <c r="C19" s="53">
        <f ca="1">SUM(C14:C18)</f>
        <v>584</v>
      </c>
      <c r="D19" s="259" t="s">
        <v>1757</v>
      </c>
      <c r="E19" s="1980"/>
      <c r="F19" s="56"/>
      <c r="G19" s="1590"/>
      <c r="H19" s="1646" t="s">
        <v>1885</v>
      </c>
      <c r="I19" s="782" t="s">
        <v>1758</v>
      </c>
      <c r="J19" s="53">
        <f ca="1">IF(K19="按租金收入计税",ROUND(J5*M19,1),ROUND(C29*F33*0.7,1))</f>
        <v>68.400000000000006</v>
      </c>
      <c r="K19" s="809" t="s">
        <v>665</v>
      </c>
      <c r="L19" s="782" t="s">
        <v>1747</v>
      </c>
      <c r="M19" s="807">
        <f>IF(K19="按租金收入计税",'数据-取费表'!B51,'数据-取费表'!B50)</f>
        <v>1.2E-2</v>
      </c>
    </row>
    <row r="20" spans="1:33" s="2062" customFormat="1" ht="18" customHeight="1">
      <c r="A20" s="1647" t="s">
        <v>1889</v>
      </c>
      <c r="B20" s="782" t="s">
        <v>666</v>
      </c>
      <c r="C20" s="53">
        <f ca="1">ROUND(C19*F20,0)</f>
        <v>12</v>
      </c>
      <c r="D20" s="810" t="s">
        <v>1759</v>
      </c>
      <c r="E20" s="782" t="s">
        <v>1747</v>
      </c>
      <c r="F20" s="807">
        <f>'数据-取费表'!B37</f>
        <v>0.02</v>
      </c>
      <c r="G20" s="1591"/>
      <c r="H20" s="1649" t="s">
        <v>1880</v>
      </c>
      <c r="I20" s="339" t="s">
        <v>1760</v>
      </c>
      <c r="J20" s="54">
        <f ca="1">ROUND(M20*M21/10000,0)</f>
        <v>1</v>
      </c>
      <c r="K20" s="812" t="s">
        <v>1761</v>
      </c>
      <c r="L20" s="782" t="s">
        <v>1762</v>
      </c>
      <c r="M20" s="638">
        <f>'数据-取费表'!B52</f>
        <v>9</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2" t="s">
        <v>1763</v>
      </c>
      <c r="C21" s="53" t="s">
        <v>1764</v>
      </c>
      <c r="D21" s="810" t="s">
        <v>2298</v>
      </c>
      <c r="E21" s="782" t="s">
        <v>1765</v>
      </c>
      <c r="F21" s="807">
        <f>'数据-取费表'!B38</f>
        <v>0.02</v>
      </c>
      <c r="G21" s="1591"/>
      <c r="H21" s="2528"/>
      <c r="I21" s="791"/>
      <c r="J21" s="69"/>
      <c r="K21" s="814"/>
      <c r="L21" s="782" t="s">
        <v>1766</v>
      </c>
      <c r="M21" s="783">
        <f ca="1">INDIRECT("'数据-取费表'!r"&amp;$G$1)</f>
        <v>1005.24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2" t="s">
        <v>1767</v>
      </c>
      <c r="C22" s="53"/>
      <c r="D22" s="2594" t="str">
        <f>IF(F23&lt;=1,"单利计息。","复利计息。")&amp;"建造成本、管理费用、销售费用产生的利息。"</f>
        <v>复利计息。建造成本、管理费用、销售费用产生的利息。</v>
      </c>
      <c r="E22" s="1980"/>
      <c r="F22" s="56"/>
      <c r="G22" s="1590"/>
      <c r="H22" s="1647" t="s">
        <v>1889</v>
      </c>
      <c r="I22" s="782" t="s">
        <v>1768</v>
      </c>
      <c r="J22" s="53">
        <f ca="1">ROUND(J14*M22,0)</f>
        <v>12</v>
      </c>
      <c r="K22" s="2506" t="s">
        <v>1769</v>
      </c>
      <c r="L22" s="782" t="s">
        <v>1747</v>
      </c>
      <c r="M22" s="815">
        <f ca="1">INDIRECT("'数据-取费表'!Ak"&amp;$G$1)</f>
        <v>1.4999999999999999E-2</v>
      </c>
    </row>
    <row r="23" spans="1:33" s="2062" customFormat="1" ht="18" customHeight="1">
      <c r="A23" s="1646" t="s">
        <v>1831</v>
      </c>
      <c r="B23" s="782" t="s">
        <v>2536</v>
      </c>
      <c r="C23" s="53">
        <f ca="1">ROUND(IF('数据-取费表'!B22&lt;=1,(C19+C20)*F24*F23/2,(C19+C20)*(POWER((1+F24),F23/2)-1)),0)</f>
        <v>36</v>
      </c>
      <c r="D23" s="2593" t="str">
        <f>IF(F23&lt;=1,"(建造成本+管理费用)×利率×(建设周期÷2)","(建造成本+管理费用)×((1+利率)^(建设周期÷2)-1)")</f>
        <v>(建造成本+管理费用)×((1+利率)^(建设周期÷2)-1)</v>
      </c>
      <c r="E23" s="782" t="s">
        <v>1770</v>
      </c>
      <c r="F23" s="638">
        <f>'数据-取费表'!B20</f>
        <v>2.5</v>
      </c>
      <c r="G23" s="1591"/>
      <c r="H23" s="1647" t="s">
        <v>1890</v>
      </c>
      <c r="I23" s="782" t="s">
        <v>679</v>
      </c>
      <c r="J23" s="53">
        <f ca="1">ROUND(J13*M23,0)</f>
        <v>0</v>
      </c>
      <c r="K23" s="2506"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2" t="s">
        <v>1772</v>
      </c>
      <c r="C24" s="53">
        <f ca="1">ROUND(IF('数据-取费表'!B22&lt;=1,F21*F24*F23/2,F21*(POWER((1+F24),F23/2)-1)),4)</f>
        <v>1.1999999999999999E-3</v>
      </c>
      <c r="D24" s="2593" t="str">
        <f>IF(F23&lt;=1,"销售费用×利率×(建设周期÷2)","销售费用×((1+利率)^(建设周期÷2)-1)")</f>
        <v>销售费用×((1+利率)^(建设周期÷2)-1)</v>
      </c>
      <c r="E24" s="782" t="s">
        <v>1773</v>
      </c>
      <c r="F24" s="817">
        <f ca="1">'数据-取费表'!B40</f>
        <v>4.7500000000000001E-2</v>
      </c>
      <c r="G24" s="1591"/>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2" t="s">
        <v>684</v>
      </c>
      <c r="C25" s="53"/>
      <c r="D25" s="259" t="s">
        <v>1775</v>
      </c>
      <c r="E25" s="1980"/>
      <c r="F25" s="56"/>
      <c r="G25" s="1590"/>
      <c r="H25" s="1827" t="s">
        <v>1776</v>
      </c>
      <c r="I25" s="3032" t="s">
        <v>2823</v>
      </c>
      <c r="J25" s="790">
        <f ca="1">J5-J16</f>
        <v>-81</v>
      </c>
      <c r="K25" s="2570" t="s">
        <v>1777</v>
      </c>
      <c r="L25" s="2571"/>
      <c r="M25" s="2572"/>
    </row>
    <row r="26" spans="1:33" ht="18" customHeight="1">
      <c r="A26" s="1646" t="s">
        <v>1831</v>
      </c>
      <c r="B26" s="782" t="s">
        <v>2439</v>
      </c>
      <c r="C26" s="53">
        <f ca="1">ROUND((C19+C20)*F26,0)</f>
        <v>119</v>
      </c>
      <c r="D26" s="810" t="s">
        <v>1778</v>
      </c>
      <c r="E26" s="793" t="s">
        <v>1779</v>
      </c>
      <c r="F26" s="792">
        <f ca="1">INDIRECT("'数据-取费表'!q"&amp;$G$1)</f>
        <v>0.2</v>
      </c>
      <c r="G26" s="1590"/>
      <c r="H26" s="2524" t="s">
        <v>1780</v>
      </c>
      <c r="I26" s="2230" t="s">
        <v>2828</v>
      </c>
      <c r="J26" s="781">
        <f ca="1">IF(J5&lt;&gt;0,ROUND(J25*(1-((1+M28)/(1+M26))^M27)/(M26-M28),0),0)</f>
        <v>0</v>
      </c>
      <c r="K26" s="812" t="s">
        <v>1781</v>
      </c>
      <c r="L26" s="782" t="s">
        <v>2420</v>
      </c>
      <c r="M26" s="792">
        <f ca="1">INDIRECT("'数据-取费表'!I"&amp;$G$1)</f>
        <v>5.5E-2</v>
      </c>
    </row>
    <row r="27" spans="1:33" ht="18" customHeight="1">
      <c r="A27" s="1646" t="s">
        <v>1832</v>
      </c>
      <c r="B27" s="782" t="s">
        <v>686</v>
      </c>
      <c r="C27" s="53">
        <f ca="1">ROUND(F21*F26,4)</f>
        <v>4.0000000000000001E-3</v>
      </c>
      <c r="D27" s="810" t="s">
        <v>1782</v>
      </c>
      <c r="E27" s="804"/>
      <c r="F27" s="805"/>
      <c r="G27" s="1590"/>
      <c r="H27" s="2525"/>
      <c r="I27" s="785"/>
      <c r="J27" s="786"/>
      <c r="K27" s="819" t="s">
        <v>1783</v>
      </c>
      <c r="L27" s="782" t="s">
        <v>1784</v>
      </c>
      <c r="M27" s="820">
        <f ca="1">INDIRECT("'数据-取费表'!ag"&amp;$G$1)</f>
        <v>0</v>
      </c>
    </row>
    <row r="28" spans="1:33" s="2062" customFormat="1" ht="18" customHeight="1">
      <c r="A28" s="1648" t="s">
        <v>1841</v>
      </c>
      <c r="B28" s="782" t="s">
        <v>687</v>
      </c>
      <c r="C28" s="53">
        <f>ROUND(F28/(1+'数据-取费表'!C42),4)</f>
        <v>5.2400000000000002E-2</v>
      </c>
      <c r="D28" s="810" t="s">
        <v>2299</v>
      </c>
      <c r="E28" s="782" t="s">
        <v>1785</v>
      </c>
      <c r="F28" s="807">
        <f>'数据-取费表'!B41</f>
        <v>5.5000000000000007E-2</v>
      </c>
      <c r="G28" s="1591"/>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2300</v>
      </c>
      <c r="C29" s="2566">
        <f ca="1">ROUND((C19+C20+C23+C26)/(1-F21-C24-C27-C28),0)</f>
        <v>814</v>
      </c>
      <c r="D29" s="2567"/>
      <c r="E29" s="2568"/>
      <c r="F29" s="2569"/>
      <c r="G29" s="1591"/>
      <c r="H29" s="821" t="s">
        <v>1787</v>
      </c>
      <c r="I29" s="822" t="s">
        <v>1788</v>
      </c>
      <c r="J29" s="823">
        <f ca="1">ROUND(J26/(1+F40)^F41,0)</f>
        <v>0</v>
      </c>
      <c r="K29" s="824" t="s">
        <v>1789</v>
      </c>
      <c r="L29" s="825"/>
      <c r="M29" s="826">
        <f ca="1">INDIRECT("'数据-取费表'!k"&amp;$G$1)</f>
        <v>2361.6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36</v>
      </c>
      <c r="D30" s="1819" t="s">
        <v>1791</v>
      </c>
      <c r="E30" s="2508"/>
      <c r="F30" s="2513"/>
      <c r="G30" s="2060"/>
      <c r="H30" s="2063"/>
      <c r="I30" s="2064"/>
      <c r="J30" s="2065"/>
      <c r="K30" s="2066"/>
      <c r="L30" s="2067"/>
      <c r="M30" s="2068"/>
    </row>
    <row r="31" spans="1:33" ht="18" customHeight="1">
      <c r="A31" s="1647" t="s">
        <v>1830</v>
      </c>
      <c r="B31" s="782" t="s">
        <v>656</v>
      </c>
      <c r="C31" s="53">
        <f ca="1">ROUND(IF(项目基本情况!B11="自然人",C5*F31,C32+C33+C34),1)</f>
        <v>21.7</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2" t="s">
        <v>1794</v>
      </c>
      <c r="C32" s="53">
        <f ca="1">ROUND(C5*F32/1.05,1)</f>
        <v>6.3</v>
      </c>
      <c r="D32" s="1975" t="s">
        <v>1795</v>
      </c>
      <c r="E32" s="782" t="s">
        <v>1796</v>
      </c>
      <c r="F32" s="807">
        <f>'数据-取费表'!B41</f>
        <v>5.5000000000000007E-2</v>
      </c>
      <c r="G32" s="2060"/>
      <c r="H32" s="2069"/>
      <c r="I32" s="2070"/>
      <c r="J32" s="2071"/>
      <c r="K32" s="2072"/>
      <c r="L32" s="2073"/>
      <c r="M32" s="2074"/>
    </row>
    <row r="33" spans="1:18" ht="18" customHeight="1">
      <c r="A33" s="1646" t="s">
        <v>1832</v>
      </c>
      <c r="B33" s="782" t="s">
        <v>1797</v>
      </c>
      <c r="C33" s="53">
        <f ca="1">IF(D33="按租金收入计税",ROUND(C5*F33,1),IF(D33="按房产原值计税",ROUND(C29*F33*0.7,1),INDIRECT("'数据-取费表'!Aj"&amp;$G$1)))</f>
        <v>14.5</v>
      </c>
      <c r="D33" s="809" t="s">
        <v>3053</v>
      </c>
      <c r="E33" s="782" t="s">
        <v>1796</v>
      </c>
      <c r="F33" s="807">
        <f>IF(D33="按租金收入计税",'数据-取费表'!B51,'数据-取费表'!B50)</f>
        <v>0.12</v>
      </c>
      <c r="G33" s="2060"/>
      <c r="H33" s="2075"/>
      <c r="I33" s="2075"/>
      <c r="J33" s="2075"/>
      <c r="K33" s="2076"/>
      <c r="L33" s="2075"/>
      <c r="M33" s="2075"/>
    </row>
    <row r="34" spans="1:18" ht="18" customHeight="1">
      <c r="A34" s="1649" t="s">
        <v>1833</v>
      </c>
      <c r="B34" s="339" t="s">
        <v>1798</v>
      </c>
      <c r="C34" s="54">
        <f ca="1">ROUND(F34*F35/10000,1)</f>
        <v>0.9</v>
      </c>
      <c r="D34" s="812" t="s">
        <v>1799</v>
      </c>
      <c r="E34" s="782" t="s">
        <v>1800</v>
      </c>
      <c r="F34" s="638">
        <f>'数据-取费表'!B52</f>
        <v>9</v>
      </c>
      <c r="G34" s="2060"/>
      <c r="H34" s="2063"/>
      <c r="I34" s="833" t="s">
        <v>1813</v>
      </c>
      <c r="J34" s="834"/>
      <c r="K34" s="2078"/>
      <c r="L34" s="2077"/>
      <c r="M34" s="2077"/>
    </row>
    <row r="35" spans="1:18" ht="18" customHeight="1">
      <c r="A35" s="813"/>
      <c r="B35" s="791"/>
      <c r="C35" s="69"/>
      <c r="D35" s="814"/>
      <c r="E35" s="782" t="s">
        <v>1801</v>
      </c>
      <c r="F35" s="783">
        <f ca="1">INDIRECT("'数据-取费表'!r"&amp;$G$1)</f>
        <v>1005.24</v>
      </c>
      <c r="G35" s="2060"/>
      <c r="H35" s="2063"/>
      <c r="I35" s="835" t="s">
        <v>1814</v>
      </c>
      <c r="J35" s="836">
        <f ca="1">ROUND(C13*J36,0)</f>
        <v>69</v>
      </c>
      <c r="K35" s="2076"/>
      <c r="L35" s="2075"/>
      <c r="M35" s="2075"/>
    </row>
    <row r="36" spans="1:18" ht="18" customHeight="1">
      <c r="A36" s="1647" t="s">
        <v>1889</v>
      </c>
      <c r="B36" s="782" t="s">
        <v>1802</v>
      </c>
      <c r="C36" s="53">
        <f ca="1">ROUND(C29*F36,1)</f>
        <v>12.2</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7" t="s">
        <v>1890</v>
      </c>
      <c r="B37" s="782" t="s">
        <v>679</v>
      </c>
      <c r="C37" s="53">
        <f ca="1">ROUND(C13*F37,1)</f>
        <v>1.2</v>
      </c>
      <c r="D37" s="1975"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1.2</v>
      </c>
      <c r="D38" s="2567" t="s">
        <v>1805</v>
      </c>
      <c r="E38" s="2568" t="s">
        <v>1796</v>
      </c>
      <c r="F38" s="2564">
        <f ca="1">INDIRECT("'数据-取费表'!Am"&amp;$G$1)</f>
        <v>0.01</v>
      </c>
      <c r="G38" s="2060"/>
      <c r="H38" s="2075"/>
      <c r="I38" s="841" t="s">
        <v>1817</v>
      </c>
      <c r="J38" s="842"/>
      <c r="K38" s="2081"/>
      <c r="L38" s="2075"/>
      <c r="M38" s="2075"/>
    </row>
    <row r="39" spans="1:18" ht="24.6" customHeight="1" thickTop="1">
      <c r="A39" s="1827" t="s">
        <v>1894</v>
      </c>
      <c r="B39" s="3032" t="s">
        <v>2823</v>
      </c>
      <c r="C39" s="790">
        <f ca="1">C5-C30</f>
        <v>85</v>
      </c>
      <c r="D39" s="2570" t="s">
        <v>1806</v>
      </c>
      <c r="E39" s="2571"/>
      <c r="F39" s="2572"/>
      <c r="G39" s="2060"/>
      <c r="H39" s="2075"/>
      <c r="I39" s="835" t="s">
        <v>1818</v>
      </c>
      <c r="J39" s="843">
        <f ca="1">ROUND(J35/C39,3)</f>
        <v>0.81200000000000006</v>
      </c>
      <c r="K39" s="2081"/>
      <c r="L39" s="2075"/>
      <c r="M39" s="2075"/>
    </row>
    <row r="40" spans="1:18" ht="18" customHeight="1">
      <c r="A40" s="779" t="s">
        <v>1895</v>
      </c>
      <c r="B40" s="2230" t="s">
        <v>2301</v>
      </c>
      <c r="C40" s="781">
        <f ca="1">ROUND(C39*(1-((1+F42)/(1+F40))^F41)/(F40-F42),0)</f>
        <v>1862</v>
      </c>
      <c r="D40" s="812" t="s">
        <v>1807</v>
      </c>
      <c r="E40" s="782" t="s">
        <v>2420</v>
      </c>
      <c r="F40" s="792">
        <f ca="1">INDIRECT("'数据-取费表'!I"&amp;$G$1)</f>
        <v>5.5E-2</v>
      </c>
      <c r="G40" s="2060"/>
      <c r="H40" s="2060"/>
      <c r="I40" s="835" t="s">
        <v>1819</v>
      </c>
      <c r="J40" s="843">
        <f ca="1">1-J39</f>
        <v>0.18799999999999994</v>
      </c>
      <c r="K40" s="2081"/>
      <c r="L40" s="2060"/>
      <c r="M40" s="2060"/>
    </row>
    <row r="41" spans="1:18" ht="18" customHeight="1">
      <c r="A41" s="784"/>
      <c r="B41" s="785"/>
      <c r="C41" s="786"/>
      <c r="D41" s="819" t="s">
        <v>1808</v>
      </c>
      <c r="E41" s="782" t="s">
        <v>2966</v>
      </c>
      <c r="F41" s="820">
        <f ca="1">IF(INDIRECT("'数据-取费表'!af"&amp;$G$1)=0,INDIRECT("'数据-取费表'!ae"&amp;$G$1),INDIRECT("'数据-取费表'!af"&amp;$G$1))</f>
        <v>37.119999999999997</v>
      </c>
      <c r="G41" s="2060"/>
      <c r="H41" s="1986"/>
      <c r="I41" s="841" t="s">
        <v>1820</v>
      </c>
      <c r="J41" s="844"/>
      <c r="K41" s="2080"/>
      <c r="L41" s="1986"/>
      <c r="M41" s="1986"/>
    </row>
    <row r="42" spans="1:18" ht="18" customHeight="1">
      <c r="A42" s="788"/>
      <c r="B42" s="789"/>
      <c r="C42" s="790"/>
      <c r="D42" s="814"/>
      <c r="E42" s="782" t="s">
        <v>1809</v>
      </c>
      <c r="F42" s="792">
        <f ca="1">INDIRECT("'数据-取费表'!v"&amp;$G$1)</f>
        <v>2.5000000000000001E-2</v>
      </c>
      <c r="G42" s="2060"/>
      <c r="H42" s="1986"/>
      <c r="I42" s="845" t="s">
        <v>1821</v>
      </c>
      <c r="J42" s="843">
        <f ca="1">ROUND(C13/C40,3)</f>
        <v>0.437</v>
      </c>
      <c r="K42" s="2080"/>
      <c r="L42" s="1986"/>
      <c r="M42" s="1986"/>
    </row>
    <row r="43" spans="1:18" ht="18" customHeight="1" thickBot="1">
      <c r="A43" s="821" t="s">
        <v>1787</v>
      </c>
      <c r="B43" s="822" t="s">
        <v>1810</v>
      </c>
      <c r="C43" s="823">
        <f ca="1">ROUND(C40*10000/F43,0)</f>
        <v>7884</v>
      </c>
      <c r="D43" s="824" t="s">
        <v>1811</v>
      </c>
      <c r="E43" s="825" t="s">
        <v>1812</v>
      </c>
      <c r="F43" s="826">
        <f ca="1">INDIRECT("'数据-取费表'!k"&amp;$G$1)</f>
        <v>2361.6</v>
      </c>
      <c r="G43" s="2060"/>
      <c r="H43" s="1986"/>
      <c r="I43" s="845" t="s">
        <v>1822</v>
      </c>
      <c r="J43" s="846">
        <f ca="1">1-J42</f>
        <v>0.56299999999999994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96">
        <f ca="1">C67-C40</f>
        <v>-2082</v>
      </c>
      <c r="D46" s="2083"/>
      <c r="E46" s="2083"/>
      <c r="F46" s="2083"/>
      <c r="I46" s="2376" t="s">
        <v>2343</v>
      </c>
      <c r="J46" s="2377"/>
      <c r="K46" s="2378"/>
      <c r="L46" s="2379">
        <f>IF(OR(M47="住宅",D1="土地（套用方法）"),0,IF(L48&gt;J51,L60,J60))</f>
        <v>0</v>
      </c>
      <c r="O46" s="2416" t="s">
        <v>2411</v>
      </c>
      <c r="P46" s="1590"/>
      <c r="Q46" s="1602"/>
      <c r="R46" s="1590"/>
    </row>
    <row r="47" spans="1:18" s="2057" customFormat="1" ht="18" customHeight="1" thickBot="1">
      <c r="A47" s="2370">
        <v>1</v>
      </c>
      <c r="B47" s="2371" t="s">
        <v>635</v>
      </c>
      <c r="C47" s="2596">
        <f ca="1">C48+C52+C54</f>
        <v>0</v>
      </c>
      <c r="D47" s="2083"/>
      <c r="E47" s="2083"/>
      <c r="F47" s="2083"/>
      <c r="I47" s="2380" t="s">
        <v>2344</v>
      </c>
      <c r="J47" s="2385" t="s">
        <v>3050</v>
      </c>
      <c r="K47" s="2386" t="s">
        <v>2350</v>
      </c>
      <c r="L47" s="2387">
        <f ca="1">INDIRECT("'数据-取费表'!d"&amp;$G$1)</f>
        <v>40</v>
      </c>
      <c r="M47" s="1602" t="str">
        <f>IF(ISNUMBER(FIND("住宅",C1)),"住宅","非住宅")</f>
        <v>非住宅</v>
      </c>
      <c r="O47" s="2417" t="s">
        <v>2376</v>
      </c>
      <c r="P47" s="2418" t="s">
        <v>2377</v>
      </c>
      <c r="Q47" s="2419" t="s">
        <v>2378</v>
      </c>
      <c r="R47" s="2418" t="s">
        <v>2379</v>
      </c>
    </row>
    <row r="48" spans="1:18" s="2057" customFormat="1" ht="18" customHeight="1" thickBot="1">
      <c r="A48" s="2664" t="s">
        <v>2538</v>
      </c>
      <c r="B48" s="2665" t="s">
        <v>2539</v>
      </c>
      <c r="C48" s="2372">
        <f ca="1">ROUND(F48*F50*F49*(1-F51)/10000,0)</f>
        <v>0</v>
      </c>
      <c r="D48" s="2373" t="s">
        <v>636</v>
      </c>
      <c r="E48" s="2374" t="s">
        <v>2296</v>
      </c>
      <c r="F48" s="2375"/>
      <c r="G48" s="2088"/>
      <c r="I48" s="2381" t="s">
        <v>2345</v>
      </c>
      <c r="J48" s="2388" t="s">
        <v>2351</v>
      </c>
      <c r="K48" s="2389" t="s">
        <v>2352</v>
      </c>
      <c r="L48" s="2390">
        <f ca="1">INDIRECT("'数据-取费表'!f"&amp;$G$1)</f>
        <v>39.619999999999997</v>
      </c>
      <c r="O48" s="2420" t="s">
        <v>2380</v>
      </c>
      <c r="P48" s="2421" t="s">
        <v>2406</v>
      </c>
      <c r="Q48" s="2422">
        <f ca="1">C40+J29</f>
        <v>1862</v>
      </c>
      <c r="R48" s="2421" t="s">
        <v>2381</v>
      </c>
    </row>
    <row r="49" spans="1:18" s="2057" customFormat="1" ht="18" customHeight="1" thickBot="1">
      <c r="A49" s="784"/>
      <c r="B49" s="785"/>
      <c r="C49" s="786"/>
      <c r="D49" s="787"/>
      <c r="E49" s="782" t="s">
        <v>1739</v>
      </c>
      <c r="F49" s="783">
        <f ca="1">F7</f>
        <v>2361.6</v>
      </c>
      <c r="G49" s="2088"/>
      <c r="H49" s="2091"/>
      <c r="I49" s="2381" t="s">
        <v>2346</v>
      </c>
      <c r="J49" s="2391"/>
      <c r="K49" s="2392" t="s">
        <v>2353</v>
      </c>
      <c r="L49" s="2393"/>
      <c r="O49" s="2420" t="s">
        <v>2382</v>
      </c>
      <c r="P49" s="2421" t="s">
        <v>2407</v>
      </c>
      <c r="Q49" s="2422" t="str">
        <f ca="1">J60</f>
        <v>0</v>
      </c>
      <c r="R49" s="2421" t="s">
        <v>2383</v>
      </c>
    </row>
    <row r="50" spans="1:18" s="2057" customFormat="1" ht="18" customHeight="1" thickBot="1">
      <c r="A50" s="784"/>
      <c r="B50" s="785"/>
      <c r="C50" s="786"/>
      <c r="D50" s="787"/>
      <c r="E50" s="782" t="s">
        <v>1740</v>
      </c>
      <c r="F50" s="783">
        <f ca="1">F8</f>
        <v>365</v>
      </c>
      <c r="G50" s="2093"/>
      <c r="H50" s="2091"/>
      <c r="I50" s="2381" t="s">
        <v>2347</v>
      </c>
      <c r="J50" s="2394">
        <f>SUMPRODUCT((I63:I65=J47)*(J62:L62=J48)*(J63:L65))</f>
        <v>60</v>
      </c>
      <c r="K50" s="2392" t="s">
        <v>2354</v>
      </c>
      <c r="L50" s="2393"/>
      <c r="O50" s="2423" t="s">
        <v>2384</v>
      </c>
      <c r="P50" s="2421" t="s">
        <v>2408</v>
      </c>
      <c r="Q50" s="2422">
        <f ca="1">C29</f>
        <v>814</v>
      </c>
      <c r="R50" s="2421" t="s">
        <v>2381</v>
      </c>
    </row>
    <row r="51" spans="1:18" s="2057" customFormat="1" ht="18" customHeight="1" thickBot="1">
      <c r="A51" s="784"/>
      <c r="B51" s="785"/>
      <c r="C51" s="786"/>
      <c r="D51" s="787"/>
      <c r="E51" s="782" t="s">
        <v>640</v>
      </c>
      <c r="F51" s="2369"/>
      <c r="H51" s="2091"/>
      <c r="I51" s="2382" t="s">
        <v>2348</v>
      </c>
      <c r="J51" s="2395">
        <f>IF(J49="",J50,J49+J50-YEAR('数据-取费表'!B2))</f>
        <v>60</v>
      </c>
      <c r="K51" s="2381" t="s">
        <v>2355</v>
      </c>
      <c r="L51" s="2396">
        <f ca="1">ROUND(-PV(INDIRECT("'数据-取费表'!h"&amp;$G$1),L48,(C39-C13*J36),0),0)</f>
        <v>270</v>
      </c>
      <c r="O51" s="2423" t="s">
        <v>2385</v>
      </c>
      <c r="P51" s="2421" t="s">
        <v>2386</v>
      </c>
      <c r="Q51" s="2424" t="e">
        <f ca="1">J58</f>
        <v>#VALUE!</v>
      </c>
      <c r="R51" s="2425"/>
    </row>
    <row r="52" spans="1:18" s="2057" customFormat="1" ht="18" customHeight="1" thickBot="1">
      <c r="A52" s="779" t="s">
        <v>2537</v>
      </c>
      <c r="B52" s="2516" t="s">
        <v>2460</v>
      </c>
      <c r="C52" s="797">
        <f ca="1">ROUND(IF(F52="押一",C48/12*F11,IF(F52="押二",C48/12*2*F11,IF(F52="押三",C48/12*3*F11,C53*F11))),0)</f>
        <v>0</v>
      </c>
      <c r="D52" s="2523" t="s">
        <v>2977</v>
      </c>
      <c r="E52" s="2520" t="s">
        <v>2465</v>
      </c>
      <c r="F52" s="2643"/>
      <c r="I52" s="2383" t="s">
        <v>2422</v>
      </c>
      <c r="J52" s="2397"/>
      <c r="K52" s="2383" t="s">
        <v>2421</v>
      </c>
      <c r="L52" s="2397"/>
      <c r="O52" s="2423" t="s">
        <v>2387</v>
      </c>
      <c r="P52" s="2421" t="s">
        <v>2388</v>
      </c>
      <c r="Q52" s="2424">
        <f>J52</f>
        <v>0</v>
      </c>
      <c r="R52" s="2425"/>
    </row>
    <row r="53" spans="1:18" s="2057" customFormat="1" ht="39.75" customHeight="1" thickBot="1">
      <c r="A53" s="784"/>
      <c r="B53" s="2517" t="s">
        <v>2574</v>
      </c>
      <c r="C53" s="2521"/>
      <c r="D53" s="2523"/>
      <c r="E53" s="2520"/>
      <c r="F53" s="798"/>
      <c r="I53" s="2384" t="s">
        <v>2349</v>
      </c>
      <c r="J53" s="2398">
        <f ca="1">IF(M47="住宅",J51,IF(D1="——",MIN(J51,L48),IF(D1="土地（套用方法）",MIN(J51,L48-'数据-取费表'!B20))))</f>
        <v>37.119999999999997</v>
      </c>
      <c r="K53" s="3474" t="s">
        <v>2968</v>
      </c>
      <c r="L53" s="3475"/>
      <c r="O53" s="2423" t="s">
        <v>2389</v>
      </c>
      <c r="P53" s="2421" t="s">
        <v>2390</v>
      </c>
      <c r="Q53" s="2422">
        <f ca="1">J53</f>
        <v>37.119999999999997</v>
      </c>
      <c r="R53" s="2421" t="s">
        <v>2391</v>
      </c>
    </row>
    <row r="54" spans="1:18" s="2057" customFormat="1" ht="18" customHeight="1" thickBot="1">
      <c r="A54" s="2559" t="s">
        <v>2468</v>
      </c>
      <c r="B54" s="2560" t="s">
        <v>2461</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1862</v>
      </c>
      <c r="R54" s="2425" t="s">
        <v>2393</v>
      </c>
    </row>
    <row r="55" spans="1:18" s="2057" customFormat="1" ht="18" customHeight="1" thickTop="1" thickBot="1">
      <c r="A55" s="795">
        <v>2</v>
      </c>
      <c r="B55" s="796" t="s">
        <v>644</v>
      </c>
      <c r="C55" s="797">
        <f ca="1">C13</f>
        <v>814</v>
      </c>
      <c r="D55" s="793"/>
      <c r="E55" s="793"/>
      <c r="F55" s="798"/>
      <c r="I55" s="3124" t="s">
        <v>2356</v>
      </c>
      <c r="J55" s="3123" t="e">
        <f ca="1">ROUND(IF(J47="钢混",J57/J50,1-(1-2%)*(J50-J57)/J50),3)</f>
        <v>#VALUE!</v>
      </c>
      <c r="K55" s="2399" t="s">
        <v>2357</v>
      </c>
      <c r="L55" s="2400"/>
      <c r="O55" s="2426" t="s">
        <v>2412</v>
      </c>
      <c r="P55" s="1590"/>
      <c r="Q55" s="1602"/>
      <c r="R55" s="1590"/>
    </row>
    <row r="56" spans="1:18" s="2057" customFormat="1" ht="42.75" customHeight="1" thickBot="1">
      <c r="A56" s="1648"/>
      <c r="B56" s="2229" t="s">
        <v>2302</v>
      </c>
      <c r="C56" s="53">
        <f ca="1">C29</f>
        <v>814</v>
      </c>
      <c r="D56" s="2661"/>
      <c r="E56" s="782"/>
      <c r="F56" s="807"/>
      <c r="I56" s="2401" t="s">
        <v>2358</v>
      </c>
      <c r="J56" s="3147" t="s">
        <v>1678</v>
      </c>
      <c r="K56" s="2381" t="s">
        <v>2363</v>
      </c>
      <c r="L56" s="2390" t="str">
        <f ca="1">IF(L48&lt;J51,"——",L48-J51)</f>
        <v>——</v>
      </c>
      <c r="O56" s="2417" t="s">
        <v>2376</v>
      </c>
      <c r="P56" s="2418" t="s">
        <v>2377</v>
      </c>
      <c r="Q56" s="2419" t="s">
        <v>2378</v>
      </c>
      <c r="R56" s="2418" t="s">
        <v>2379</v>
      </c>
    </row>
    <row r="57" spans="1:18" s="2057" customFormat="1" ht="28.5" customHeight="1" thickBot="1">
      <c r="A57" s="795" t="s">
        <v>1748</v>
      </c>
      <c r="B57" s="796" t="s">
        <v>651</v>
      </c>
      <c r="C57" s="797">
        <f ca="1">ROUND(C58+C63+C64+C65,0)</f>
        <v>14</v>
      </c>
      <c r="D57" s="26" t="s">
        <v>1750</v>
      </c>
      <c r="E57" s="2662"/>
      <c r="F57" s="56"/>
      <c r="I57" s="2402" t="s">
        <v>2359</v>
      </c>
      <c r="J57" s="2404" t="str">
        <f ca="1">IF(OR(M47="住宅",J51&lt;L48,J56="是"),"——",J51-L48)</f>
        <v>——</v>
      </c>
      <c r="K57" s="2381" t="s">
        <v>2364</v>
      </c>
      <c r="L57" s="2390" t="str">
        <f ca="1">IF(L48&lt;J51,"——",IF(L55="比较法",L49,IF(L55="基准地价",L50,L51)))</f>
        <v>——</v>
      </c>
      <c r="O57" s="2420" t="s">
        <v>2380</v>
      </c>
      <c r="P57" s="2421" t="s">
        <v>2410</v>
      </c>
      <c r="Q57" s="2422">
        <f ca="1">C40+J29</f>
        <v>1862</v>
      </c>
      <c r="R57" s="2421" t="s">
        <v>2381</v>
      </c>
    </row>
    <row r="58" spans="1:18" s="2057" customFormat="1" ht="28.5" customHeight="1" thickBot="1">
      <c r="A58" s="1647" t="s">
        <v>1824</v>
      </c>
      <c r="B58" s="782" t="s">
        <v>656</v>
      </c>
      <c r="C58" s="53">
        <f ca="1">ROUND(IF(项目基本情况!B11="自然人",C47*F58,C59+C60+C61),1)</f>
        <v>0.9</v>
      </c>
      <c r="D58" s="2660" t="s">
        <v>657</v>
      </c>
      <c r="E58" s="2661" t="s">
        <v>690</v>
      </c>
      <c r="F58" s="808" t="str">
        <f ca="1">IF(项目基本情况!B11="企业","",IF(INDIRECT("'数据-取费表'!c"&amp;$G$1)="住宅",5%,IF(F48*F49*F50/12/(1+'数据-取费表'!C42)&gt;20000,12%,7%)))</f>
        <v/>
      </c>
      <c r="I58" s="2402" t="s">
        <v>2360</v>
      </c>
      <c r="J58" s="3125"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6" t="s">
        <v>1831</v>
      </c>
      <c r="B59" s="782" t="s">
        <v>660</v>
      </c>
      <c r="C59" s="53">
        <f ca="1">ROUND(C47*F59/1.05,1)</f>
        <v>0</v>
      </c>
      <c r="D59" s="2661" t="s">
        <v>1756</v>
      </c>
      <c r="E59" s="782" t="s">
        <v>1747</v>
      </c>
      <c r="F59" s="807">
        <f t="shared" ref="F59:F65" si="0">F32</f>
        <v>5.5000000000000007E-2</v>
      </c>
      <c r="I59" s="2402" t="s">
        <v>2361</v>
      </c>
      <c r="J59" s="2404"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6" t="s">
        <v>1832</v>
      </c>
      <c r="B60" s="782" t="s">
        <v>1758</v>
      </c>
      <c r="C60" s="53">
        <f ca="1">IF(D60="按租金收入计税",ROUND(C47*F60,1),IF(D60="按房产原值计税",ROUND(C56*F60*0.7,1),INDIRECT("'数据-取费表'!Aj"&amp;$G$1)))</f>
        <v>0</v>
      </c>
      <c r="D60" s="2661" t="str">
        <f>D33</f>
        <v>按租金收入计税</v>
      </c>
      <c r="E60" s="782" t="s">
        <v>1747</v>
      </c>
      <c r="F60" s="807">
        <f t="shared" si="0"/>
        <v>0.12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49" t="s">
        <v>1833</v>
      </c>
      <c r="B61" s="339" t="s">
        <v>668</v>
      </c>
      <c r="C61" s="54">
        <f ca="1">ROUND(F61*F62/10000,1)</f>
        <v>0.9</v>
      </c>
      <c r="D61" s="812" t="s">
        <v>669</v>
      </c>
      <c r="E61" s="782" t="s">
        <v>670</v>
      </c>
      <c r="F61" s="638">
        <f t="shared" si="0"/>
        <v>9</v>
      </c>
      <c r="K61" s="2084"/>
      <c r="O61" s="2423" t="s">
        <v>2387</v>
      </c>
      <c r="P61" s="2421" t="s">
        <v>2395</v>
      </c>
      <c r="Q61" s="2422" t="e">
        <f ca="1">L58</f>
        <v>#DIV/0!</v>
      </c>
      <c r="R61" s="2425" t="s">
        <v>2396</v>
      </c>
    </row>
    <row r="62" spans="1:18" s="2057" customFormat="1" ht="15.75" thickBot="1">
      <c r="A62" s="813"/>
      <c r="B62" s="791"/>
      <c r="C62" s="69"/>
      <c r="D62" s="814"/>
      <c r="E62" s="782" t="s">
        <v>674</v>
      </c>
      <c r="F62" s="783">
        <f t="shared" ca="1" si="0"/>
        <v>1005.24</v>
      </c>
      <c r="I62" s="2407" t="s">
        <v>2368</v>
      </c>
      <c r="J62" s="2408" t="s">
        <v>2369</v>
      </c>
      <c r="K62" s="2408" t="s">
        <v>2370</v>
      </c>
      <c r="L62" s="2408" t="s">
        <v>2351</v>
      </c>
      <c r="M62" s="3126" t="s">
        <v>2944</v>
      </c>
      <c r="O62" s="2423" t="s">
        <v>2389</v>
      </c>
      <c r="P62" s="2421" t="str">
        <f>K59</f>
        <v>建设期及建筑物耐用年限下的土地年期修正系数Kn</v>
      </c>
      <c r="Q62" s="2422" t="e">
        <f ca="1">L59</f>
        <v>#DIV/0!</v>
      </c>
      <c r="R62" s="2425" t="s">
        <v>2398</v>
      </c>
    </row>
    <row r="63" spans="1:18" s="2057" customFormat="1" ht="15.75" thickBot="1">
      <c r="A63" s="1647" t="s">
        <v>1889</v>
      </c>
      <c r="B63" s="782" t="s">
        <v>676</v>
      </c>
      <c r="C63" s="53">
        <f ca="1">ROUND(C56*F63,1)</f>
        <v>12.2</v>
      </c>
      <c r="D63" s="2661" t="s">
        <v>1803</v>
      </c>
      <c r="E63" s="782" t="s">
        <v>1747</v>
      </c>
      <c r="F63" s="815">
        <f t="shared" ca="1" si="0"/>
        <v>1.4999999999999999E-2</v>
      </c>
      <c r="I63" s="2407" t="s">
        <v>2371</v>
      </c>
      <c r="J63" s="2408">
        <v>70</v>
      </c>
      <c r="K63" s="2408">
        <v>50</v>
      </c>
      <c r="L63" s="2408">
        <v>80</v>
      </c>
      <c r="M63" s="3127">
        <v>0.02</v>
      </c>
      <c r="O63" s="2420" t="s">
        <v>2392</v>
      </c>
      <c r="P63" s="2421" t="s">
        <v>2409</v>
      </c>
      <c r="Q63" s="2422">
        <f ca="1">Q57+Q58</f>
        <v>1862</v>
      </c>
      <c r="R63" s="2425" t="s">
        <v>2393</v>
      </c>
    </row>
    <row r="64" spans="1:18" s="2057" customFormat="1" ht="16.5" thickBot="1">
      <c r="A64" s="1647" t="s">
        <v>1890</v>
      </c>
      <c r="B64" s="782" t="s">
        <v>679</v>
      </c>
      <c r="C64" s="53">
        <f ca="1">ROUND(C55*F64,1)</f>
        <v>1.2</v>
      </c>
      <c r="D64" s="2661" t="s">
        <v>680</v>
      </c>
      <c r="E64" s="782" t="s">
        <v>1747</v>
      </c>
      <c r="F64" s="816">
        <f t="shared" ca="1" si="0"/>
        <v>1.5E-3</v>
      </c>
      <c r="I64" s="2407" t="s">
        <v>2372</v>
      </c>
      <c r="J64" s="2408">
        <v>50</v>
      </c>
      <c r="K64" s="2408">
        <v>35</v>
      </c>
      <c r="L64" s="2408">
        <v>60</v>
      </c>
      <c r="M64" s="3128">
        <v>0</v>
      </c>
      <c r="O64" s="2426" t="s">
        <v>2416</v>
      </c>
      <c r="P64" s="1590"/>
      <c r="Q64" s="1602"/>
      <c r="R64" s="1590"/>
    </row>
    <row r="65" spans="1:18" s="2057" customFormat="1" ht="15.75" thickBot="1">
      <c r="A65" s="1647" t="s">
        <v>1891</v>
      </c>
      <c r="B65" s="782" t="s">
        <v>666</v>
      </c>
      <c r="C65" s="53">
        <f ca="1">ROUND(C47*F65,1)</f>
        <v>0</v>
      </c>
      <c r="D65" s="2661" t="s">
        <v>683</v>
      </c>
      <c r="E65" s="782" t="s">
        <v>1747</v>
      </c>
      <c r="F65" s="792">
        <f t="shared" ca="1" si="0"/>
        <v>0.01</v>
      </c>
      <c r="I65" s="2407" t="s">
        <v>2373</v>
      </c>
      <c r="J65" s="2408">
        <v>40</v>
      </c>
      <c r="K65" s="2408">
        <v>30</v>
      </c>
      <c r="L65" s="2408">
        <v>50</v>
      </c>
      <c r="M65" s="3127">
        <v>0.02</v>
      </c>
      <c r="O65" s="2417" t="s">
        <v>2376</v>
      </c>
      <c r="P65" s="2418" t="s">
        <v>2377</v>
      </c>
      <c r="Q65" s="2419" t="s">
        <v>2378</v>
      </c>
      <c r="R65" s="2418" t="s">
        <v>2379</v>
      </c>
    </row>
    <row r="66" spans="1:18" s="2057" customFormat="1" ht="24.75" thickBot="1">
      <c r="A66" s="795" t="s">
        <v>1776</v>
      </c>
      <c r="B66" s="3033" t="s">
        <v>2823</v>
      </c>
      <c r="C66" s="797">
        <f ca="1">C47-C57</f>
        <v>-14</v>
      </c>
      <c r="D66" s="2660" t="s">
        <v>700</v>
      </c>
      <c r="E66" s="2659"/>
      <c r="F66" s="818"/>
      <c r="K66" s="2084"/>
      <c r="O66" s="2420" t="s">
        <v>2380</v>
      </c>
      <c r="P66" s="2421" t="s">
        <v>2410</v>
      </c>
      <c r="Q66" s="2422">
        <f ca="1">C40+J29</f>
        <v>1862</v>
      </c>
      <c r="R66" s="2421" t="s">
        <v>2381</v>
      </c>
    </row>
    <row r="67" spans="1:18" s="2057" customFormat="1" ht="20.25" thickBot="1">
      <c r="A67" s="779" t="s">
        <v>1780</v>
      </c>
      <c r="B67" s="2230" t="s">
        <v>2301</v>
      </c>
      <c r="C67" s="781">
        <f ca="1">ROUND(C66*(1-((1+F69)/(1+F67))^F68)/(F67-F69),0)</f>
        <v>-220</v>
      </c>
      <c r="D67" s="812" t="s">
        <v>704</v>
      </c>
      <c r="E67" s="782" t="s">
        <v>705</v>
      </c>
      <c r="F67" s="792">
        <f ca="1">F40</f>
        <v>5.5E-2</v>
      </c>
      <c r="K67" s="2084"/>
      <c r="O67" s="2420" t="s">
        <v>2382</v>
      </c>
      <c r="P67" s="2421" t="s">
        <v>2413</v>
      </c>
      <c r="Q67" s="2422">
        <f ca="1">L60</f>
        <v>0</v>
      </c>
      <c r="R67" s="2425" t="s">
        <v>2415</v>
      </c>
    </row>
    <row r="68" spans="1:18" ht="21.75" thickBot="1">
      <c r="A68" s="784"/>
      <c r="B68" s="785"/>
      <c r="C68" s="786"/>
      <c r="D68" s="819" t="s">
        <v>1808</v>
      </c>
      <c r="E68" s="782" t="s">
        <v>1784</v>
      </c>
      <c r="F68" s="820">
        <f ca="1">F41</f>
        <v>37.119999999999997</v>
      </c>
      <c r="O68" s="2423" t="s">
        <v>2384</v>
      </c>
      <c r="P68" s="2421" t="s">
        <v>2414</v>
      </c>
      <c r="Q68" s="2427">
        <f ca="1">L51</f>
        <v>270</v>
      </c>
      <c r="R68" s="2428" t="s">
        <v>2417</v>
      </c>
    </row>
    <row r="69" spans="1:18" ht="20.25" thickBot="1">
      <c r="A69" s="788"/>
      <c r="B69" s="789"/>
      <c r="C69" s="790"/>
      <c r="D69" s="814"/>
      <c r="E69" s="782" t="s">
        <v>710</v>
      </c>
      <c r="F69" s="2369"/>
      <c r="O69" s="2423" t="s">
        <v>2385</v>
      </c>
      <c r="P69" s="2429" t="s">
        <v>2399</v>
      </c>
      <c r="Q69" s="2422">
        <f ca="1">ROUND(Q70-Q71*Q72,0)</f>
        <v>16</v>
      </c>
      <c r="R69" s="2425"/>
    </row>
    <row r="70" spans="1:18" ht="15.75" thickBot="1">
      <c r="A70" s="821" t="s">
        <v>1787</v>
      </c>
      <c r="B70" s="822" t="s">
        <v>1810</v>
      </c>
      <c r="C70" s="823">
        <f ca="1">ROUND(C67*10000/F70,0)</f>
        <v>-932</v>
      </c>
      <c r="D70" s="824" t="s">
        <v>1811</v>
      </c>
      <c r="E70" s="825" t="s">
        <v>1812</v>
      </c>
      <c r="F70" s="826">
        <f ca="1">F43</f>
        <v>2361.6</v>
      </c>
      <c r="O70" s="2423" t="s">
        <v>2400</v>
      </c>
      <c r="P70" s="2429" t="s">
        <v>2401</v>
      </c>
      <c r="Q70" s="2422">
        <f ca="1">C39</f>
        <v>85</v>
      </c>
      <c r="R70" s="2421" t="s">
        <v>2381</v>
      </c>
    </row>
    <row r="71" spans="1:18" ht="15.75" thickBot="1">
      <c r="O71" s="2423" t="s">
        <v>2402</v>
      </c>
      <c r="P71" s="2429" t="s">
        <v>2403</v>
      </c>
      <c r="Q71" s="2422">
        <f ca="1">C13</f>
        <v>814</v>
      </c>
      <c r="R71" s="2421" t="s">
        <v>2381</v>
      </c>
    </row>
    <row r="72" spans="1:18" ht="15.75" thickBot="1">
      <c r="O72" s="2423" t="s">
        <v>2404</v>
      </c>
      <c r="P72" s="2429" t="s">
        <v>2405</v>
      </c>
      <c r="Q72" s="2424">
        <f ca="1">J36</f>
        <v>8.5000000000000006E-2</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1862</v>
      </c>
      <c r="R76" s="242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2" t="s">
        <v>2472</v>
      </c>
      <c r="B1" s="3493"/>
      <c r="C1" s="3494"/>
      <c r="D1" s="3495">
        <f>SUM(I10,I15,I20,I21,I23)</f>
        <v>0</v>
      </c>
      <c r="E1" s="3495"/>
      <c r="F1" s="3495"/>
      <c r="G1" s="3495"/>
      <c r="H1" s="3495"/>
      <c r="I1" s="3496"/>
    </row>
    <row r="2" spans="1:9">
      <c r="A2" s="3482" t="s">
        <v>2473</v>
      </c>
      <c r="B2" s="3483" t="s">
        <v>2474</v>
      </c>
      <c r="C2" s="3483"/>
      <c r="D2" s="2529" t="s">
        <v>2475</v>
      </c>
      <c r="E2" s="2529" t="s">
        <v>2476</v>
      </c>
      <c r="F2" s="2529" t="s">
        <v>2477</v>
      </c>
      <c r="G2" s="2529" t="s">
        <v>2478</v>
      </c>
      <c r="H2" s="2529" t="s">
        <v>2479</v>
      </c>
      <c r="I2" s="2530" t="s">
        <v>2480</v>
      </c>
    </row>
    <row r="3" spans="1:9">
      <c r="A3" s="3482"/>
      <c r="B3" s="3483" t="s">
        <v>2481</v>
      </c>
      <c r="C3" s="3483"/>
      <c r="D3" s="2531"/>
      <c r="E3" s="2529"/>
      <c r="F3" s="2532"/>
      <c r="G3" s="2532"/>
      <c r="H3" s="2533"/>
      <c r="I3" s="2534">
        <f>ROUND(D3*E3*F3*G3*H3/10000,0)</f>
        <v>0</v>
      </c>
    </row>
    <row r="4" spans="1:9">
      <c r="A4" s="3482"/>
      <c r="B4" s="3483" t="s">
        <v>2482</v>
      </c>
      <c r="C4" s="3483"/>
      <c r="D4" s="2531"/>
      <c r="E4" s="2529"/>
      <c r="F4" s="2532"/>
      <c r="G4" s="2532"/>
      <c r="H4" s="2533"/>
      <c r="I4" s="2534">
        <f t="shared" ref="I4:I9" si="0">ROUND(D4*E4*F4*G4*H4/10000,0)</f>
        <v>0</v>
      </c>
    </row>
    <row r="5" spans="1:9">
      <c r="A5" s="3482"/>
      <c r="B5" s="3483" t="s">
        <v>2483</v>
      </c>
      <c r="C5" s="3483"/>
      <c r="D5" s="2531"/>
      <c r="E5" s="2529"/>
      <c r="F5" s="2532"/>
      <c r="G5" s="2532"/>
      <c r="H5" s="2533"/>
      <c r="I5" s="2534">
        <f t="shared" si="0"/>
        <v>0</v>
      </c>
    </row>
    <row r="6" spans="1:9">
      <c r="A6" s="3482"/>
      <c r="B6" s="3483" t="s">
        <v>2484</v>
      </c>
      <c r="C6" s="3483"/>
      <c r="D6" s="2531"/>
      <c r="E6" s="2529"/>
      <c r="F6" s="2532"/>
      <c r="G6" s="2532"/>
      <c r="H6" s="2533"/>
      <c r="I6" s="2534">
        <f t="shared" si="0"/>
        <v>0</v>
      </c>
    </row>
    <row r="7" spans="1:9">
      <c r="A7" s="3482"/>
      <c r="B7" s="3483" t="s">
        <v>2485</v>
      </c>
      <c r="C7" s="3483"/>
      <c r="D7" s="2531"/>
      <c r="E7" s="2529"/>
      <c r="F7" s="2532"/>
      <c r="G7" s="2532"/>
      <c r="H7" s="2533"/>
      <c r="I7" s="2534">
        <f t="shared" si="0"/>
        <v>0</v>
      </c>
    </row>
    <row r="8" spans="1:9">
      <c r="A8" s="3482"/>
      <c r="B8" s="3483" t="s">
        <v>2486</v>
      </c>
      <c r="C8" s="3483"/>
      <c r="D8" s="2531"/>
      <c r="E8" s="2529"/>
      <c r="F8" s="2532"/>
      <c r="G8" s="2532"/>
      <c r="H8" s="2533"/>
      <c r="I8" s="2534">
        <f t="shared" si="0"/>
        <v>0</v>
      </c>
    </row>
    <row r="9" spans="1:9">
      <c r="A9" s="3482"/>
      <c r="B9" s="3483" t="s">
        <v>2487</v>
      </c>
      <c r="C9" s="3483"/>
      <c r="D9" s="2531"/>
      <c r="E9" s="2529"/>
      <c r="F9" s="2532"/>
      <c r="G9" s="2532"/>
      <c r="H9" s="2533"/>
      <c r="I9" s="2534">
        <f t="shared" si="0"/>
        <v>0</v>
      </c>
    </row>
    <row r="10" spans="1:9">
      <c r="A10" s="3482"/>
      <c r="B10" s="3484" t="s">
        <v>2488</v>
      </c>
      <c r="C10" s="3484"/>
      <c r="D10" s="2535">
        <v>527</v>
      </c>
      <c r="E10" s="2535" t="e">
        <f>ROUND(D1*10000/D10/H9,0)</f>
        <v>#DIV/0!</v>
      </c>
      <c r="F10" s="2536"/>
      <c r="G10" s="2536"/>
      <c r="H10" s="2537"/>
      <c r="I10" s="2538">
        <f>SUM(I3:I9)</f>
        <v>0</v>
      </c>
    </row>
    <row r="11" spans="1:9" ht="14.25">
      <c r="A11" s="3482" t="s">
        <v>2489</v>
      </c>
      <c r="B11" s="3483" t="s">
        <v>2490</v>
      </c>
      <c r="C11" s="3483"/>
      <c r="D11" s="2531" t="s">
        <v>2491</v>
      </c>
      <c r="E11" s="2531" t="s">
        <v>2492</v>
      </c>
      <c r="F11" s="2532" t="s">
        <v>2493</v>
      </c>
      <c r="G11" s="2532" t="s">
        <v>2494</v>
      </c>
      <c r="H11" s="2539" t="s">
        <v>2495</v>
      </c>
      <c r="I11" s="2530" t="s">
        <v>2496</v>
      </c>
    </row>
    <row r="12" spans="1:9">
      <c r="A12" s="3482"/>
      <c r="B12" s="3483" t="s">
        <v>2497</v>
      </c>
      <c r="C12" s="3483"/>
      <c r="D12" s="2531"/>
      <c r="E12" s="2531"/>
      <c r="F12" s="2532"/>
      <c r="G12" s="2533"/>
      <c r="H12" s="2540"/>
      <c r="I12" s="2530">
        <f>ROUND(D12*E12*F12*G12/10000,0)</f>
        <v>0</v>
      </c>
    </row>
    <row r="13" spans="1:9">
      <c r="A13" s="3482"/>
      <c r="B13" s="3483" t="s">
        <v>2498</v>
      </c>
      <c r="C13" s="3483"/>
      <c r="D13" s="2531"/>
      <c r="E13" s="2531"/>
      <c r="F13" s="2532"/>
      <c r="G13" s="2533"/>
      <c r="H13" s="2540"/>
      <c r="I13" s="2530">
        <f>ROUND(D13*E13*F13*G13/10000,0)</f>
        <v>0</v>
      </c>
    </row>
    <row r="14" spans="1:9">
      <c r="A14" s="3482"/>
      <c r="B14" s="3483" t="s">
        <v>2499</v>
      </c>
      <c r="C14" s="3483"/>
      <c r="D14" s="2531"/>
      <c r="E14" s="2531"/>
      <c r="F14" s="2532"/>
      <c r="G14" s="2533"/>
      <c r="H14" s="2540"/>
      <c r="I14" s="2530">
        <f>ROUND(D14*E14*F14*G14/10000,0)</f>
        <v>0</v>
      </c>
    </row>
    <row r="15" spans="1:9">
      <c r="A15" s="3482"/>
      <c r="B15" s="3484" t="s">
        <v>2488</v>
      </c>
      <c r="C15" s="3484"/>
      <c r="D15" s="2535"/>
      <c r="E15" s="2535">
        <f>SUM(E12:E14)</f>
        <v>0</v>
      </c>
      <c r="F15" s="2536"/>
      <c r="G15" s="2533"/>
      <c r="H15" s="2540"/>
      <c r="I15" s="2541">
        <f>SUM(I12:I14)</f>
        <v>0</v>
      </c>
    </row>
    <row r="16" spans="1:9" ht="24">
      <c r="A16" s="3482" t="s">
        <v>2500</v>
      </c>
      <c r="B16" s="3483" t="s">
        <v>2501</v>
      </c>
      <c r="C16" s="3483"/>
      <c r="D16" s="2531" t="s">
        <v>2502</v>
      </c>
      <c r="E16" s="2542" t="s">
        <v>2503</v>
      </c>
      <c r="F16" s="2532" t="s">
        <v>2504</v>
      </c>
      <c r="G16" s="2533" t="s">
        <v>2494</v>
      </c>
      <c r="H16" s="2539" t="s">
        <v>2495</v>
      </c>
      <c r="I16" s="2530" t="s">
        <v>2496</v>
      </c>
    </row>
    <row r="17" spans="1:9" ht="14.25">
      <c r="A17" s="3482"/>
      <c r="B17" s="3483" t="s">
        <v>2505</v>
      </c>
      <c r="C17" s="3483"/>
      <c r="D17" s="2531"/>
      <c r="E17" s="2531"/>
      <c r="F17" s="2532"/>
      <c r="G17" s="2533"/>
      <c r="H17" s="2543"/>
      <c r="I17" s="2544">
        <f>ROUND(D17*E17*F17*G17/10000,0)</f>
        <v>0</v>
      </c>
    </row>
    <row r="18" spans="1:9" ht="14.25">
      <c r="A18" s="3482"/>
      <c r="B18" s="3483" t="s">
        <v>2506</v>
      </c>
      <c r="C18" s="3483"/>
      <c r="D18" s="2531"/>
      <c r="E18" s="2531"/>
      <c r="F18" s="2532"/>
      <c r="G18" s="2533"/>
      <c r="H18" s="2543"/>
      <c r="I18" s="2544">
        <f>ROUND(D18*E18*F18*G18/10000,0)</f>
        <v>0</v>
      </c>
    </row>
    <row r="19" spans="1:9" ht="14.25">
      <c r="A19" s="3482"/>
      <c r="B19" s="3483" t="s">
        <v>2507</v>
      </c>
      <c r="C19" s="3483"/>
      <c r="D19" s="2531"/>
      <c r="E19" s="2531"/>
      <c r="F19" s="2532"/>
      <c r="G19" s="2533"/>
      <c r="H19" s="2543"/>
      <c r="I19" s="2544">
        <f>ROUND(D19*E19*F19*G19/10000,0)</f>
        <v>0</v>
      </c>
    </row>
    <row r="20" spans="1:9">
      <c r="A20" s="3482"/>
      <c r="B20" s="3484" t="s">
        <v>2488</v>
      </c>
      <c r="C20" s="3484"/>
      <c r="D20" s="2535">
        <f>SUM(D17:D19)</f>
        <v>0</v>
      </c>
      <c r="E20" s="2535"/>
      <c r="F20" s="2536"/>
      <c r="G20" s="2533"/>
      <c r="H20" s="2540"/>
      <c r="I20" s="2541">
        <f>SUM(I17:I19)</f>
        <v>0</v>
      </c>
    </row>
    <row r="21" spans="1:9">
      <c r="A21" s="3482" t="s">
        <v>2508</v>
      </c>
      <c r="B21" s="3485"/>
      <c r="C21" s="3485"/>
      <c r="D21" s="3485"/>
      <c r="E21" s="3485"/>
      <c r="F21" s="3485"/>
      <c r="G21" s="3485"/>
      <c r="H21" s="2545">
        <v>0.1</v>
      </c>
      <c r="I21" s="2538">
        <f>ROUND(I10*H21,0)</f>
        <v>0</v>
      </c>
    </row>
    <row r="22" spans="1:9" ht="14.25">
      <c r="A22" s="3486" t="s">
        <v>2509</v>
      </c>
      <c r="B22" s="3487"/>
      <c r="C22" s="3488"/>
      <c r="D22" s="2546" t="s">
        <v>2510</v>
      </c>
      <c r="E22" s="2546" t="s">
        <v>2511</v>
      </c>
      <c r="F22" s="2547" t="s">
        <v>2512</v>
      </c>
      <c r="G22" s="2547" t="s">
        <v>2513</v>
      </c>
      <c r="H22" s="2539" t="s">
        <v>2514</v>
      </c>
      <c r="I22" s="2530" t="s">
        <v>2515</v>
      </c>
    </row>
    <row r="23" spans="1:9" ht="14.25" thickBot="1">
      <c r="A23" s="3489"/>
      <c r="B23" s="3490"/>
      <c r="C23" s="3491"/>
      <c r="D23" s="2548"/>
      <c r="E23" s="2548"/>
      <c r="F23" s="2548"/>
      <c r="G23" s="2549"/>
      <c r="H23" s="2550"/>
      <c r="I23" s="2551">
        <f>ROUND(E23*D23*F23*(1-G23)/10000,0)</f>
        <v>0</v>
      </c>
    </row>
    <row r="26" spans="1:9">
      <c r="A26" s="2552" t="s">
        <v>2516</v>
      </c>
      <c r="B26" s="2552"/>
      <c r="C26" s="2552"/>
      <c r="D26" s="2552"/>
      <c r="E26" s="3479">
        <f>C27-C30-C31-C32</f>
        <v>0</v>
      </c>
      <c r="F26" s="3479"/>
      <c r="G26" s="3479"/>
      <c r="H26" s="3065" t="s">
        <v>2844</v>
      </c>
    </row>
    <row r="27" spans="1:9">
      <c r="A27" s="2553">
        <v>1</v>
      </c>
      <c r="B27" s="2554" t="s">
        <v>2517</v>
      </c>
      <c r="C27" s="2554"/>
      <c r="D27" s="2554"/>
      <c r="E27" s="3480"/>
      <c r="F27" s="3480"/>
      <c r="G27" s="3480"/>
    </row>
    <row r="28" spans="1:9">
      <c r="A28" s="2555" t="s">
        <v>2518</v>
      </c>
      <c r="B28" s="2554" t="s">
        <v>2519</v>
      </c>
      <c r="C28" s="2554"/>
      <c r="D28" s="2554"/>
      <c r="E28" s="3480"/>
      <c r="F28" s="3480"/>
      <c r="G28" s="3480"/>
    </row>
    <row r="29" spans="1:9">
      <c r="A29" s="2555" t="s">
        <v>2520</v>
      </c>
      <c r="B29" s="2554" t="s">
        <v>2461</v>
      </c>
      <c r="C29" s="2554"/>
      <c r="D29" s="2554"/>
      <c r="E29" s="2554" t="s">
        <v>2521</v>
      </c>
      <c r="F29" s="2554"/>
      <c r="G29" s="2554"/>
    </row>
    <row r="30" spans="1:9">
      <c r="A30" s="2553">
        <v>2</v>
      </c>
      <c r="B30" s="2554" t="s">
        <v>2522</v>
      </c>
      <c r="C30" s="2554">
        <f>C27*D30</f>
        <v>0</v>
      </c>
      <c r="D30" s="2556">
        <v>0.2</v>
      </c>
      <c r="E30" s="2554" t="s">
        <v>2523</v>
      </c>
      <c r="F30" s="2554"/>
      <c r="G30" s="2554"/>
    </row>
    <row r="31" spans="1:9">
      <c r="A31" s="2553">
        <v>3</v>
      </c>
      <c r="B31" s="2554" t="s">
        <v>2524</v>
      </c>
      <c r="C31" s="2554">
        <f>C25*D31</f>
        <v>0</v>
      </c>
      <c r="D31" s="2556">
        <v>0.15</v>
      </c>
      <c r="E31" s="2554" t="s">
        <v>2525</v>
      </c>
      <c r="F31" s="2554"/>
      <c r="G31" s="2554"/>
    </row>
    <row r="32" spans="1:9">
      <c r="A32" s="2553">
        <v>4</v>
      </c>
      <c r="B32" s="2554" t="s">
        <v>2526</v>
      </c>
      <c r="C32" s="2554">
        <f>C27*D32</f>
        <v>0</v>
      </c>
      <c r="D32" s="2556">
        <v>0.05</v>
      </c>
      <c r="E32" s="3481"/>
      <c r="F32" s="3481"/>
      <c r="G32" s="3481"/>
    </row>
    <row r="33" spans="1:7" hidden="1">
      <c r="A33" s="3476" t="s">
        <v>2527</v>
      </c>
      <c r="B33" s="3477"/>
      <c r="C33" s="3477"/>
      <c r="D33" s="3478"/>
      <c r="E33" s="3479"/>
      <c r="F33" s="3479"/>
      <c r="G33" s="3479"/>
    </row>
    <row r="34" spans="1:7" hidden="1">
      <c r="A34" s="2557">
        <v>1</v>
      </c>
      <c r="B34" s="2554" t="s">
        <v>2528</v>
      </c>
      <c r="C34" s="2554"/>
      <c r="D34" s="2554"/>
      <c r="E34" s="3480"/>
      <c r="F34" s="3480"/>
      <c r="G34" s="3480"/>
    </row>
    <row r="35" spans="1:7" hidden="1">
      <c r="A35" s="2557">
        <v>2</v>
      </c>
      <c r="B35" s="2554" t="s">
        <v>2529</v>
      </c>
      <c r="C35" s="2554"/>
      <c r="D35" s="2554"/>
      <c r="E35" s="3480"/>
      <c r="F35" s="3480"/>
      <c r="G35" s="3480"/>
    </row>
    <row r="36" spans="1:7" hidden="1">
      <c r="A36" s="2557">
        <v>3</v>
      </c>
      <c r="B36" s="2554" t="s">
        <v>2530</v>
      </c>
      <c r="C36" s="2554"/>
      <c r="D36" s="2554"/>
      <c r="E36" s="3480"/>
      <c r="F36" s="3480"/>
      <c r="G36" s="3480"/>
    </row>
    <row r="37" spans="1:7" hidden="1">
      <c r="A37" s="2557">
        <v>4</v>
      </c>
      <c r="B37" s="2554" t="s">
        <v>2531</v>
      </c>
      <c r="C37" s="2554"/>
      <c r="D37" s="2554"/>
      <c r="E37" s="3480"/>
      <c r="F37" s="3480"/>
      <c r="G37" s="3480"/>
    </row>
    <row r="38" spans="1:7" hidden="1">
      <c r="A38" s="3476" t="s">
        <v>2532</v>
      </c>
      <c r="B38" s="3477"/>
      <c r="C38" s="3477"/>
      <c r="D38" s="3478"/>
      <c r="E38" s="3479"/>
      <c r="F38" s="3479"/>
      <c r="G38" s="34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7"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91">
        <v>1</v>
      </c>
      <c r="B7" s="746" t="s">
        <v>609</v>
      </c>
      <c r="C7" s="747">
        <f>C8+C9</f>
        <v>0</v>
      </c>
      <c r="D7" s="747"/>
      <c r="E7" s="748"/>
      <c r="F7" s="748"/>
      <c r="G7" s="2501"/>
    </row>
    <row r="8" spans="1:25" s="2181" customFormat="1" ht="13.5" customHeight="1">
      <c r="A8" s="2491" t="s">
        <v>2441</v>
      </c>
      <c r="B8" s="2494" t="s">
        <v>2443</v>
      </c>
      <c r="C8" s="2495"/>
      <c r="D8" s="747"/>
      <c r="E8" s="748"/>
      <c r="F8" s="748"/>
      <c r="G8" s="749"/>
    </row>
    <row r="9" spans="1:25" s="2181" customFormat="1" ht="13.5" customHeight="1">
      <c r="A9" s="2491" t="s">
        <v>2442</v>
      </c>
      <c r="B9" s="2494" t="s">
        <v>2444</v>
      </c>
      <c r="C9" s="2495"/>
      <c r="D9" s="747"/>
      <c r="E9" s="748"/>
      <c r="F9" s="748"/>
      <c r="G9" s="749"/>
    </row>
    <row r="10" spans="1:25" s="2181" customFormat="1" ht="36">
      <c r="A10" s="2491">
        <v>2</v>
      </c>
      <c r="B10" s="746" t="s">
        <v>613</v>
      </c>
      <c r="C10" s="747">
        <f>C11+C14+C15</f>
        <v>0</v>
      </c>
      <c r="D10" s="758">
        <f>'数据-汇总表'!E3</f>
        <v>191725</v>
      </c>
      <c r="E10" s="747">
        <f>'数据-取费表'!B31</f>
        <v>100</v>
      </c>
      <c r="F10" s="759"/>
      <c r="G10" s="757" t="s">
        <v>614</v>
      </c>
    </row>
    <row r="11" spans="1:25" s="2181" customFormat="1" ht="13.5" customHeight="1">
      <c r="A11" s="2491" t="s">
        <v>2441</v>
      </c>
      <c r="B11" s="750" t="s">
        <v>610</v>
      </c>
      <c r="C11" s="751">
        <f>'数据-取费表'!B29</f>
        <v>0</v>
      </c>
      <c r="D11" s="752"/>
      <c r="E11" s="751"/>
      <c r="F11" s="753"/>
      <c r="G11" s="2500" t="s">
        <v>2452</v>
      </c>
    </row>
    <row r="12" spans="1:25" s="2181" customFormat="1" ht="13.5" customHeight="1">
      <c r="A12" s="2498" t="s">
        <v>2449</v>
      </c>
      <c r="B12" s="754" t="s">
        <v>611</v>
      </c>
      <c r="C12" s="755">
        <f>ROUND(D12*E12/10000,0)</f>
        <v>738</v>
      </c>
      <c r="D12" s="756">
        <f>'数据-汇总表'!E5</f>
        <v>147556.4</v>
      </c>
      <c r="E12" s="755">
        <f>'数据-取费表'!B27</f>
        <v>50</v>
      </c>
      <c r="F12" s="753"/>
      <c r="G12" s="757"/>
    </row>
    <row r="13" spans="1:25" s="2181" customFormat="1" ht="13.5" customHeight="1">
      <c r="A13" s="2498" t="s">
        <v>2448</v>
      </c>
      <c r="B13" s="754" t="s">
        <v>612</v>
      </c>
      <c r="C13" s="755">
        <f>ROUND(D13*E13/10000,0)</f>
        <v>309</v>
      </c>
      <c r="D13" s="756">
        <f>'数据-汇总表'!E6</f>
        <v>44168.600000000006</v>
      </c>
      <c r="E13" s="755">
        <f>'数据-取费表'!B28</f>
        <v>70</v>
      </c>
      <c r="F13" s="753"/>
      <c r="G13" s="757"/>
    </row>
    <row r="14" spans="1:25" s="2181" customFormat="1" ht="13.5" customHeight="1">
      <c r="A14" s="2491" t="s">
        <v>2442</v>
      </c>
      <c r="B14" s="2497" t="s">
        <v>2445</v>
      </c>
      <c r="C14" s="2495"/>
      <c r="D14" s="756"/>
      <c r="E14" s="755"/>
      <c r="F14" s="2496"/>
      <c r="G14" s="2499" t="s">
        <v>2450</v>
      </c>
    </row>
    <row r="15" spans="1:25" s="2181" customFormat="1" ht="13.5" customHeight="1">
      <c r="A15" s="2491" t="s">
        <v>2447</v>
      </c>
      <c r="B15" s="2497" t="s">
        <v>2446</v>
      </c>
      <c r="C15" s="2495"/>
      <c r="D15" s="756"/>
      <c r="E15" s="755"/>
      <c r="F15" s="2496"/>
      <c r="G15" s="2499" t="s">
        <v>2451</v>
      </c>
    </row>
    <row r="16" spans="1:25" s="2182" customFormat="1" ht="48">
      <c r="A16" s="2491">
        <v>3</v>
      </c>
      <c r="B16" s="746" t="s">
        <v>615</v>
      </c>
      <c r="C16" s="2495"/>
      <c r="D16" s="758"/>
      <c r="E16" s="747"/>
      <c r="F16" s="759"/>
      <c r="G16" s="757"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617</v>
      </c>
      <c r="C18" s="747">
        <f>ROUND((C7+C10+C16)*F18,0)</f>
        <v>0</v>
      </c>
      <c r="D18" s="760"/>
      <c r="E18" s="761"/>
      <c r="F18" s="759">
        <f>'数据-取费表'!Q16</f>
        <v>0.1</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621</v>
      </c>
      <c r="C20" s="747">
        <f ca="1">ROUND(C19*F20,0)</f>
        <v>0</v>
      </c>
      <c r="D20" s="758"/>
      <c r="E20" s="747"/>
      <c r="F20" s="1346"/>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625</v>
      </c>
      <c r="C22" s="747">
        <f ca="1">ROUND(C21*F22,0)</f>
        <v>0</v>
      </c>
      <c r="D22" s="758"/>
      <c r="E22" s="747"/>
      <c r="F22" s="764">
        <f>'数据-取费表'!AP16</f>
        <v>0.93799999999999994</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46" sqref="D46"/>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35</v>
      </c>
      <c r="D1" s="3153" t="s">
        <v>3051</v>
      </c>
      <c r="E1" s="2409" t="s">
        <v>2375</v>
      </c>
      <c r="F1" s="2410">
        <f ca="1">J53</f>
        <v>47.13</v>
      </c>
      <c r="G1" s="772">
        <f>MATCH(C1,'数据-取费表'!A6:A16,0)+5</f>
        <v>9</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793</v>
      </c>
      <c r="B2" s="773">
        <f ca="1">C40+J29+L46</f>
        <v>6819</v>
      </c>
      <c r="C2" s="2055"/>
      <c r="D2" s="2053"/>
      <c r="E2" s="2054"/>
      <c r="F2" s="2054"/>
      <c r="G2" s="1588"/>
      <c r="H2" s="2055"/>
      <c r="I2" s="2055"/>
      <c r="J2" s="2055"/>
      <c r="K2" s="2056"/>
      <c r="L2" s="2055"/>
      <c r="M2" s="2055"/>
    </row>
    <row r="3" spans="1:33" ht="18" customHeight="1" thickBot="1">
      <c r="A3" s="831" t="s">
        <v>794</v>
      </c>
      <c r="B3" s="832">
        <f ca="1">IF(ISERROR(B2*10000/F43),0,ROUND(B2*10000/F43,0))</f>
        <v>2709</v>
      </c>
      <c r="C3" s="2055"/>
      <c r="D3" s="2053"/>
      <c r="E3" s="2054"/>
      <c r="F3" s="2054"/>
      <c r="G3" s="1588"/>
      <c r="H3" s="774" t="s">
        <v>695</v>
      </c>
      <c r="I3" s="1360"/>
      <c r="J3" s="1360"/>
      <c r="K3" s="1589"/>
      <c r="L3" s="1360"/>
      <c r="M3" s="1360"/>
    </row>
    <row r="4" spans="1:33" ht="18" customHeight="1">
      <c r="A4" s="775" t="s">
        <v>1728</v>
      </c>
      <c r="B4" s="776" t="s">
        <v>699</v>
      </c>
      <c r="C4" s="776" t="s">
        <v>1730</v>
      </c>
      <c r="D4" s="776" t="s">
        <v>633</v>
      </c>
      <c r="E4" s="777" t="s">
        <v>1731</v>
      </c>
      <c r="F4" s="778"/>
      <c r="G4" s="1590"/>
      <c r="H4" s="775" t="s">
        <v>1728</v>
      </c>
      <c r="I4" s="776" t="s">
        <v>699</v>
      </c>
      <c r="J4" s="776" t="s">
        <v>1730</v>
      </c>
      <c r="K4" s="776" t="s">
        <v>1735</v>
      </c>
      <c r="L4" s="777" t="s">
        <v>1731</v>
      </c>
      <c r="M4" s="778"/>
    </row>
    <row r="5" spans="1:33" ht="18" customHeight="1">
      <c r="A5" s="779">
        <v>1</v>
      </c>
      <c r="B5" s="780" t="s">
        <v>2459</v>
      </c>
      <c r="C5" s="55">
        <f ca="1">C6+C10+C12</f>
        <v>403</v>
      </c>
      <c r="D5" s="2518" t="s">
        <v>2462</v>
      </c>
      <c r="E5" s="2512"/>
      <c r="F5" s="2513"/>
      <c r="G5" s="1590"/>
      <c r="H5" s="779">
        <v>1</v>
      </c>
      <c r="I5" s="780" t="s">
        <v>2459</v>
      </c>
      <c r="J5" s="55">
        <f ca="1">J6+J10+J12</f>
        <v>0</v>
      </c>
      <c r="K5" s="2518" t="s">
        <v>2462</v>
      </c>
      <c r="L5" s="2512"/>
      <c r="M5" s="2513"/>
    </row>
    <row r="6" spans="1:33" ht="18" customHeight="1">
      <c r="A6" s="1828" t="s">
        <v>1824</v>
      </c>
      <c r="B6" s="3454" t="s">
        <v>2464</v>
      </c>
      <c r="C6" s="781">
        <f ca="1">ROUND(F6*F8*F7*(1-F9)/10000,0)</f>
        <v>403</v>
      </c>
      <c r="D6" s="2519" t="s">
        <v>2463</v>
      </c>
      <c r="E6" s="782" t="s">
        <v>1738</v>
      </c>
      <c r="F6" s="783">
        <f ca="1">INDIRECT("'数据-取费表'!u"&amp;$G$1)</f>
        <v>450</v>
      </c>
      <c r="G6" s="1590"/>
      <c r="H6" s="2526" t="s">
        <v>1824</v>
      </c>
      <c r="I6" s="3454" t="s">
        <v>2464</v>
      </c>
      <c r="J6" s="781">
        <f ca="1">ROUND(M6*M8*M7*(1-M9)/10000,0)</f>
        <v>0</v>
      </c>
      <c r="K6" s="339" t="s">
        <v>1737</v>
      </c>
      <c r="L6" s="782" t="s">
        <v>1738</v>
      </c>
      <c r="M6" s="783">
        <f ca="1">INDIRECT("'数据-取费表'!z"&amp;$G$1)</f>
        <v>0</v>
      </c>
    </row>
    <row r="7" spans="1:33" ht="18" customHeight="1">
      <c r="A7" s="2522"/>
      <c r="B7" s="3455"/>
      <c r="C7" s="786"/>
      <c r="D7" s="787"/>
      <c r="E7" s="782" t="s">
        <v>1739</v>
      </c>
      <c r="F7" s="783">
        <f ca="1">IF(INDIRECT("'数据-取费表'!ah"&amp;$G$1)="",INDIRECT("'数据-取费表'!k"&amp;$G$1),INDIRECT("'数据-取费表'!ah"&amp;$G$1))</f>
        <v>786</v>
      </c>
      <c r="G7" s="1590"/>
      <c r="H7" s="2511"/>
      <c r="I7" s="3455"/>
      <c r="J7" s="786"/>
      <c r="K7" s="787"/>
      <c r="L7" s="782" t="s">
        <v>1739</v>
      </c>
      <c r="M7" s="783">
        <f ca="1">F7</f>
        <v>786</v>
      </c>
    </row>
    <row r="8" spans="1:33" ht="18" customHeight="1">
      <c r="A8" s="2515"/>
      <c r="B8" s="3456"/>
      <c r="C8" s="786"/>
      <c r="D8" s="787"/>
      <c r="E8" s="782" t="s">
        <v>1740</v>
      </c>
      <c r="F8" s="783">
        <f ca="1">INDIRECT("'数据-取费表'!ai"&amp;$G$1)</f>
        <v>12</v>
      </c>
      <c r="G8" s="1590"/>
      <c r="H8" s="2511"/>
      <c r="I8" s="3456"/>
      <c r="J8" s="786"/>
      <c r="K8" s="787"/>
      <c r="L8" s="782" t="s">
        <v>1740</v>
      </c>
      <c r="M8" s="783">
        <f ca="1">INDIRECT("'数据-取费表'!ai"&amp;$G$1)</f>
        <v>12</v>
      </c>
    </row>
    <row r="9" spans="1:33" ht="18" customHeight="1">
      <c r="A9" s="784"/>
      <c r="B9" s="3457"/>
      <c r="C9" s="786"/>
      <c r="D9" s="787"/>
      <c r="E9" s="782" t="s">
        <v>1741</v>
      </c>
      <c r="F9" s="792">
        <f ca="1">INDIRECT("'数据-取费表'!w"&amp;$G$1)</f>
        <v>0.05</v>
      </c>
      <c r="G9" s="1590"/>
      <c r="H9" s="2527"/>
      <c r="I9" s="3456"/>
      <c r="J9" s="786"/>
      <c r="K9" s="787"/>
      <c r="L9" s="793" t="s">
        <v>1741</v>
      </c>
      <c r="M9" s="794">
        <f ca="1">INDIRECT("'数据-取费表'!ab"&amp;$G$1)</f>
        <v>0</v>
      </c>
    </row>
    <row r="10" spans="1:33" ht="18" customHeight="1">
      <c r="A10" s="1828" t="s">
        <v>1825</v>
      </c>
      <c r="B10" s="2516" t="s">
        <v>2460</v>
      </c>
      <c r="C10" s="797">
        <f ca="1">ROUND(IF(F10="押一",C6/12*F11,IF(F10="押二",C6/12*2*F11,IF(F10="押三",C6/12*3*F11,C11*F11))),0)</f>
        <v>0</v>
      </c>
      <c r="D10" s="2523" t="s">
        <v>2976</v>
      </c>
      <c r="E10" s="2520" t="s">
        <v>2465</v>
      </c>
      <c r="F10" s="2643" t="s">
        <v>3052</v>
      </c>
      <c r="G10" s="1590"/>
      <c r="H10" s="2583" t="s">
        <v>1825</v>
      </c>
      <c r="I10" s="2588" t="s">
        <v>2460</v>
      </c>
      <c r="J10" s="781">
        <f ca="1">ROUND(IF(M10="押一",J6/12*M11,IF(M10="押二",J6/12*2*M11,IF(M10="押三",J6/12*3*M11,J11*M11))),0)</f>
        <v>0</v>
      </c>
      <c r="K10" s="2523" t="s">
        <v>2976</v>
      </c>
      <c r="L10" s="2520" t="s">
        <v>2465</v>
      </c>
      <c r="M10" s="2643"/>
    </row>
    <row r="11" spans="1:33" ht="18" customHeight="1">
      <c r="A11" s="788"/>
      <c r="B11" s="2517" t="s">
        <v>2574</v>
      </c>
      <c r="C11" s="2521"/>
      <c r="D11" s="787"/>
      <c r="E11" s="2520" t="s">
        <v>2457</v>
      </c>
      <c r="F11" s="794">
        <f ca="1">'数据-取费表'!B39</f>
        <v>1.4999999999999999E-2</v>
      </c>
      <c r="G11" s="1590"/>
      <c r="H11" s="2584"/>
      <c r="I11" s="2517" t="s">
        <v>2574</v>
      </c>
      <c r="J11" s="2521"/>
      <c r="K11" s="2585"/>
      <c r="L11" s="2520" t="s">
        <v>2457</v>
      </c>
      <c r="M11" s="2514">
        <f ca="1">'数据-取费表'!B39</f>
        <v>1.4999999999999999E-2</v>
      </c>
    </row>
    <row r="12" spans="1:33" ht="18" customHeight="1" thickBot="1">
      <c r="A12" s="2559" t="s">
        <v>2468</v>
      </c>
      <c r="B12" s="2560" t="s">
        <v>2461</v>
      </c>
      <c r="C12" s="2561"/>
      <c r="D12" s="2562"/>
      <c r="E12" s="2563"/>
      <c r="F12" s="2564"/>
      <c r="G12" s="1590"/>
      <c r="H12" s="2573" t="s">
        <v>2468</v>
      </c>
      <c r="I12" s="2586" t="s">
        <v>2461</v>
      </c>
      <c r="J12" s="2587"/>
      <c r="K12" s="2562"/>
      <c r="L12" s="2563"/>
      <c r="M12" s="2576"/>
    </row>
    <row r="13" spans="1:33" ht="18" customHeight="1" thickTop="1">
      <c r="A13" s="1827">
        <v>2</v>
      </c>
      <c r="B13" s="1825" t="s">
        <v>1742</v>
      </c>
      <c r="C13" s="790">
        <f ca="1">ROUND(C29*F13,0)</f>
        <v>6848</v>
      </c>
      <c r="D13" s="1832" t="s">
        <v>2297</v>
      </c>
      <c r="E13" s="1832" t="s">
        <v>1744</v>
      </c>
      <c r="F13" s="2558">
        <f ca="1">INDIRECT("'数据-取费表'!y"&amp;$G$1)</f>
        <v>1</v>
      </c>
      <c r="G13" s="1590"/>
      <c r="H13" s="1827">
        <v>2</v>
      </c>
      <c r="I13" s="1825" t="s">
        <v>1742</v>
      </c>
      <c r="J13" s="1817">
        <f ca="1">ROUND(J14*J15,0)</f>
        <v>0</v>
      </c>
      <c r="K13" s="1819" t="s">
        <v>1743</v>
      </c>
      <c r="L13" s="2574"/>
      <c r="M13" s="2575"/>
    </row>
    <row r="14" spans="1:33" ht="18" customHeight="1">
      <c r="A14" s="1646" t="s">
        <v>1831</v>
      </c>
      <c r="B14" s="782" t="s">
        <v>645</v>
      </c>
      <c r="C14" s="802">
        <f ca="1">INDIRECT("'数据-取费表'!m"&amp;$G$1)+INDIRECT("'数据-取费表'!t"&amp;$G$1)</f>
        <v>4934</v>
      </c>
      <c r="D14" s="3181" t="s">
        <v>1745</v>
      </c>
      <c r="E14" s="3180"/>
      <c r="F14" s="803"/>
      <c r="G14" s="1590"/>
      <c r="H14" s="1647" t="s">
        <v>1824</v>
      </c>
      <c r="I14" s="2229" t="s">
        <v>2826</v>
      </c>
      <c r="J14" s="53">
        <f ca="1">C29</f>
        <v>6848</v>
      </c>
      <c r="K14" s="26"/>
      <c r="L14" s="799"/>
      <c r="M14" s="800"/>
    </row>
    <row r="15" spans="1:33" s="2062" customFormat="1" ht="18" customHeight="1" thickBot="1">
      <c r="A15" s="1646" t="s">
        <v>1832</v>
      </c>
      <c r="B15" s="782" t="s">
        <v>647</v>
      </c>
      <c r="C15" s="53">
        <f ca="1">ROUND(C14*F15,0)</f>
        <v>148</v>
      </c>
      <c r="D15" s="804" t="s">
        <v>1746</v>
      </c>
      <c r="E15" s="804" t="s">
        <v>1747</v>
      </c>
      <c r="F15" s="805">
        <f>'数据-取费表'!B33</f>
        <v>0.03</v>
      </c>
      <c r="G15" s="1591"/>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2" t="s">
        <v>650</v>
      </c>
      <c r="C16" s="53">
        <f ca="1">ROUND(INDIRECT("'数据-取费表'!m"&amp;$G$1)*F16,0)</f>
        <v>0</v>
      </c>
      <c r="D16" s="782" t="s">
        <v>1746</v>
      </c>
      <c r="E16" s="782" t="s">
        <v>1747</v>
      </c>
      <c r="F16" s="807">
        <f ca="1">IF(INDIRECT("'数据-取费表'!c"&amp;$G$1)="住宅",'数据-取费表'!B34,0)</f>
        <v>0</v>
      </c>
      <c r="G16" s="1590"/>
      <c r="H16" s="1827" t="s">
        <v>1748</v>
      </c>
      <c r="I16" s="1825" t="s">
        <v>1749</v>
      </c>
      <c r="J16" s="790">
        <f ca="1">ROUND(J17+J22+J23+J24,0)</f>
        <v>688</v>
      </c>
      <c r="K16" s="1819" t="s">
        <v>1750</v>
      </c>
      <c r="L16" s="3184"/>
      <c r="M16" s="2513"/>
    </row>
    <row r="17" spans="1:33" s="2062" customFormat="1" ht="18" customHeight="1">
      <c r="A17" s="1646" t="s">
        <v>1887</v>
      </c>
      <c r="B17" s="782" t="s">
        <v>653</v>
      </c>
      <c r="C17" s="53">
        <f ca="1">ROUND(F17*(F43+INDIRECT("'数据-取费表'!S"&amp;$G$1))/10000,0)</f>
        <v>548</v>
      </c>
      <c r="D17" s="782" t="s">
        <v>1751</v>
      </c>
      <c r="E17" s="782" t="s">
        <v>1752</v>
      </c>
      <c r="F17" s="56">
        <f>'数据-取费表'!B35</f>
        <v>200</v>
      </c>
      <c r="G17" s="1591"/>
      <c r="H17" s="1647" t="s">
        <v>1824</v>
      </c>
      <c r="I17" s="782" t="s">
        <v>656</v>
      </c>
      <c r="J17" s="53">
        <f ca="1">ROUND(IF(项目基本情况!B11="自然人",J5*M17,J18+J19+J20),0)</f>
        <v>585</v>
      </c>
      <c r="K17" s="3181" t="s">
        <v>1753</v>
      </c>
      <c r="L17" s="3182"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2" t="s">
        <v>659</v>
      </c>
      <c r="C18" s="53">
        <f ca="1">ROUND(C14*F18,0)</f>
        <v>74</v>
      </c>
      <c r="D18" s="782" t="s">
        <v>1746</v>
      </c>
      <c r="E18" s="782" t="s">
        <v>1747</v>
      </c>
      <c r="F18" s="807">
        <f>'数据-取费表'!B36</f>
        <v>1.4999999999999999E-2</v>
      </c>
      <c r="G18" s="1591"/>
      <c r="H18" s="1646" t="s">
        <v>1831</v>
      </c>
      <c r="I18" s="782" t="s">
        <v>1755</v>
      </c>
      <c r="J18" s="53">
        <f ca="1">ROUND(J5*M18/1.05,1)</f>
        <v>0</v>
      </c>
      <c r="K18" s="3182" t="s">
        <v>1756</v>
      </c>
      <c r="L18" s="782" t="s">
        <v>1747</v>
      </c>
      <c r="M18" s="807">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2" t="s">
        <v>662</v>
      </c>
      <c r="C19" s="53">
        <f ca="1">SUM(C14:C18)</f>
        <v>5704</v>
      </c>
      <c r="D19" s="259" t="s">
        <v>1757</v>
      </c>
      <c r="E19" s="3189"/>
      <c r="F19" s="56"/>
      <c r="G19" s="1590"/>
      <c r="H19" s="1646" t="s">
        <v>1832</v>
      </c>
      <c r="I19" s="782" t="s">
        <v>1758</v>
      </c>
      <c r="J19" s="53">
        <f ca="1">IF(K19="按租金收入计税",ROUND(J5*M19,1),ROUND(C29*F33*0.7,1))</f>
        <v>575.20000000000005</v>
      </c>
      <c r="K19" s="809" t="s">
        <v>665</v>
      </c>
      <c r="L19" s="782" t="s">
        <v>1747</v>
      </c>
      <c r="M19" s="807">
        <f>IF(K19="按租金收入计税",'数据-取费表'!B51,'数据-取费表'!B50)</f>
        <v>1.2E-2</v>
      </c>
    </row>
    <row r="20" spans="1:33" s="2062" customFormat="1" ht="18" customHeight="1">
      <c r="A20" s="1647" t="s">
        <v>1889</v>
      </c>
      <c r="B20" s="782" t="s">
        <v>666</v>
      </c>
      <c r="C20" s="53">
        <f ca="1">ROUND(C19*F20,0)</f>
        <v>114</v>
      </c>
      <c r="D20" s="810" t="s">
        <v>1759</v>
      </c>
      <c r="E20" s="782" t="s">
        <v>1747</v>
      </c>
      <c r="F20" s="807">
        <f>'数据-取费表'!B37</f>
        <v>0.02</v>
      </c>
      <c r="G20" s="1591"/>
      <c r="H20" s="1649" t="s">
        <v>1833</v>
      </c>
      <c r="I20" s="339" t="s">
        <v>1760</v>
      </c>
      <c r="J20" s="54">
        <f ca="1">ROUND(M20*M21/10000,0)</f>
        <v>10</v>
      </c>
      <c r="K20" s="812" t="s">
        <v>1761</v>
      </c>
      <c r="L20" s="782" t="s">
        <v>1762</v>
      </c>
      <c r="M20" s="638">
        <f>'数据-取费表'!B52</f>
        <v>9</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2" t="s">
        <v>1763</v>
      </c>
      <c r="C21" s="53" t="s">
        <v>1764</v>
      </c>
      <c r="D21" s="810" t="s">
        <v>2298</v>
      </c>
      <c r="E21" s="782" t="s">
        <v>1765</v>
      </c>
      <c r="F21" s="807">
        <f>'数据-取费表'!B38</f>
        <v>0.02</v>
      </c>
      <c r="G21" s="1591"/>
      <c r="H21" s="2528"/>
      <c r="I21" s="791"/>
      <c r="J21" s="69"/>
      <c r="K21" s="814"/>
      <c r="L21" s="782" t="s">
        <v>1766</v>
      </c>
      <c r="M21" s="783">
        <f ca="1">INDIRECT("'数据-取费表'!r"&amp;$G$1)</f>
        <v>10716.36</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2" t="s">
        <v>1767</v>
      </c>
      <c r="C22" s="53"/>
      <c r="D22" s="2594" t="str">
        <f>IF(F23&lt;=1,"单利计息。","复利计息。")&amp;"建造成本、管理费用、销售费用产生的利息。"</f>
        <v>复利计息。建造成本、管理费用、销售费用产生的利息。</v>
      </c>
      <c r="E22" s="3189"/>
      <c r="F22" s="56"/>
      <c r="G22" s="1590"/>
      <c r="H22" s="1647" t="s">
        <v>1889</v>
      </c>
      <c r="I22" s="782" t="s">
        <v>1768</v>
      </c>
      <c r="J22" s="53">
        <f ca="1">ROUND(J14*M22,0)</f>
        <v>103</v>
      </c>
      <c r="K22" s="3182" t="s">
        <v>1769</v>
      </c>
      <c r="L22" s="782" t="s">
        <v>1747</v>
      </c>
      <c r="M22" s="815">
        <f ca="1">INDIRECT("'数据-取费表'!Ak"&amp;$G$1)</f>
        <v>1.4999999999999999E-2</v>
      </c>
    </row>
    <row r="23" spans="1:33" s="2062" customFormat="1" ht="18" customHeight="1">
      <c r="A23" s="1646" t="s">
        <v>1831</v>
      </c>
      <c r="B23" s="782" t="s">
        <v>2438</v>
      </c>
      <c r="C23" s="53">
        <f ca="1">ROUND(IF('数据-取费表'!B22&lt;=1,(C19+C20)*F24*F23/2,(C19+C20)*(POWER((1+F24),F23/2)-1)),0)</f>
        <v>347</v>
      </c>
      <c r="D23" s="2593" t="str">
        <f>IF(F23&lt;=1,"(建造成本+管理费用)×利率×(建设周期÷2)","(建造成本+管理费用)×((1+利率)^(建设周期÷2)-1)")</f>
        <v>(建造成本+管理费用)×((1+利率)^(建设周期÷2)-1)</v>
      </c>
      <c r="E23" s="782" t="s">
        <v>1770</v>
      </c>
      <c r="F23" s="638">
        <f>'数据-取费表'!B20</f>
        <v>2.5</v>
      </c>
      <c r="G23" s="1591"/>
      <c r="H23" s="1647" t="s">
        <v>1890</v>
      </c>
      <c r="I23" s="782" t="s">
        <v>679</v>
      </c>
      <c r="J23" s="53">
        <f ca="1">ROUND(J13*M23,0)</f>
        <v>0</v>
      </c>
      <c r="K23" s="3182"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2" t="s">
        <v>1772</v>
      </c>
      <c r="C24" s="53">
        <f ca="1">ROUND(IF('数据-取费表'!B22&lt;=1,F21*F24*F23/2,F21*(POWER((1+F24),F23/2)-1)),4)</f>
        <v>1.1999999999999999E-3</v>
      </c>
      <c r="D24" s="2593" t="str">
        <f>IF(F23&lt;=1,"销售费用×利率×(建设周期÷2)","销售费用×((1+利率)^(建设周期÷2)-1)")</f>
        <v>销售费用×((1+利率)^(建设周期÷2)-1)</v>
      </c>
      <c r="E24" s="782" t="s">
        <v>1773</v>
      </c>
      <c r="F24" s="817">
        <f ca="1">'数据-取费表'!B40</f>
        <v>4.7500000000000001E-2</v>
      </c>
      <c r="G24" s="1591"/>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2" t="s">
        <v>684</v>
      </c>
      <c r="C25" s="53"/>
      <c r="D25" s="259" t="s">
        <v>1775</v>
      </c>
      <c r="E25" s="3189"/>
      <c r="F25" s="56"/>
      <c r="G25" s="1590"/>
      <c r="H25" s="1827" t="s">
        <v>1776</v>
      </c>
      <c r="I25" s="3032" t="s">
        <v>2823</v>
      </c>
      <c r="J25" s="790">
        <f ca="1">J5-J16</f>
        <v>-688</v>
      </c>
      <c r="K25" s="2570" t="s">
        <v>1777</v>
      </c>
      <c r="L25" s="2571"/>
      <c r="M25" s="2572"/>
    </row>
    <row r="26" spans="1:33" ht="18" customHeight="1">
      <c r="A26" s="1646" t="s">
        <v>1831</v>
      </c>
      <c r="B26" s="782" t="s">
        <v>2439</v>
      </c>
      <c r="C26" s="53">
        <f ca="1">ROUND((C19+C20)*F26,0)</f>
        <v>175</v>
      </c>
      <c r="D26" s="810" t="s">
        <v>701</v>
      </c>
      <c r="E26" s="793" t="s">
        <v>702</v>
      </c>
      <c r="F26" s="792">
        <f ca="1">INDIRECT("'数据-取费表'!q"&amp;$G$1)</f>
        <v>0.03</v>
      </c>
      <c r="G26" s="1590"/>
      <c r="H26" s="2524" t="s">
        <v>1780</v>
      </c>
      <c r="I26" s="2230" t="s">
        <v>2828</v>
      </c>
      <c r="J26" s="781">
        <f ca="1">IF(J5&lt;&gt;0,ROUND(J25*(1-((1+M28)/(1+M26))^M27)/(M26-M28),0),0)</f>
        <v>0</v>
      </c>
      <c r="K26" s="812" t="s">
        <v>704</v>
      </c>
      <c r="L26" s="782" t="s">
        <v>2420</v>
      </c>
      <c r="M26" s="792">
        <f ca="1">INDIRECT("'数据-取费表'!I"&amp;$G$1)</f>
        <v>4.4999999999999998E-2</v>
      </c>
    </row>
    <row r="27" spans="1:33" ht="18" customHeight="1">
      <c r="A27" s="1646" t="s">
        <v>1832</v>
      </c>
      <c r="B27" s="782" t="s">
        <v>686</v>
      </c>
      <c r="C27" s="53">
        <f ca="1">ROUND(F21*F26,4)</f>
        <v>5.9999999999999995E-4</v>
      </c>
      <c r="D27" s="810" t="s">
        <v>706</v>
      </c>
      <c r="E27" s="804"/>
      <c r="F27" s="805"/>
      <c r="G27" s="1590"/>
      <c r="H27" s="2525"/>
      <c r="I27" s="785"/>
      <c r="J27" s="786"/>
      <c r="K27" s="819" t="s">
        <v>707</v>
      </c>
      <c r="L27" s="782" t="s">
        <v>708</v>
      </c>
      <c r="M27" s="820">
        <f ca="1">INDIRECT("'数据-取费表'!ag"&amp;$G$1)</f>
        <v>0</v>
      </c>
    </row>
    <row r="28" spans="1:33" s="2062" customFormat="1" ht="18" customHeight="1">
      <c r="A28" s="1648" t="s">
        <v>1841</v>
      </c>
      <c r="B28" s="782" t="s">
        <v>687</v>
      </c>
      <c r="C28" s="53">
        <f>ROUND(F28/(1+'数据-取费表'!C42),4)</f>
        <v>5.2400000000000002E-2</v>
      </c>
      <c r="D28" s="810" t="s">
        <v>2299</v>
      </c>
      <c r="E28" s="782" t="s">
        <v>1747</v>
      </c>
      <c r="F28" s="807">
        <f>'数据-取费表'!B41</f>
        <v>5.5000000000000007E-2</v>
      </c>
      <c r="G28" s="1591"/>
      <c r="H28" s="1827"/>
      <c r="I28" s="789"/>
      <c r="J28" s="790"/>
      <c r="K28" s="814"/>
      <c r="L28" s="782" t="s">
        <v>710</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2300</v>
      </c>
      <c r="C29" s="2566">
        <f ca="1">ROUND((C19+C20+C23+C26)/(1-F21-C24-C27-C28),0)</f>
        <v>6848</v>
      </c>
      <c r="D29" s="2567"/>
      <c r="E29" s="2568"/>
      <c r="F29" s="2569"/>
      <c r="G29" s="1591"/>
      <c r="H29" s="821" t="s">
        <v>1787</v>
      </c>
      <c r="I29" s="822" t="s">
        <v>1788</v>
      </c>
      <c r="J29" s="823">
        <f ca="1">ROUND(J26/(1+F40)^F41,0)</f>
        <v>0</v>
      </c>
      <c r="K29" s="824" t="s">
        <v>1789</v>
      </c>
      <c r="L29" s="825"/>
      <c r="M29" s="826">
        <f ca="1">INDIRECT("'数据-取费表'!k"&amp;$G$1)</f>
        <v>25176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1749</v>
      </c>
      <c r="C30" s="790">
        <f ca="1">ROUND(C31+C36+C37+C38,0)</f>
        <v>196</v>
      </c>
      <c r="D30" s="1819" t="s">
        <v>1750</v>
      </c>
      <c r="E30" s="3184"/>
      <c r="F30" s="2513"/>
      <c r="G30" s="2060"/>
      <c r="H30" s="2063"/>
      <c r="I30" s="2064"/>
      <c r="J30" s="2065"/>
      <c r="K30" s="2066"/>
      <c r="L30" s="2067"/>
      <c r="M30" s="2068"/>
    </row>
    <row r="31" spans="1:33" ht="18" customHeight="1">
      <c r="A31" s="1647" t="s">
        <v>1824</v>
      </c>
      <c r="B31" s="782" t="s">
        <v>656</v>
      </c>
      <c r="C31" s="53">
        <f ca="1">ROUND(IF(项目基本情况!B11="自然人",C5*F31,C32+C33+C34),1)</f>
        <v>79.099999999999994</v>
      </c>
      <c r="D31" s="3181" t="s">
        <v>1753</v>
      </c>
      <c r="E31" s="3182"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2" t="s">
        <v>1755</v>
      </c>
      <c r="C32" s="53">
        <f ca="1">ROUND(C5*F32/1.05,1)</f>
        <v>21.1</v>
      </c>
      <c r="D32" s="3182" t="s">
        <v>1756</v>
      </c>
      <c r="E32" s="782" t="s">
        <v>1747</v>
      </c>
      <c r="F32" s="807">
        <f>'数据-取费表'!B41</f>
        <v>5.5000000000000007E-2</v>
      </c>
      <c r="G32" s="2060"/>
      <c r="H32" s="2069"/>
      <c r="I32" s="2070"/>
      <c r="J32" s="2071"/>
      <c r="K32" s="2072"/>
      <c r="L32" s="2073"/>
      <c r="M32" s="2074"/>
    </row>
    <row r="33" spans="1:18" ht="18" customHeight="1">
      <c r="A33" s="1646" t="s">
        <v>1832</v>
      </c>
      <c r="B33" s="782" t="s">
        <v>1758</v>
      </c>
      <c r="C33" s="53">
        <f ca="1">IF(D33="按租金收入计税",ROUND(C5*F33,1),IF(D33="按房产原值计税",ROUND(C29*F33*0.7,1),INDIRECT("'数据-取费表'!Aj"&amp;$G$1)))</f>
        <v>48.4</v>
      </c>
      <c r="D33" s="809" t="s">
        <v>3053</v>
      </c>
      <c r="E33" s="782" t="s">
        <v>1747</v>
      </c>
      <c r="F33" s="807">
        <f>IF(D33="按租金收入计税",'数据-取费表'!B51,'数据-取费表'!B50)</f>
        <v>0.12</v>
      </c>
      <c r="G33" s="2060"/>
      <c r="H33" s="2075"/>
      <c r="I33" s="2075"/>
      <c r="J33" s="2075"/>
      <c r="K33" s="2076"/>
      <c r="L33" s="2075"/>
      <c r="M33" s="2075"/>
    </row>
    <row r="34" spans="1:18" ht="18" customHeight="1">
      <c r="A34" s="1649" t="s">
        <v>1833</v>
      </c>
      <c r="B34" s="339" t="s">
        <v>1760</v>
      </c>
      <c r="C34" s="54">
        <f ca="1">ROUND(F34*F35/10000,1)</f>
        <v>9.6</v>
      </c>
      <c r="D34" s="812" t="s">
        <v>1761</v>
      </c>
      <c r="E34" s="782" t="s">
        <v>1762</v>
      </c>
      <c r="F34" s="638">
        <f>'数据-取费表'!B52</f>
        <v>9</v>
      </c>
      <c r="G34" s="2060"/>
      <c r="H34" s="2063"/>
      <c r="I34" s="833" t="s">
        <v>1813</v>
      </c>
      <c r="J34" s="834"/>
      <c r="K34" s="2078"/>
      <c r="L34" s="2077"/>
      <c r="M34" s="2077"/>
    </row>
    <row r="35" spans="1:18" ht="18" customHeight="1">
      <c r="A35" s="813"/>
      <c r="B35" s="791"/>
      <c r="C35" s="69"/>
      <c r="D35" s="814"/>
      <c r="E35" s="782" t="s">
        <v>1766</v>
      </c>
      <c r="F35" s="783">
        <f ca="1">INDIRECT("'数据-取费表'!r"&amp;$G$1)</f>
        <v>10716.36</v>
      </c>
      <c r="G35" s="2060"/>
      <c r="H35" s="2063"/>
      <c r="I35" s="835" t="s">
        <v>1814</v>
      </c>
      <c r="J35" s="836">
        <f ca="1">ROUND(C13*J36,0)</f>
        <v>582</v>
      </c>
      <c r="K35" s="2076"/>
      <c r="L35" s="2075"/>
      <c r="M35" s="2075"/>
    </row>
    <row r="36" spans="1:18" ht="18" customHeight="1">
      <c r="A36" s="1647" t="s">
        <v>1889</v>
      </c>
      <c r="B36" s="782" t="s">
        <v>1768</v>
      </c>
      <c r="C36" s="53">
        <f ca="1">ROUND(C29*F36,1)</f>
        <v>102.7</v>
      </c>
      <c r="D36" s="3182" t="s">
        <v>1803</v>
      </c>
      <c r="E36" s="782" t="s">
        <v>1747</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7" t="s">
        <v>1890</v>
      </c>
      <c r="B37" s="782" t="s">
        <v>679</v>
      </c>
      <c r="C37" s="53">
        <f ca="1">ROUND(C13*F37,1)</f>
        <v>10.3</v>
      </c>
      <c r="D37" s="3182" t="s">
        <v>1771</v>
      </c>
      <c r="E37" s="782" t="s">
        <v>1747</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4</v>
      </c>
      <c r="D38" s="2567" t="s">
        <v>1774</v>
      </c>
      <c r="E38" s="2568" t="s">
        <v>1747</v>
      </c>
      <c r="F38" s="2564">
        <f ca="1">INDIRECT("'数据-取费表'!Am"&amp;$G$1)</f>
        <v>0.01</v>
      </c>
      <c r="G38" s="2060"/>
      <c r="H38" s="2075"/>
      <c r="I38" s="841" t="s">
        <v>1817</v>
      </c>
      <c r="J38" s="842"/>
      <c r="K38" s="2081"/>
      <c r="L38" s="2075"/>
      <c r="M38" s="2075"/>
    </row>
    <row r="39" spans="1:18" ht="24.6" customHeight="1" thickTop="1">
      <c r="A39" s="1827" t="s">
        <v>1776</v>
      </c>
      <c r="B39" s="3032" t="s">
        <v>2823</v>
      </c>
      <c r="C39" s="790">
        <f ca="1">C5-C30</f>
        <v>207</v>
      </c>
      <c r="D39" s="2570" t="s">
        <v>1777</v>
      </c>
      <c r="E39" s="2571"/>
      <c r="F39" s="2572"/>
      <c r="G39" s="2060"/>
      <c r="H39" s="2075"/>
      <c r="I39" s="835" t="s">
        <v>1818</v>
      </c>
      <c r="J39" s="843">
        <f ca="1">ROUND(J35/C39,3)</f>
        <v>2.8119999999999998</v>
      </c>
      <c r="K39" s="2081"/>
      <c r="L39" s="2075"/>
      <c r="M39" s="2075"/>
    </row>
    <row r="40" spans="1:18" ht="18" customHeight="1">
      <c r="A40" s="779" t="s">
        <v>1780</v>
      </c>
      <c r="B40" s="2230" t="s">
        <v>2301</v>
      </c>
      <c r="C40" s="781">
        <f ca="1">ROUND(C39*(1-((1+F42)/(1+F40))^F41)/(F40-F42),0)</f>
        <v>6819</v>
      </c>
      <c r="D40" s="812" t="s">
        <v>704</v>
      </c>
      <c r="E40" s="782" t="s">
        <v>2420</v>
      </c>
      <c r="F40" s="792">
        <f ca="1">INDIRECT("'数据-取费表'!I"&amp;$G$1)</f>
        <v>4.4999999999999998E-2</v>
      </c>
      <c r="G40" s="2060"/>
      <c r="H40" s="2060"/>
      <c r="I40" s="835" t="s">
        <v>1819</v>
      </c>
      <c r="J40" s="843">
        <f ca="1">1-J39</f>
        <v>-1.8119999999999998</v>
      </c>
      <c r="K40" s="2081"/>
      <c r="L40" s="2060"/>
      <c r="M40" s="2060"/>
    </row>
    <row r="41" spans="1:18" ht="18" customHeight="1">
      <c r="A41" s="784"/>
      <c r="B41" s="785"/>
      <c r="C41" s="786"/>
      <c r="D41" s="819" t="s">
        <v>1808</v>
      </c>
      <c r="E41" s="782" t="s">
        <v>708</v>
      </c>
      <c r="F41" s="820">
        <f ca="1">IF(INDIRECT("'数据-取费表'!af"&amp;$G$1)=0,INDIRECT("'数据-取费表'!ae"&amp;$G$1),INDIRECT("'数据-取费表'!af"&amp;$G$1))</f>
        <v>47.13</v>
      </c>
      <c r="G41" s="2060"/>
      <c r="H41" s="1986"/>
      <c r="I41" s="841" t="s">
        <v>1820</v>
      </c>
      <c r="J41" s="844"/>
      <c r="K41" s="2080"/>
      <c r="L41" s="1986"/>
      <c r="M41" s="1986"/>
    </row>
    <row r="42" spans="1:18" ht="18" customHeight="1">
      <c r="A42" s="788"/>
      <c r="B42" s="789"/>
      <c r="C42" s="790"/>
      <c r="D42" s="814"/>
      <c r="E42" s="782" t="s">
        <v>710</v>
      </c>
      <c r="F42" s="792">
        <f ca="1">INDIRECT("'数据-取费表'!v"&amp;$G$1)</f>
        <v>0.03</v>
      </c>
      <c r="G42" s="2060"/>
      <c r="H42" s="1986"/>
      <c r="I42" s="845" t="s">
        <v>1821</v>
      </c>
      <c r="J42" s="843">
        <f ca="1">ROUND(C13/C40,3)</f>
        <v>1.004</v>
      </c>
      <c r="K42" s="2080"/>
      <c r="L42" s="1986"/>
      <c r="M42" s="1986"/>
    </row>
    <row r="43" spans="1:18" ht="18" customHeight="1" thickBot="1">
      <c r="A43" s="821" t="s">
        <v>1787</v>
      </c>
      <c r="B43" s="822" t="s">
        <v>1810</v>
      </c>
      <c r="C43" s="823">
        <f ca="1">ROUND(C40*10000/F43,0)</f>
        <v>2709</v>
      </c>
      <c r="D43" s="824" t="s">
        <v>1811</v>
      </c>
      <c r="E43" s="825" t="s">
        <v>1812</v>
      </c>
      <c r="F43" s="826">
        <f ca="1">INDIRECT("'数据-取费表'!k"&amp;$G$1)</f>
        <v>25176</v>
      </c>
      <c r="G43" s="2060"/>
      <c r="H43" s="1986"/>
      <c r="I43" s="845" t="s">
        <v>1822</v>
      </c>
      <c r="J43" s="846">
        <f ca="1">1-J42</f>
        <v>-4.0000000000000036E-3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96">
        <f ca="1">C67-C40</f>
        <v>-9209</v>
      </c>
      <c r="D46" s="2083"/>
      <c r="E46" s="2083"/>
      <c r="F46" s="2083"/>
      <c r="I46" s="2376" t="s">
        <v>2343</v>
      </c>
      <c r="J46" s="2377"/>
      <c r="K46" s="2378"/>
      <c r="L46" s="2379">
        <f>IF(OR(M47="住宅",D1="土地（套用方法）"),0,IF(L48&gt;J51,L60,J60))</f>
        <v>0</v>
      </c>
      <c r="O46" s="2416" t="s">
        <v>2411</v>
      </c>
      <c r="P46" s="1590"/>
      <c r="Q46" s="1602"/>
      <c r="R46" s="1590"/>
    </row>
    <row r="47" spans="1:18" s="2057" customFormat="1" ht="18" customHeight="1" thickBot="1">
      <c r="A47" s="2370">
        <v>1</v>
      </c>
      <c r="B47" s="2371" t="s">
        <v>635</v>
      </c>
      <c r="C47" s="2596">
        <f ca="1">C48+C52+C54</f>
        <v>0</v>
      </c>
      <c r="D47" s="2083"/>
      <c r="E47" s="2083"/>
      <c r="F47" s="2083"/>
      <c r="I47" s="2380" t="s">
        <v>2344</v>
      </c>
      <c r="J47" s="2385" t="s">
        <v>3050</v>
      </c>
      <c r="K47" s="2386" t="s">
        <v>2350</v>
      </c>
      <c r="L47" s="2387">
        <f ca="1">INDIRECT("'数据-取费表'!d"&amp;$G$1)</f>
        <v>50</v>
      </c>
      <c r="M47" s="1602" t="str">
        <f>IF(ISNUMBER(FIND("住宅",C1)),"住宅","非住宅")</f>
        <v>非住宅</v>
      </c>
      <c r="O47" s="2417" t="s">
        <v>2376</v>
      </c>
      <c r="P47" s="2418" t="s">
        <v>2377</v>
      </c>
      <c r="Q47" s="2419" t="s">
        <v>2378</v>
      </c>
      <c r="R47" s="2418" t="s">
        <v>2379</v>
      </c>
    </row>
    <row r="48" spans="1:18" s="2057" customFormat="1" ht="18" customHeight="1" thickBot="1">
      <c r="A48" s="2664" t="s">
        <v>1870</v>
      </c>
      <c r="B48" s="2665" t="s">
        <v>2539</v>
      </c>
      <c r="C48" s="2372">
        <f ca="1">ROUND(F48*F50*F49*(1-F51)/10000,0)</f>
        <v>0</v>
      </c>
      <c r="D48" s="2373" t="s">
        <v>636</v>
      </c>
      <c r="E48" s="2374" t="s">
        <v>2296</v>
      </c>
      <c r="F48" s="2375"/>
      <c r="G48" s="2088"/>
      <c r="I48" s="2381" t="s">
        <v>2345</v>
      </c>
      <c r="J48" s="2388" t="s">
        <v>2351</v>
      </c>
      <c r="K48" s="2389" t="s">
        <v>2352</v>
      </c>
      <c r="L48" s="2390">
        <f ca="1">INDIRECT("'数据-取费表'!f"&amp;$G$1)</f>
        <v>49.63</v>
      </c>
      <c r="O48" s="2420" t="s">
        <v>2380</v>
      </c>
      <c r="P48" s="2421" t="s">
        <v>2406</v>
      </c>
      <c r="Q48" s="2422">
        <f ca="1">C40+J29</f>
        <v>6819</v>
      </c>
      <c r="R48" s="2421" t="s">
        <v>2381</v>
      </c>
    </row>
    <row r="49" spans="1:18" s="2057" customFormat="1" ht="18" customHeight="1" thickBot="1">
      <c r="A49" s="784"/>
      <c r="B49" s="785"/>
      <c r="C49" s="786"/>
      <c r="D49" s="787"/>
      <c r="E49" s="782" t="s">
        <v>1739</v>
      </c>
      <c r="F49" s="783">
        <f ca="1">F7</f>
        <v>786</v>
      </c>
      <c r="G49" s="2088"/>
      <c r="H49" s="2091"/>
      <c r="I49" s="2381" t="s">
        <v>2346</v>
      </c>
      <c r="J49" s="2391"/>
      <c r="K49" s="2392" t="s">
        <v>2353</v>
      </c>
      <c r="L49" s="2393"/>
      <c r="O49" s="2420" t="s">
        <v>2382</v>
      </c>
      <c r="P49" s="2421" t="s">
        <v>2407</v>
      </c>
      <c r="Q49" s="2422" t="str">
        <f ca="1">J60</f>
        <v>0</v>
      </c>
      <c r="R49" s="2421" t="s">
        <v>2383</v>
      </c>
    </row>
    <row r="50" spans="1:18" s="2057" customFormat="1" ht="18" customHeight="1" thickBot="1">
      <c r="A50" s="784"/>
      <c r="B50" s="785"/>
      <c r="C50" s="786"/>
      <c r="D50" s="787"/>
      <c r="E50" s="782" t="s">
        <v>1740</v>
      </c>
      <c r="F50" s="783">
        <f ca="1">F8</f>
        <v>12</v>
      </c>
      <c r="G50" s="2093"/>
      <c r="H50" s="2091"/>
      <c r="I50" s="2381" t="s">
        <v>2347</v>
      </c>
      <c r="J50" s="2394">
        <f>SUMPRODUCT((I63:I65=J47)*(J62:L62=J48)*(J63:L65))</f>
        <v>60</v>
      </c>
      <c r="K50" s="2392" t="s">
        <v>2354</v>
      </c>
      <c r="L50" s="2393"/>
      <c r="O50" s="2423" t="s">
        <v>2384</v>
      </c>
      <c r="P50" s="2421" t="s">
        <v>2408</v>
      </c>
      <c r="Q50" s="2422">
        <f ca="1">C29</f>
        <v>6848</v>
      </c>
      <c r="R50" s="2421" t="s">
        <v>2381</v>
      </c>
    </row>
    <row r="51" spans="1:18" s="2057" customFormat="1" ht="18" customHeight="1" thickBot="1">
      <c r="A51" s="784"/>
      <c r="B51" s="785"/>
      <c r="C51" s="786"/>
      <c r="D51" s="787"/>
      <c r="E51" s="782" t="s">
        <v>640</v>
      </c>
      <c r="F51" s="2369"/>
      <c r="H51" s="2091"/>
      <c r="I51" s="2382" t="s">
        <v>2348</v>
      </c>
      <c r="J51" s="2395">
        <f>IF(J49="",J50,J49+J50-YEAR('数据-取费表'!B2))</f>
        <v>60</v>
      </c>
      <c r="K51" s="2381" t="s">
        <v>2355</v>
      </c>
      <c r="L51" s="2396">
        <f ca="1">ROUND(-PV(INDIRECT("'数据-取费表'!h"&amp;$G$1),L48,(C39-C13*J36),0),0)</f>
        <v>-8038</v>
      </c>
      <c r="O51" s="2423" t="s">
        <v>2385</v>
      </c>
      <c r="P51" s="2421" t="s">
        <v>2386</v>
      </c>
      <c r="Q51" s="2424" t="e">
        <f ca="1">J58</f>
        <v>#VALUE!</v>
      </c>
      <c r="R51" s="2425"/>
    </row>
    <row r="52" spans="1:18" s="2057" customFormat="1" ht="18" customHeight="1" thickBot="1">
      <c r="A52" s="779" t="s">
        <v>2537</v>
      </c>
      <c r="B52" s="2516" t="s">
        <v>2460</v>
      </c>
      <c r="C52" s="797">
        <f ca="1">ROUND(IF(F52="押一",C48/12*F11,IF(F52="押二",C48/12*2*F11,IF(F52="押三",C48/12*3*F11,C53*F11))),0)</f>
        <v>0</v>
      </c>
      <c r="D52" s="2523" t="s">
        <v>2976</v>
      </c>
      <c r="E52" s="2520" t="s">
        <v>2465</v>
      </c>
      <c r="F52" s="2643"/>
      <c r="I52" s="2383" t="s">
        <v>2422</v>
      </c>
      <c r="J52" s="2397"/>
      <c r="K52" s="2383" t="s">
        <v>2421</v>
      </c>
      <c r="L52" s="2397"/>
      <c r="O52" s="2423" t="s">
        <v>2387</v>
      </c>
      <c r="P52" s="2421" t="s">
        <v>2388</v>
      </c>
      <c r="Q52" s="2424">
        <f>J52</f>
        <v>0</v>
      </c>
      <c r="R52" s="2425"/>
    </row>
    <row r="53" spans="1:18" s="2057" customFormat="1" ht="39.75" customHeight="1" thickBot="1">
      <c r="A53" s="784"/>
      <c r="B53" s="2517" t="s">
        <v>2574</v>
      </c>
      <c r="C53" s="2521"/>
      <c r="D53" s="2523"/>
      <c r="E53" s="2520"/>
      <c r="F53" s="798"/>
      <c r="I53" s="2384" t="s">
        <v>2349</v>
      </c>
      <c r="J53" s="2398">
        <f ca="1">IF(M47="住宅",J51,IF(D1="——",MIN(J51,L48),IF(D1="土地（套用方法）",MIN(J51,L48-'数据-取费表'!B20))))</f>
        <v>47.13</v>
      </c>
      <c r="K53" s="3474" t="s">
        <v>2968</v>
      </c>
      <c r="L53" s="3475"/>
      <c r="O53" s="2423" t="s">
        <v>2389</v>
      </c>
      <c r="P53" s="2421" t="s">
        <v>2390</v>
      </c>
      <c r="Q53" s="2422">
        <f ca="1">J53</f>
        <v>47.13</v>
      </c>
      <c r="R53" s="2421" t="s">
        <v>2391</v>
      </c>
    </row>
    <row r="54" spans="1:18" s="2057" customFormat="1" ht="18" customHeight="1" thickBot="1">
      <c r="A54" s="2559" t="s">
        <v>2468</v>
      </c>
      <c r="B54" s="2560" t="s">
        <v>2461</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6819</v>
      </c>
      <c r="R54" s="2425" t="s">
        <v>2393</v>
      </c>
    </row>
    <row r="55" spans="1:18" s="2057" customFormat="1" ht="18" customHeight="1" thickTop="1" thickBot="1">
      <c r="A55" s="795">
        <v>2</v>
      </c>
      <c r="B55" s="796" t="s">
        <v>644</v>
      </c>
      <c r="C55" s="797">
        <f ca="1">C13</f>
        <v>6848</v>
      </c>
      <c r="D55" s="793"/>
      <c r="E55" s="793"/>
      <c r="F55" s="798"/>
      <c r="I55" s="3124" t="s">
        <v>2356</v>
      </c>
      <c r="J55" s="3123" t="e">
        <f ca="1">ROUND(IF(J47="钢混",J57/J50,1-(1-2%)*(J50-J57)/J50),3)</f>
        <v>#VALUE!</v>
      </c>
      <c r="K55" s="2399" t="s">
        <v>2357</v>
      </c>
      <c r="L55" s="2400"/>
      <c r="O55" s="2426" t="s">
        <v>2412</v>
      </c>
      <c r="P55" s="1590"/>
      <c r="Q55" s="1602"/>
      <c r="R55" s="1590"/>
    </row>
    <row r="56" spans="1:18" s="2057" customFormat="1" ht="42.75" customHeight="1" thickBot="1">
      <c r="A56" s="1648"/>
      <c r="B56" s="2229" t="s">
        <v>2300</v>
      </c>
      <c r="C56" s="53">
        <f ca="1">C29</f>
        <v>6848</v>
      </c>
      <c r="D56" s="3182"/>
      <c r="E56" s="782"/>
      <c r="F56" s="807"/>
      <c r="I56" s="2401" t="s">
        <v>2358</v>
      </c>
      <c r="J56" s="3147" t="s">
        <v>1678</v>
      </c>
      <c r="K56" s="2381" t="s">
        <v>2363</v>
      </c>
      <c r="L56" s="2390" t="str">
        <f ca="1">IF(L48&lt;J51,"——",L48-J51)</f>
        <v>——</v>
      </c>
      <c r="O56" s="2417" t="s">
        <v>2376</v>
      </c>
      <c r="P56" s="2418" t="s">
        <v>2377</v>
      </c>
      <c r="Q56" s="2419" t="s">
        <v>2378</v>
      </c>
      <c r="R56" s="2418" t="s">
        <v>2379</v>
      </c>
    </row>
    <row r="57" spans="1:18" s="2057" customFormat="1" ht="28.5" customHeight="1" thickBot="1">
      <c r="A57" s="795" t="s">
        <v>1748</v>
      </c>
      <c r="B57" s="796" t="s">
        <v>651</v>
      </c>
      <c r="C57" s="797">
        <f ca="1">ROUND(C58+C63+C64+C65,0)</f>
        <v>123</v>
      </c>
      <c r="D57" s="26" t="s">
        <v>1750</v>
      </c>
      <c r="E57" s="3189"/>
      <c r="F57" s="56"/>
      <c r="I57" s="2402" t="s">
        <v>2359</v>
      </c>
      <c r="J57" s="2404" t="str">
        <f ca="1">IF(OR(M47="住宅",J51&lt;L48,J56="是"),"——",J51-L48)</f>
        <v>——</v>
      </c>
      <c r="K57" s="2381" t="s">
        <v>2364</v>
      </c>
      <c r="L57" s="2390" t="str">
        <f ca="1">IF(L48&lt;J51,"——",IF(L55="比较法",L49,IF(L55="基准地价",L50,L51)))</f>
        <v>——</v>
      </c>
      <c r="O57" s="2420" t="s">
        <v>2380</v>
      </c>
      <c r="P57" s="2421" t="s">
        <v>2406</v>
      </c>
      <c r="Q57" s="2422">
        <f ca="1">C40+J29</f>
        <v>6819</v>
      </c>
      <c r="R57" s="2421" t="s">
        <v>2381</v>
      </c>
    </row>
    <row r="58" spans="1:18" s="2057" customFormat="1" ht="28.5" customHeight="1" thickBot="1">
      <c r="A58" s="1647" t="s">
        <v>1824</v>
      </c>
      <c r="B58" s="782" t="s">
        <v>656</v>
      </c>
      <c r="C58" s="53">
        <f ca="1">ROUND(IF(项目基本情况!B11="自然人",C47*F58,C59+C60+C61),1)</f>
        <v>9.6</v>
      </c>
      <c r="D58" s="3181" t="s">
        <v>657</v>
      </c>
      <c r="E58" s="3182" t="s">
        <v>690</v>
      </c>
      <c r="F58" s="808" t="str">
        <f ca="1">IF(项目基本情况!B11="企业","",IF(INDIRECT("'数据-取费表'!c"&amp;$G$1)="住宅",5%,IF(F48*F49*F50/12/(1+'数据-取费表'!C42)&gt;20000,12%,7%)))</f>
        <v/>
      </c>
      <c r="I58" s="2402" t="s">
        <v>2360</v>
      </c>
      <c r="J58" s="3125"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6" t="s">
        <v>1831</v>
      </c>
      <c r="B59" s="782" t="s">
        <v>660</v>
      </c>
      <c r="C59" s="53">
        <f ca="1">ROUND(C47*F59/1.05,1)</f>
        <v>0</v>
      </c>
      <c r="D59" s="3182" t="s">
        <v>1756</v>
      </c>
      <c r="E59" s="782" t="s">
        <v>1747</v>
      </c>
      <c r="F59" s="807">
        <f t="shared" ref="F59:F65" si="0">F32</f>
        <v>5.5000000000000007E-2</v>
      </c>
      <c r="I59" s="2402" t="s">
        <v>2361</v>
      </c>
      <c r="J59" s="2404"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6" t="s">
        <v>1832</v>
      </c>
      <c r="B60" s="782" t="s">
        <v>1758</v>
      </c>
      <c r="C60" s="53">
        <f ca="1">IF(D60="按租金收入计税",ROUND(C47*F60,1),IF(D60="按房产原值计税",ROUND(C56*F60*0.7,1),INDIRECT("'数据-取费表'!Aj"&amp;$G$1)))</f>
        <v>0</v>
      </c>
      <c r="D60" s="3182" t="str">
        <f>D33</f>
        <v>按租金收入计税</v>
      </c>
      <c r="E60" s="782" t="s">
        <v>1747</v>
      </c>
      <c r="F60" s="807">
        <f t="shared" si="0"/>
        <v>0.12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49" t="s">
        <v>1833</v>
      </c>
      <c r="B61" s="339" t="s">
        <v>668</v>
      </c>
      <c r="C61" s="54">
        <f ca="1">ROUND(F61*F62/10000,1)</f>
        <v>9.6</v>
      </c>
      <c r="D61" s="812" t="s">
        <v>669</v>
      </c>
      <c r="E61" s="782" t="s">
        <v>670</v>
      </c>
      <c r="F61" s="638">
        <f t="shared" si="0"/>
        <v>9</v>
      </c>
      <c r="K61" s="2084"/>
      <c r="O61" s="2423" t="s">
        <v>2387</v>
      </c>
      <c r="P61" s="2421" t="s">
        <v>2395</v>
      </c>
      <c r="Q61" s="2422" t="e">
        <f ca="1">L58</f>
        <v>#DIV/0!</v>
      </c>
      <c r="R61" s="2425" t="s">
        <v>2396</v>
      </c>
    </row>
    <row r="62" spans="1:18" s="2057" customFormat="1" ht="15.75" thickBot="1">
      <c r="A62" s="813"/>
      <c r="B62" s="791"/>
      <c r="C62" s="69"/>
      <c r="D62" s="814"/>
      <c r="E62" s="782" t="s">
        <v>674</v>
      </c>
      <c r="F62" s="783">
        <f t="shared" ca="1" si="0"/>
        <v>10716.36</v>
      </c>
      <c r="I62" s="2407" t="s">
        <v>2368</v>
      </c>
      <c r="J62" s="2408" t="s">
        <v>2369</v>
      </c>
      <c r="K62" s="2408" t="s">
        <v>2370</v>
      </c>
      <c r="L62" s="2408" t="s">
        <v>2351</v>
      </c>
      <c r="M62" s="3126" t="s">
        <v>2944</v>
      </c>
      <c r="O62" s="2423" t="s">
        <v>2389</v>
      </c>
      <c r="P62" s="2421" t="str">
        <f>K59</f>
        <v>建设期及建筑物耐用年限下的土地年期修正系数Kn</v>
      </c>
      <c r="Q62" s="2422" t="e">
        <f ca="1">L59</f>
        <v>#DIV/0!</v>
      </c>
      <c r="R62" s="2425" t="s">
        <v>2398</v>
      </c>
    </row>
    <row r="63" spans="1:18" s="2057" customFormat="1" ht="15.75" thickBot="1">
      <c r="A63" s="1647" t="s">
        <v>1889</v>
      </c>
      <c r="B63" s="782" t="s">
        <v>676</v>
      </c>
      <c r="C63" s="53">
        <f ca="1">ROUND(C56*F63,1)</f>
        <v>102.7</v>
      </c>
      <c r="D63" s="3182" t="s">
        <v>1803</v>
      </c>
      <c r="E63" s="782" t="s">
        <v>1747</v>
      </c>
      <c r="F63" s="815">
        <f t="shared" ca="1" si="0"/>
        <v>1.4999999999999999E-2</v>
      </c>
      <c r="I63" s="2407" t="s">
        <v>2371</v>
      </c>
      <c r="J63" s="2408">
        <v>70</v>
      </c>
      <c r="K63" s="2408">
        <v>50</v>
      </c>
      <c r="L63" s="2408">
        <v>80</v>
      </c>
      <c r="M63" s="3127">
        <v>0.02</v>
      </c>
      <c r="O63" s="2420" t="s">
        <v>2392</v>
      </c>
      <c r="P63" s="2421" t="s">
        <v>2409</v>
      </c>
      <c r="Q63" s="2422">
        <f ca="1">Q57+Q58</f>
        <v>6819</v>
      </c>
      <c r="R63" s="2425" t="s">
        <v>2393</v>
      </c>
    </row>
    <row r="64" spans="1:18" s="2057" customFormat="1" ht="16.5" thickBot="1">
      <c r="A64" s="1647" t="s">
        <v>1890</v>
      </c>
      <c r="B64" s="782" t="s">
        <v>679</v>
      </c>
      <c r="C64" s="53">
        <f ca="1">ROUND(C55*F64,1)</f>
        <v>10.3</v>
      </c>
      <c r="D64" s="3182" t="s">
        <v>680</v>
      </c>
      <c r="E64" s="782" t="s">
        <v>1747</v>
      </c>
      <c r="F64" s="816">
        <f t="shared" ca="1" si="0"/>
        <v>1.5E-3</v>
      </c>
      <c r="I64" s="2407" t="s">
        <v>2372</v>
      </c>
      <c r="J64" s="2408">
        <v>50</v>
      </c>
      <c r="K64" s="2408">
        <v>35</v>
      </c>
      <c r="L64" s="2408">
        <v>60</v>
      </c>
      <c r="M64" s="3128">
        <v>0</v>
      </c>
      <c r="O64" s="2426" t="s">
        <v>2416</v>
      </c>
      <c r="P64" s="1590"/>
      <c r="Q64" s="1602"/>
      <c r="R64" s="1590"/>
    </row>
    <row r="65" spans="1:18" s="2057" customFormat="1" ht="15.75" thickBot="1">
      <c r="A65" s="1647" t="s">
        <v>1891</v>
      </c>
      <c r="B65" s="782" t="s">
        <v>666</v>
      </c>
      <c r="C65" s="53">
        <f ca="1">ROUND(C47*F65,1)</f>
        <v>0</v>
      </c>
      <c r="D65" s="3182" t="s">
        <v>683</v>
      </c>
      <c r="E65" s="782" t="s">
        <v>1747</v>
      </c>
      <c r="F65" s="792">
        <f t="shared" ca="1" si="0"/>
        <v>0.01</v>
      </c>
      <c r="I65" s="2407" t="s">
        <v>2373</v>
      </c>
      <c r="J65" s="2408">
        <v>40</v>
      </c>
      <c r="K65" s="2408">
        <v>30</v>
      </c>
      <c r="L65" s="2408">
        <v>50</v>
      </c>
      <c r="M65" s="3127">
        <v>0.02</v>
      </c>
      <c r="O65" s="2417" t="s">
        <v>2376</v>
      </c>
      <c r="P65" s="2418" t="s">
        <v>2377</v>
      </c>
      <c r="Q65" s="2419" t="s">
        <v>2378</v>
      </c>
      <c r="R65" s="2418" t="s">
        <v>2379</v>
      </c>
    </row>
    <row r="66" spans="1:18" s="2057" customFormat="1" ht="24.75" thickBot="1">
      <c r="A66" s="795" t="s">
        <v>1776</v>
      </c>
      <c r="B66" s="3033" t="s">
        <v>2823</v>
      </c>
      <c r="C66" s="797">
        <f ca="1">C47-C57</f>
        <v>-123</v>
      </c>
      <c r="D66" s="3181" t="s">
        <v>700</v>
      </c>
      <c r="E66" s="3179"/>
      <c r="F66" s="818"/>
      <c r="K66" s="2084"/>
      <c r="O66" s="2420" t="s">
        <v>2380</v>
      </c>
      <c r="P66" s="2421" t="s">
        <v>2406</v>
      </c>
      <c r="Q66" s="2422">
        <f ca="1">C40+J29</f>
        <v>6819</v>
      </c>
      <c r="R66" s="2421" t="s">
        <v>2381</v>
      </c>
    </row>
    <row r="67" spans="1:18" s="2057" customFormat="1" ht="20.25" thickBot="1">
      <c r="A67" s="779" t="s">
        <v>1780</v>
      </c>
      <c r="B67" s="2230" t="s">
        <v>2301</v>
      </c>
      <c r="C67" s="781">
        <f ca="1">ROUND(C66*(1-((1+F69)/(1+F67))^F68)/(F67-F69),0)</f>
        <v>-2390</v>
      </c>
      <c r="D67" s="812" t="s">
        <v>704</v>
      </c>
      <c r="E67" s="782" t="s">
        <v>705</v>
      </c>
      <c r="F67" s="792">
        <f ca="1">F40</f>
        <v>4.4999999999999998E-2</v>
      </c>
      <c r="K67" s="2084"/>
      <c r="O67" s="2420" t="s">
        <v>2382</v>
      </c>
      <c r="P67" s="2421" t="s">
        <v>2413</v>
      </c>
      <c r="Q67" s="2422">
        <f ca="1">L60</f>
        <v>0</v>
      </c>
      <c r="R67" s="2425" t="s">
        <v>2415</v>
      </c>
    </row>
    <row r="68" spans="1:18" ht="21.75" thickBot="1">
      <c r="A68" s="784"/>
      <c r="B68" s="785"/>
      <c r="C68" s="786"/>
      <c r="D68" s="819" t="s">
        <v>1808</v>
      </c>
      <c r="E68" s="782" t="s">
        <v>708</v>
      </c>
      <c r="F68" s="820">
        <f ca="1">F41</f>
        <v>47.13</v>
      </c>
      <c r="O68" s="2423" t="s">
        <v>2384</v>
      </c>
      <c r="P68" s="2421" t="s">
        <v>2414</v>
      </c>
      <c r="Q68" s="2427">
        <f ca="1">L51</f>
        <v>-8038</v>
      </c>
      <c r="R68" s="2428" t="s">
        <v>2417</v>
      </c>
    </row>
    <row r="69" spans="1:18" ht="20.25" thickBot="1">
      <c r="A69" s="788"/>
      <c r="B69" s="789"/>
      <c r="C69" s="790"/>
      <c r="D69" s="814"/>
      <c r="E69" s="782" t="s">
        <v>710</v>
      </c>
      <c r="F69" s="2369"/>
      <c r="O69" s="2423" t="s">
        <v>2385</v>
      </c>
      <c r="P69" s="2429" t="s">
        <v>2399</v>
      </c>
      <c r="Q69" s="2422">
        <f ca="1">ROUND(Q70-Q71*Q72,0)</f>
        <v>-375</v>
      </c>
      <c r="R69" s="2425"/>
    </row>
    <row r="70" spans="1:18" ht="15.75" thickBot="1">
      <c r="A70" s="821" t="s">
        <v>1787</v>
      </c>
      <c r="B70" s="822" t="s">
        <v>1810</v>
      </c>
      <c r="C70" s="823">
        <f ca="1">ROUND(C67*10000/F70,0)</f>
        <v>-949</v>
      </c>
      <c r="D70" s="824" t="s">
        <v>1811</v>
      </c>
      <c r="E70" s="825" t="s">
        <v>1812</v>
      </c>
      <c r="F70" s="826">
        <f ca="1">F43</f>
        <v>25176</v>
      </c>
      <c r="O70" s="2423" t="s">
        <v>2400</v>
      </c>
      <c r="P70" s="2429" t="s">
        <v>2401</v>
      </c>
      <c r="Q70" s="2422">
        <f ca="1">C39</f>
        <v>207</v>
      </c>
      <c r="R70" s="2421" t="s">
        <v>2381</v>
      </c>
    </row>
    <row r="71" spans="1:18" ht="15.75" thickBot="1">
      <c r="O71" s="2423" t="s">
        <v>2402</v>
      </c>
      <c r="P71" s="2429" t="s">
        <v>2403</v>
      </c>
      <c r="Q71" s="2422">
        <f ca="1">C13</f>
        <v>6848</v>
      </c>
      <c r="R71" s="2421" t="s">
        <v>2381</v>
      </c>
    </row>
    <row r="72" spans="1:18" ht="15.75" thickBot="1">
      <c r="O72" s="2423" t="s">
        <v>2404</v>
      </c>
      <c r="P72" s="2429" t="s">
        <v>2405</v>
      </c>
      <c r="Q72" s="2424">
        <f ca="1">J36</f>
        <v>8.5000000000000006E-2</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6819</v>
      </c>
      <c r="R76" s="2425"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756</v>
      </c>
      <c r="C1" s="502" t="s">
        <v>720</v>
      </c>
      <c r="D1" s="2368"/>
      <c r="E1" s="504"/>
      <c r="F1" s="2829"/>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6"/>
    </row>
    <row r="4" spans="1:29" ht="15">
      <c r="A4" s="510" t="s">
        <v>521</v>
      </c>
      <c r="B4" s="511"/>
      <c r="C4" s="3398" t="s">
        <v>522</v>
      </c>
      <c r="D4" s="3399"/>
      <c r="E4" s="3423" t="s">
        <v>523</v>
      </c>
      <c r="F4" s="3424"/>
      <c r="G4" s="3398" t="s">
        <v>524</v>
      </c>
      <c r="H4" s="3399"/>
      <c r="I4" s="3398" t="s">
        <v>525</v>
      </c>
      <c r="J4" s="3399"/>
      <c r="K4" s="512"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406" t="s">
        <v>524</v>
      </c>
      <c r="AC4" s="3381" t="s">
        <v>525</v>
      </c>
    </row>
    <row r="5" spans="1:29" ht="15">
      <c r="A5" s="513"/>
      <c r="B5" s="514"/>
      <c r="C5" s="3427" t="s">
        <v>2929</v>
      </c>
      <c r="D5" s="3410"/>
      <c r="E5" s="3425" t="s">
        <v>2930</v>
      </c>
      <c r="F5" s="3426"/>
      <c r="G5" s="3427" t="s">
        <v>2931</v>
      </c>
      <c r="H5" s="3410"/>
      <c r="I5" s="3427" t="s">
        <v>2932</v>
      </c>
      <c r="J5" s="3410"/>
      <c r="K5" s="512"/>
      <c r="L5" s="2131"/>
      <c r="M5" s="2132"/>
      <c r="N5" s="2132"/>
      <c r="O5" s="2132"/>
      <c r="P5" s="3402"/>
      <c r="Q5" s="3403"/>
      <c r="R5" s="3388"/>
      <c r="S5" s="3389"/>
      <c r="T5" s="3388"/>
      <c r="U5" s="3389"/>
      <c r="V5" s="3406"/>
      <c r="W5" s="3406"/>
      <c r="X5" s="1565"/>
      <c r="Y5" s="3388"/>
      <c r="Z5" s="3389"/>
      <c r="AA5" s="3382"/>
      <c r="AB5" s="3406"/>
      <c r="AC5" s="3382"/>
    </row>
    <row r="6" spans="1:29" ht="15.75" thickBot="1">
      <c r="A6" s="515"/>
      <c r="B6" s="516"/>
      <c r="C6" s="3407" t="s">
        <v>2933</v>
      </c>
      <c r="D6" s="3408"/>
      <c r="E6" s="3428" t="s">
        <v>2933</v>
      </c>
      <c r="F6" s="3429"/>
      <c r="G6" s="3407" t="s">
        <v>2933</v>
      </c>
      <c r="H6" s="3408"/>
      <c r="I6" s="3407" t="s">
        <v>2933</v>
      </c>
      <c r="J6" s="3408"/>
      <c r="K6" s="512" t="s">
        <v>528</v>
      </c>
      <c r="L6" s="2131"/>
      <c r="M6" s="2132"/>
      <c r="N6" s="2132"/>
      <c r="O6" s="2132"/>
      <c r="P6" s="3404"/>
      <c r="Q6" s="3405"/>
      <c r="R6" s="3388"/>
      <c r="S6" s="3389"/>
      <c r="T6" s="3390"/>
      <c r="U6" s="3391"/>
      <c r="V6" s="3406"/>
      <c r="W6" s="3406"/>
      <c r="X6" s="1565"/>
      <c r="Y6" s="3390"/>
      <c r="Z6" s="3391"/>
      <c r="AA6" s="3383"/>
      <c r="AB6" s="3406"/>
      <c r="AC6" s="3383"/>
    </row>
    <row r="7" spans="1:29" s="1217" customFormat="1" ht="15.75" thickBot="1">
      <c r="A7" s="2934"/>
      <c r="B7" s="2941" t="s">
        <v>529</v>
      </c>
      <c r="C7" s="517">
        <f>'数据-取费表'!B2</f>
        <v>43239</v>
      </c>
      <c r="D7" s="518">
        <v>100</v>
      </c>
      <c r="E7" s="519"/>
      <c r="F7" s="520">
        <f>SUMIF(58:58,YEAR(E7)&amp;"-"&amp;MONTH(E7),59:59)</f>
        <v>0</v>
      </c>
      <c r="G7" s="519"/>
      <c r="H7" s="518">
        <f>SUMIF(58:58,YEAR(G7)&amp;"-"&amp;MONTH(G7),59:59)</f>
        <v>0</v>
      </c>
      <c r="I7" s="519"/>
      <c r="J7" s="518">
        <f>SUMIF(58:58,YEAR(I7)&amp;"-"&amp;MONTH(I7),59:59)</f>
        <v>0</v>
      </c>
      <c r="K7" s="522"/>
      <c r="L7" s="2133"/>
      <c r="M7" s="2134"/>
      <c r="N7" s="2134"/>
      <c r="O7" s="2134"/>
      <c r="P7" s="3384" t="s">
        <v>530</v>
      </c>
      <c r="Q7" s="3393"/>
      <c r="R7" s="1566" t="s">
        <v>8</v>
      </c>
      <c r="S7" s="1567">
        <f t="shared" ref="S7:S15" si="0">F7</f>
        <v>0</v>
      </c>
      <c r="T7" s="1566" t="s">
        <v>8</v>
      </c>
      <c r="U7" s="1567">
        <f t="shared" ref="U7:U15" si="1">H7</f>
        <v>0</v>
      </c>
      <c r="V7" s="1566" t="s">
        <v>8</v>
      </c>
      <c r="W7" s="1567">
        <f t="shared" ref="W7:W15" si="2">J7</f>
        <v>0</v>
      </c>
      <c r="X7" s="1568"/>
      <c r="Y7" s="3384" t="s">
        <v>530</v>
      </c>
      <c r="Z7" s="3385"/>
      <c r="AA7" s="1569" t="e">
        <f>D7/F7</f>
        <v>#DIV/0!</v>
      </c>
      <c r="AB7" s="1569" t="e">
        <f>D7/H7</f>
        <v>#DIV/0!</v>
      </c>
      <c r="AC7" s="1569" t="e">
        <f>D7/J7</f>
        <v>#DIV/0!</v>
      </c>
    </row>
    <row r="8" spans="1:29" s="1217"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46" si="3">D8/F8</f>
        <v>#DIV/0!</v>
      </c>
      <c r="AB8" s="1569" t="e">
        <f t="shared" ref="AB8:AB46" si="4">D8/H8</f>
        <v>#DIV/0!</v>
      </c>
      <c r="AC8" s="1569" t="e">
        <f t="shared" ref="AC8:AC46" si="5">D8/J8</f>
        <v>#DIV/0!</v>
      </c>
    </row>
    <row r="9" spans="1:29" s="1217" customFormat="1" ht="15">
      <c r="A9" s="2936"/>
      <c r="B9" s="2943" t="s">
        <v>2757</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92" t="s">
        <v>535</v>
      </c>
      <c r="Q9" s="1148" t="str">
        <f t="shared" ref="Q9:Q15" si="6">B9</f>
        <v>用途</v>
      </c>
      <c r="R9" s="1566" t="s">
        <v>8</v>
      </c>
      <c r="S9" s="1567">
        <f t="shared" si="0"/>
        <v>100</v>
      </c>
      <c r="T9" s="1566" t="s">
        <v>8</v>
      </c>
      <c r="U9" s="1567">
        <f t="shared" si="1"/>
        <v>100</v>
      </c>
      <c r="V9" s="1566" t="s">
        <v>8</v>
      </c>
      <c r="W9" s="1567">
        <f t="shared" si="2"/>
        <v>100</v>
      </c>
      <c r="X9" s="1568"/>
      <c r="Y9" s="3349" t="s">
        <v>536</v>
      </c>
      <c r="Z9" s="1147" t="str">
        <f t="shared" ref="Z9:Z15" si="7">Q9</f>
        <v>用途</v>
      </c>
      <c r="AA9" s="1569">
        <f t="shared" si="3"/>
        <v>1</v>
      </c>
      <c r="AB9" s="1569">
        <f t="shared" si="4"/>
        <v>1</v>
      </c>
      <c r="AC9" s="1569">
        <f t="shared" si="5"/>
        <v>1</v>
      </c>
    </row>
    <row r="10" spans="1:29" s="1335" customFormat="1" ht="27">
      <c r="A10" s="2937"/>
      <c r="B10" s="2942" t="s">
        <v>2758</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9"/>
      <c r="Z10" s="1147" t="str">
        <f t="shared" si="7"/>
        <v>土地使用年限（年）</v>
      </c>
      <c r="AA10" s="1569">
        <f t="shared" si="3"/>
        <v>1</v>
      </c>
      <c r="AB10" s="1569">
        <f t="shared" si="4"/>
        <v>1</v>
      </c>
      <c r="AC10" s="1569">
        <f t="shared" si="5"/>
        <v>1</v>
      </c>
    </row>
    <row r="11" spans="1:29" ht="15">
      <c r="A11" s="2938"/>
      <c r="B11" s="2942"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92"/>
      <c r="Q11" s="1148" t="str">
        <f t="shared" si="6"/>
        <v>容积率</v>
      </c>
      <c r="R11" s="1566" t="s">
        <v>8</v>
      </c>
      <c r="S11" s="1567" t="e">
        <f t="shared" si="0"/>
        <v>#N/A</v>
      </c>
      <c r="T11" s="1566" t="s">
        <v>8</v>
      </c>
      <c r="U11" s="1567" t="e">
        <f t="shared" si="1"/>
        <v>#N/A</v>
      </c>
      <c r="V11" s="1566" t="s">
        <v>8</v>
      </c>
      <c r="W11" s="1567" t="e">
        <f t="shared" si="2"/>
        <v>#N/A</v>
      </c>
      <c r="X11" s="1568"/>
      <c r="Y11" s="3349"/>
      <c r="Z11" s="1147" t="str">
        <f t="shared" si="7"/>
        <v>容积率</v>
      </c>
      <c r="AA11" s="1569" t="e">
        <f t="shared" si="3"/>
        <v>#N/A</v>
      </c>
      <c r="AB11" s="1569" t="e">
        <f t="shared" si="4"/>
        <v>#N/A</v>
      </c>
      <c r="AC11" s="1569" t="e">
        <f t="shared" si="5"/>
        <v>#N/A</v>
      </c>
    </row>
    <row r="12" spans="1:29" s="1217" customFormat="1" ht="15">
      <c r="A12" s="2939"/>
      <c r="B12" s="2945">
        <v>111</v>
      </c>
      <c r="C12" s="526"/>
      <c r="D12" s="536">
        <v>100</v>
      </c>
      <c r="E12" s="537"/>
      <c r="F12" s="253">
        <f>SUMIF(70:70,E12,71:71)-SUMIF(70:70,C12,71:71)+100</f>
        <v>100</v>
      </c>
      <c r="G12" s="909"/>
      <c r="H12" s="253">
        <f>SUMIF(70:70,G12,71:71)-SUMIF(70:70,C12,71:71)+100</f>
        <v>100</v>
      </c>
      <c r="I12" s="537"/>
      <c r="J12" s="253">
        <f>SUMIF(70:70,I12,71:71)-SUMIF(70:70,C12,71:71)+100</f>
        <v>100</v>
      </c>
      <c r="K12" s="579"/>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9"/>
      <c r="Z12" s="1147">
        <f t="shared" si="7"/>
        <v>111</v>
      </c>
      <c r="AA12" s="1569">
        <f>D12/F12</f>
        <v>1</v>
      </c>
      <c r="AB12" s="1569">
        <f>D12/H12</f>
        <v>1</v>
      </c>
      <c r="AC12" s="1569">
        <f>D12/J12</f>
        <v>1</v>
      </c>
    </row>
    <row r="13" spans="1:29" ht="15">
      <c r="A13" s="2939"/>
      <c r="B13" s="2945">
        <v>111</v>
      </c>
      <c r="C13" s="537"/>
      <c r="D13" s="538">
        <v>100</v>
      </c>
      <c r="E13" s="537"/>
      <c r="F13" s="253">
        <f>SUMIF(72:72,E13,73:73)-SUMIF(72:72,C13,73:73)+100</f>
        <v>100</v>
      </c>
      <c r="G13" s="909"/>
      <c r="H13" s="538">
        <f>SUMIF(72:72,G13,73:73)-SUMIF(72:72,C13,73:73)+100</f>
        <v>100</v>
      </c>
      <c r="I13" s="537"/>
      <c r="J13" s="538">
        <f>SUMIF(72:72,I13,73:73)-SUMIF(72:72,C13,73:73)+100</f>
        <v>100</v>
      </c>
      <c r="K13" s="579"/>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9"/>
      <c r="Z13" s="1147">
        <f t="shared" si="7"/>
        <v>111</v>
      </c>
      <c r="AA13" s="1569">
        <f t="shared" si="3"/>
        <v>1</v>
      </c>
      <c r="AB13" s="1569">
        <f t="shared" si="4"/>
        <v>1</v>
      </c>
      <c r="AC13" s="1569">
        <f t="shared" si="5"/>
        <v>1</v>
      </c>
    </row>
    <row r="14" spans="1:29" ht="15.75" thickBot="1">
      <c r="A14" s="2940"/>
      <c r="B14" s="2946">
        <v>111</v>
      </c>
      <c r="C14" s="543"/>
      <c r="D14" s="544">
        <v>100</v>
      </c>
      <c r="E14" s="543"/>
      <c r="F14" s="544">
        <f>SUMIF(74:74,E14,75:75)-SUMIF(74:74,C14,75:75)+100</f>
        <v>100</v>
      </c>
      <c r="G14" s="909"/>
      <c r="H14" s="544">
        <f>SUMIF(74:74,G14,75:75)-SUMIF(74:74,C14,75:75)+100</f>
        <v>100</v>
      </c>
      <c r="I14" s="537"/>
      <c r="J14" s="544">
        <f>SUMIF(74:74,I14,75:75)-SUMIF(74:74,C14,75:75)+100</f>
        <v>100</v>
      </c>
      <c r="K14" s="579"/>
      <c r="L14" s="2140"/>
      <c r="M14" s="2132"/>
      <c r="N14" s="2132"/>
      <c r="O14" s="2139"/>
      <c r="P14" s="3392"/>
      <c r="Q14" s="1148">
        <f t="shared" si="6"/>
        <v>111</v>
      </c>
      <c r="R14" s="1566" t="s">
        <v>8</v>
      </c>
      <c r="S14" s="1567">
        <f t="shared" si="0"/>
        <v>100</v>
      </c>
      <c r="T14" s="1566" t="s">
        <v>8</v>
      </c>
      <c r="U14" s="1567">
        <f t="shared" si="1"/>
        <v>100</v>
      </c>
      <c r="V14" s="1566" t="s">
        <v>8</v>
      </c>
      <c r="W14" s="1567">
        <f t="shared" si="2"/>
        <v>100</v>
      </c>
      <c r="X14" s="1568"/>
      <c r="Y14" s="3349"/>
      <c r="Z14" s="1147">
        <f t="shared" si="7"/>
        <v>111</v>
      </c>
      <c r="AA14" s="1569">
        <f t="shared" si="3"/>
        <v>1</v>
      </c>
      <c r="AB14" s="1569">
        <f t="shared" si="4"/>
        <v>1</v>
      </c>
      <c r="AC14" s="1569">
        <f t="shared" si="5"/>
        <v>1</v>
      </c>
    </row>
    <row r="15" spans="1:29" ht="71.25">
      <c r="A15" s="2932" t="s">
        <v>2755</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40"/>
      <c r="M15" s="2132"/>
      <c r="N15" s="2132"/>
      <c r="O15" s="2139"/>
      <c r="P15" s="3394" t="s">
        <v>540</v>
      </c>
      <c r="Q15" s="1570" t="str">
        <f t="shared" si="6"/>
        <v>商业繁华度</v>
      </c>
      <c r="R15" s="1571" t="s">
        <v>8</v>
      </c>
      <c r="S15" s="1572">
        <f t="shared" si="0"/>
        <v>100</v>
      </c>
      <c r="T15" s="1571" t="s">
        <v>8</v>
      </c>
      <c r="U15" s="1572">
        <f t="shared" si="1"/>
        <v>100</v>
      </c>
      <c r="V15" s="1571" t="s">
        <v>8</v>
      </c>
      <c r="W15" s="1572">
        <f t="shared" si="2"/>
        <v>100</v>
      </c>
      <c r="X15" s="1565"/>
      <c r="Y15" s="3394"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6"/>
      <c r="L16" s="2140"/>
      <c r="M16" s="2132"/>
      <c r="N16" s="2132"/>
      <c r="O16" s="2139"/>
      <c r="P16" s="3395"/>
      <c r="Q16" s="1570"/>
      <c r="R16" s="1571"/>
      <c r="S16" s="1572"/>
      <c r="T16" s="1571"/>
      <c r="U16" s="1572"/>
      <c r="V16" s="1571"/>
      <c r="W16" s="1572"/>
      <c r="X16" s="1565"/>
      <c r="Y16" s="3395"/>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40"/>
      <c r="M17" s="2132"/>
      <c r="N17" s="2132"/>
      <c r="O17" s="2139"/>
      <c r="P17" s="3395"/>
      <c r="Q17" s="1570" t="str">
        <f>B17</f>
        <v>交通便捷度</v>
      </c>
      <c r="R17" s="1571" t="s">
        <v>8</v>
      </c>
      <c r="S17" s="1572">
        <f>F17</f>
        <v>100</v>
      </c>
      <c r="T17" s="1571" t="s">
        <v>8</v>
      </c>
      <c r="U17" s="1572">
        <f>H17</f>
        <v>100</v>
      </c>
      <c r="V17" s="1571" t="s">
        <v>8</v>
      </c>
      <c r="W17" s="1572">
        <f>J17</f>
        <v>100</v>
      </c>
      <c r="X17" s="1565"/>
      <c r="Y17" s="3395"/>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6"/>
      <c r="L18" s="2140"/>
      <c r="M18" s="2132"/>
      <c r="N18" s="2132"/>
      <c r="O18" s="2139"/>
      <c r="P18" s="3395"/>
      <c r="Q18" s="1570"/>
      <c r="R18" s="1571"/>
      <c r="S18" s="1572"/>
      <c r="T18" s="1571"/>
      <c r="U18" s="1572"/>
      <c r="V18" s="1571"/>
      <c r="W18" s="1572"/>
      <c r="X18" s="1565"/>
      <c r="Y18" s="3395"/>
      <c r="Z18" s="1573"/>
      <c r="AA18" s="1574">
        <v>1</v>
      </c>
      <c r="AB18" s="1574">
        <v>1</v>
      </c>
      <c r="AC18" s="1574">
        <v>1</v>
      </c>
    </row>
    <row r="19" spans="1:29" ht="42.75">
      <c r="A19" s="530"/>
      <c r="B19" s="262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40"/>
      <c r="M19" s="2132"/>
      <c r="N19" s="2132"/>
      <c r="O19" s="2139"/>
      <c r="P19" s="3395"/>
      <c r="Q19" s="1570" t="str">
        <f>B19</f>
        <v>公共配套设施</v>
      </c>
      <c r="R19" s="1571" t="s">
        <v>8</v>
      </c>
      <c r="S19" s="1572">
        <f>F19</f>
        <v>100</v>
      </c>
      <c r="T19" s="1571" t="s">
        <v>8</v>
      </c>
      <c r="U19" s="1572">
        <f>H19</f>
        <v>100</v>
      </c>
      <c r="V19" s="1571" t="s">
        <v>8</v>
      </c>
      <c r="W19" s="1572">
        <f>J19</f>
        <v>100</v>
      </c>
      <c r="X19" s="1565"/>
      <c r="Y19" s="3395"/>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6"/>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8.5">
      <c r="A21" s="530"/>
      <c r="B21" s="2615"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40"/>
      <c r="M21" s="2132"/>
      <c r="N21" s="2132"/>
      <c r="O21" s="2139"/>
      <c r="P21" s="3395"/>
      <c r="Q21" s="2601" t="str">
        <f>B21</f>
        <v>基础设施水平</v>
      </c>
      <c r="R21" s="1571" t="s">
        <v>8</v>
      </c>
      <c r="S21" s="1572">
        <f>F21</f>
        <v>100</v>
      </c>
      <c r="T21" s="1571" t="s">
        <v>8</v>
      </c>
      <c r="U21" s="1572">
        <f>H21</f>
        <v>100</v>
      </c>
      <c r="V21" s="1571" t="s">
        <v>8</v>
      </c>
      <c r="W21" s="1572">
        <f>J21</f>
        <v>100</v>
      </c>
      <c r="X21" s="2603"/>
      <c r="Y21" s="3395"/>
      <c r="Z21" s="2602" t="str">
        <f>Q21</f>
        <v>基础设施水平</v>
      </c>
      <c r="AA21" s="1574">
        <f t="shared" ref="AA21" si="8">D21/F21</f>
        <v>1</v>
      </c>
      <c r="AB21" s="1574">
        <f t="shared" ref="AB21" si="9">D21/H21</f>
        <v>1</v>
      </c>
      <c r="AC21" s="1574">
        <f t="shared" ref="AC21" si="10">D21/J21</f>
        <v>1</v>
      </c>
    </row>
    <row r="22" spans="1:29" ht="15">
      <c r="A22" s="530"/>
      <c r="B22" s="919"/>
      <c r="C22" s="871"/>
      <c r="D22" s="553"/>
      <c r="E22" s="574"/>
      <c r="F22" s="555"/>
      <c r="G22" s="574"/>
      <c r="H22" s="553"/>
      <c r="I22" s="574"/>
      <c r="J22" s="553"/>
      <c r="K22" s="2624"/>
      <c r="L22" s="2140"/>
      <c r="M22" s="2132"/>
      <c r="N22" s="2132"/>
      <c r="O22" s="2139"/>
      <c r="P22" s="3395"/>
      <c r="Q22" s="2601"/>
      <c r="R22" s="1571"/>
      <c r="S22" s="1572"/>
      <c r="T22" s="1571"/>
      <c r="U22" s="1572"/>
      <c r="V22" s="1571"/>
      <c r="W22" s="1572"/>
      <c r="X22" s="2603"/>
      <c r="Y22" s="3395"/>
      <c r="Z22" s="2602"/>
      <c r="AA22" s="1574">
        <v>1</v>
      </c>
      <c r="AB22" s="1574">
        <v>1</v>
      </c>
      <c r="AC22" s="1574">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40"/>
      <c r="M23" s="2132"/>
      <c r="N23" s="2132"/>
      <c r="O23" s="2139"/>
      <c r="P23" s="3395"/>
      <c r="Q23" s="1570" t="str">
        <f>B23</f>
        <v>自然及人文环境</v>
      </c>
      <c r="R23" s="1571" t="s">
        <v>8</v>
      </c>
      <c r="S23" s="1572">
        <f>F23</f>
        <v>100</v>
      </c>
      <c r="T23" s="1571" t="s">
        <v>8</v>
      </c>
      <c r="U23" s="1572">
        <f>H23</f>
        <v>100</v>
      </c>
      <c r="V23" s="1571" t="s">
        <v>8</v>
      </c>
      <c r="W23" s="1572">
        <f>J23</f>
        <v>100</v>
      </c>
      <c r="X23" s="1565"/>
      <c r="Y23" s="3395"/>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6"/>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395"/>
      <c r="Q25" s="1570" t="str">
        <f t="shared" ref="Q25:Q46" si="11">B25</f>
        <v>临街状况</v>
      </c>
      <c r="R25" s="1571" t="s">
        <v>8</v>
      </c>
      <c r="S25" s="1572">
        <f>F25</f>
        <v>100</v>
      </c>
      <c r="T25" s="1571" t="s">
        <v>8</v>
      </c>
      <c r="U25" s="1572">
        <f>H25</f>
        <v>100</v>
      </c>
      <c r="V25" s="1571" t="s">
        <v>8</v>
      </c>
      <c r="W25" s="1572">
        <f>J25</f>
        <v>100</v>
      </c>
      <c r="X25" s="1565"/>
      <c r="Y25" s="3395"/>
      <c r="Z25" s="1573" t="str">
        <f>Q25</f>
        <v>临街状况</v>
      </c>
      <c r="AA25" s="1574">
        <f t="shared" si="3"/>
        <v>1</v>
      </c>
      <c r="AB25" s="1574">
        <f t="shared" si="4"/>
        <v>1</v>
      </c>
      <c r="AC25" s="1574">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395"/>
      <c r="Q26" s="1570" t="str">
        <f t="shared" si="11"/>
        <v>平面位置/可视性</v>
      </c>
      <c r="R26" s="1571" t="s">
        <v>8</v>
      </c>
      <c r="S26" s="1572">
        <f>F26</f>
        <v>100</v>
      </c>
      <c r="T26" s="1571" t="s">
        <v>8</v>
      </c>
      <c r="U26" s="1572">
        <f>H26</f>
        <v>100</v>
      </c>
      <c r="V26" s="1571" t="s">
        <v>8</v>
      </c>
      <c r="W26" s="1572">
        <f>J26</f>
        <v>100</v>
      </c>
      <c r="X26" s="1565"/>
      <c r="Y26" s="3395"/>
      <c r="Z26" s="1573" t="str">
        <f>Q26</f>
        <v>平面位置/可视性</v>
      </c>
      <c r="AA26" s="1574">
        <f t="shared" si="3"/>
        <v>1</v>
      </c>
      <c r="AB26" s="1574">
        <f t="shared" si="4"/>
        <v>1</v>
      </c>
      <c r="AC26" s="1574">
        <f t="shared" si="5"/>
        <v>1</v>
      </c>
    </row>
    <row r="27" spans="1:29" s="1217" customFormat="1" ht="15">
      <c r="A27" s="534"/>
      <c r="B27" s="869" t="s">
        <v>758</v>
      </c>
      <c r="C27" s="898"/>
      <c r="D27" s="873">
        <v>100</v>
      </c>
      <c r="E27" s="898"/>
      <c r="F27" s="874">
        <f>SUMIF(90:90,E27,91:91)-SUMIF(90:90,C27,91:91)+100</f>
        <v>100</v>
      </c>
      <c r="G27" s="898"/>
      <c r="H27" s="873">
        <f>SUMIF(90:90,G27,91:91)-SUMIF(90:90,C27,91:91)+100</f>
        <v>100</v>
      </c>
      <c r="I27" s="898"/>
      <c r="J27" s="873">
        <f>SUMIF(90:90,I27,91:91)-SUMIF(90:90,C27,91:91)+100</f>
        <v>100</v>
      </c>
      <c r="K27" s="582"/>
      <c r="L27" s="2133"/>
      <c r="M27" s="2134"/>
      <c r="N27" s="2134"/>
      <c r="O27" s="2135"/>
      <c r="P27" s="3395"/>
      <c r="Q27" s="1148" t="str">
        <f t="shared" si="11"/>
        <v>人流量</v>
      </c>
      <c r="R27" s="1566" t="s">
        <v>8</v>
      </c>
      <c r="S27" s="1567">
        <f>F27</f>
        <v>100</v>
      </c>
      <c r="T27" s="1566" t="s">
        <v>8</v>
      </c>
      <c r="U27" s="1567">
        <f>H27</f>
        <v>100</v>
      </c>
      <c r="V27" s="1566" t="s">
        <v>8</v>
      </c>
      <c r="W27" s="1567">
        <f>J27</f>
        <v>100</v>
      </c>
      <c r="X27" s="1568"/>
      <c r="Y27" s="3395"/>
      <c r="Z27" s="1147" t="str">
        <f>Q27</f>
        <v>人流量</v>
      </c>
      <c r="AA27" s="1574">
        <f>D27/F27</f>
        <v>1</v>
      </c>
      <c r="AB27" s="1574">
        <f>D27/H27</f>
        <v>1</v>
      </c>
      <c r="AC27" s="1574">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395"/>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5"/>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395"/>
      <c r="Q29" s="1570">
        <f t="shared" si="11"/>
        <v>111</v>
      </c>
      <c r="R29" s="1571" t="s">
        <v>8</v>
      </c>
      <c r="S29" s="1572">
        <f t="shared" si="12"/>
        <v>100</v>
      </c>
      <c r="T29" s="1571" t="s">
        <v>8</v>
      </c>
      <c r="U29" s="1572">
        <f t="shared" si="13"/>
        <v>100</v>
      </c>
      <c r="V29" s="1571" t="s">
        <v>8</v>
      </c>
      <c r="W29" s="1572">
        <f t="shared" si="14"/>
        <v>100</v>
      </c>
      <c r="X29" s="1565"/>
      <c r="Y29" s="3395"/>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395"/>
      <c r="Q30" s="1570">
        <f t="shared" si="11"/>
        <v>111</v>
      </c>
      <c r="R30" s="1571" t="s">
        <v>8</v>
      </c>
      <c r="S30" s="1572">
        <f t="shared" si="12"/>
        <v>100</v>
      </c>
      <c r="T30" s="1571" t="s">
        <v>8</v>
      </c>
      <c r="U30" s="1572">
        <f t="shared" si="13"/>
        <v>100</v>
      </c>
      <c r="V30" s="1571" t="s">
        <v>8</v>
      </c>
      <c r="W30" s="1572">
        <f t="shared" si="14"/>
        <v>100</v>
      </c>
      <c r="X30" s="1565"/>
      <c r="Y30" s="3395"/>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395"/>
      <c r="Q31" s="1570">
        <f t="shared" si="11"/>
        <v>111</v>
      </c>
      <c r="R31" s="1571" t="s">
        <v>8</v>
      </c>
      <c r="S31" s="1572">
        <f t="shared" si="12"/>
        <v>100</v>
      </c>
      <c r="T31" s="1571" t="s">
        <v>8</v>
      </c>
      <c r="U31" s="1572">
        <f t="shared" si="13"/>
        <v>100</v>
      </c>
      <c r="V31" s="1571" t="s">
        <v>8</v>
      </c>
      <c r="W31" s="1572">
        <f t="shared" si="14"/>
        <v>100</v>
      </c>
      <c r="X31" s="1565"/>
      <c r="Y31" s="3395"/>
      <c r="Z31" s="1573">
        <f t="shared" si="15"/>
        <v>111</v>
      </c>
      <c r="AA31" s="1574">
        <f t="shared" si="3"/>
        <v>1</v>
      </c>
      <c r="AB31" s="1574">
        <f t="shared" si="4"/>
        <v>1</v>
      </c>
      <c r="AC31" s="1574">
        <f t="shared" si="5"/>
        <v>1</v>
      </c>
    </row>
    <row r="32" spans="1:29" ht="15">
      <c r="A32" s="2929" t="s">
        <v>2756</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396" t="s">
        <v>550</v>
      </c>
      <c r="Q32" s="1570" t="str">
        <f t="shared" si="11"/>
        <v>商业类型</v>
      </c>
      <c r="R32" s="1571" t="s">
        <v>8</v>
      </c>
      <c r="S32" s="1572">
        <f t="shared" si="12"/>
        <v>100</v>
      </c>
      <c r="T32" s="1571" t="s">
        <v>8</v>
      </c>
      <c r="U32" s="1572">
        <f t="shared" si="13"/>
        <v>100</v>
      </c>
      <c r="V32" s="1571" t="s">
        <v>8</v>
      </c>
      <c r="W32" s="1572">
        <f t="shared" si="14"/>
        <v>100</v>
      </c>
      <c r="X32" s="1565"/>
      <c r="Y32" s="3397" t="s">
        <v>550</v>
      </c>
      <c r="Z32" s="1573" t="str">
        <f t="shared" si="15"/>
        <v>商业类型</v>
      </c>
      <c r="AA32" s="1574">
        <f t="shared" si="3"/>
        <v>1</v>
      </c>
      <c r="AB32" s="1574">
        <f t="shared" si="4"/>
        <v>1</v>
      </c>
      <c r="AC32" s="1574">
        <f t="shared" si="5"/>
        <v>1</v>
      </c>
    </row>
    <row r="33" spans="1:29" s="1336" customFormat="1" ht="15">
      <c r="A33" s="601"/>
      <c r="B33" s="525" t="s">
        <v>725</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397"/>
      <c r="Q33" s="1603" t="str">
        <f t="shared" si="11"/>
        <v>项目建筑规模</v>
      </c>
      <c r="R33" s="1575" t="s">
        <v>8</v>
      </c>
      <c r="S33" s="1576" t="e">
        <f t="shared" si="12"/>
        <v>#N/A</v>
      </c>
      <c r="T33" s="1575" t="s">
        <v>8</v>
      </c>
      <c r="U33" s="1576" t="e">
        <f t="shared" si="13"/>
        <v>#N/A</v>
      </c>
      <c r="V33" s="1575" t="s">
        <v>8</v>
      </c>
      <c r="W33" s="1576" t="e">
        <f t="shared" si="14"/>
        <v>#N/A</v>
      </c>
      <c r="X33" s="1577"/>
      <c r="Y33" s="3397"/>
      <c r="Z33" s="1578" t="str">
        <f t="shared" si="15"/>
        <v>项目建筑规模</v>
      </c>
      <c r="AA33" s="1574" t="e">
        <f t="shared" si="3"/>
        <v>#N/A</v>
      </c>
      <c r="AB33" s="1574" t="e">
        <f t="shared" si="4"/>
        <v>#N/A</v>
      </c>
      <c r="AC33" s="1574" t="e">
        <f t="shared" si="5"/>
        <v>#N/A</v>
      </c>
    </row>
    <row r="34" spans="1:29" ht="15">
      <c r="A34" s="592"/>
      <c r="B34" s="525" t="s">
        <v>726</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40"/>
      <c r="M34" s="2132"/>
      <c r="N34" s="2132"/>
      <c r="O34" s="2139"/>
      <c r="P34" s="3397"/>
      <c r="Q34" s="1570" t="str">
        <f t="shared" si="11"/>
        <v>建筑结构</v>
      </c>
      <c r="R34" s="1571" t="s">
        <v>8</v>
      </c>
      <c r="S34" s="1572">
        <f t="shared" si="12"/>
        <v>100</v>
      </c>
      <c r="T34" s="1571" t="s">
        <v>8</v>
      </c>
      <c r="U34" s="1572">
        <f t="shared" si="13"/>
        <v>100</v>
      </c>
      <c r="V34" s="1571" t="s">
        <v>8</v>
      </c>
      <c r="W34" s="1572">
        <f t="shared" si="14"/>
        <v>100</v>
      </c>
      <c r="X34" s="1565"/>
      <c r="Y34" s="3397"/>
      <c r="Z34" s="1573" t="str">
        <f t="shared" si="15"/>
        <v>建筑结构</v>
      </c>
      <c r="AA34" s="1574">
        <f t="shared" si="3"/>
        <v>1</v>
      </c>
      <c r="AB34" s="1574">
        <f t="shared" si="4"/>
        <v>1</v>
      </c>
      <c r="AC34" s="1574">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397"/>
      <c r="Q35" s="1570" t="str">
        <f t="shared" si="11"/>
        <v>公共部分装修</v>
      </c>
      <c r="R35" s="1571" t="s">
        <v>8</v>
      </c>
      <c r="S35" s="1572">
        <f t="shared" si="12"/>
        <v>100</v>
      </c>
      <c r="T35" s="1571" t="s">
        <v>8</v>
      </c>
      <c r="U35" s="1572">
        <f t="shared" si="13"/>
        <v>100</v>
      </c>
      <c r="V35" s="1571" t="s">
        <v>8</v>
      </c>
      <c r="W35" s="1572">
        <f t="shared" si="14"/>
        <v>100</v>
      </c>
      <c r="X35" s="1565"/>
      <c r="Y35" s="3397"/>
      <c r="Z35" s="1573" t="str">
        <f t="shared" si="15"/>
        <v>公共部分装修</v>
      </c>
      <c r="AA35" s="1574">
        <f t="shared" si="3"/>
        <v>1</v>
      </c>
      <c r="AB35" s="1574">
        <f t="shared" si="4"/>
        <v>1</v>
      </c>
      <c r="AC35" s="1574">
        <f t="shared" si="5"/>
        <v>1</v>
      </c>
    </row>
    <row r="36" spans="1:29" ht="15">
      <c r="A36" s="592"/>
      <c r="B36" s="525" t="s">
        <v>763</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40"/>
      <c r="M36" s="2132"/>
      <c r="N36" s="2132"/>
      <c r="O36" s="2139"/>
      <c r="P36" s="3397"/>
      <c r="Q36" s="1570" t="str">
        <f t="shared" si="11"/>
        <v>成新度</v>
      </c>
      <c r="R36" s="1571" t="s">
        <v>8</v>
      </c>
      <c r="S36" s="1572" t="e">
        <f t="shared" si="12"/>
        <v>#N/A</v>
      </c>
      <c r="T36" s="1571" t="s">
        <v>8</v>
      </c>
      <c r="U36" s="1572" t="e">
        <f t="shared" si="13"/>
        <v>#N/A</v>
      </c>
      <c r="V36" s="1571" t="s">
        <v>8</v>
      </c>
      <c r="W36" s="1572" t="e">
        <f t="shared" si="14"/>
        <v>#N/A</v>
      </c>
      <c r="X36" s="1565"/>
      <c r="Y36" s="3397"/>
      <c r="Z36" s="1573" t="str">
        <f t="shared" si="15"/>
        <v>成新度</v>
      </c>
      <c r="AA36" s="1574" t="e">
        <f t="shared" si="3"/>
        <v>#N/A</v>
      </c>
      <c r="AB36" s="1574" t="e">
        <f t="shared" si="4"/>
        <v>#N/A</v>
      </c>
      <c r="AC36" s="1574" t="e">
        <f t="shared" si="5"/>
        <v>#N/A</v>
      </c>
    </row>
    <row r="37" spans="1:29" s="1217" customFormat="1" ht="15">
      <c r="A37" s="598"/>
      <c r="B37" s="1893"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397"/>
      <c r="Q37" s="1148" t="str">
        <f t="shared" si="11"/>
        <v>市政基础设施</v>
      </c>
      <c r="R37" s="1566" t="s">
        <v>8</v>
      </c>
      <c r="S37" s="1567">
        <f t="shared" si="12"/>
        <v>100</v>
      </c>
      <c r="T37" s="1566" t="s">
        <v>8</v>
      </c>
      <c r="U37" s="1567">
        <f t="shared" si="13"/>
        <v>100</v>
      </c>
      <c r="V37" s="1566" t="s">
        <v>8</v>
      </c>
      <c r="W37" s="1567">
        <f t="shared" si="14"/>
        <v>100</v>
      </c>
      <c r="X37" s="1568"/>
      <c r="Y37" s="3397"/>
      <c r="Z37" s="1147" t="str">
        <f t="shared" si="15"/>
        <v>市政基础设施</v>
      </c>
      <c r="AA37" s="1569">
        <f t="shared" si="3"/>
        <v>1</v>
      </c>
      <c r="AB37" s="1569">
        <f t="shared" si="4"/>
        <v>1</v>
      </c>
      <c r="AC37" s="1569">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397" t="s">
        <v>765</v>
      </c>
      <c r="Q38" s="1570" t="str">
        <f t="shared" si="11"/>
        <v>业态</v>
      </c>
      <c r="R38" s="1571" t="s">
        <v>8</v>
      </c>
      <c r="S38" s="1572">
        <f t="shared" si="12"/>
        <v>100</v>
      </c>
      <c r="T38" s="1571" t="s">
        <v>8</v>
      </c>
      <c r="U38" s="1572">
        <f t="shared" si="13"/>
        <v>100</v>
      </c>
      <c r="V38" s="1571" t="s">
        <v>8</v>
      </c>
      <c r="W38" s="1572">
        <f t="shared" si="14"/>
        <v>100</v>
      </c>
      <c r="X38" s="1565"/>
      <c r="Y38" s="3397" t="s">
        <v>765</v>
      </c>
      <c r="Z38" s="1573" t="str">
        <f t="shared" si="15"/>
        <v>业态</v>
      </c>
      <c r="AA38" s="1574">
        <f t="shared" si="3"/>
        <v>1</v>
      </c>
      <c r="AB38" s="1574">
        <f t="shared" si="4"/>
        <v>1</v>
      </c>
      <c r="AC38" s="1574">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97"/>
      <c r="Q39" s="1570" t="str">
        <f t="shared" si="11"/>
        <v>层高</v>
      </c>
      <c r="R39" s="1571" t="s">
        <v>8</v>
      </c>
      <c r="S39" s="1572">
        <f t="shared" si="12"/>
        <v>100</v>
      </c>
      <c r="T39" s="1571" t="s">
        <v>8</v>
      </c>
      <c r="U39" s="1572">
        <f t="shared" si="13"/>
        <v>100</v>
      </c>
      <c r="V39" s="1571" t="s">
        <v>8</v>
      </c>
      <c r="W39" s="1572">
        <f t="shared" si="14"/>
        <v>100</v>
      </c>
      <c r="X39" s="1565"/>
      <c r="Y39" s="3397"/>
      <c r="Z39" s="1573" t="str">
        <f t="shared" si="15"/>
        <v>层高</v>
      </c>
      <c r="AA39" s="1574">
        <f t="shared" si="3"/>
        <v>1</v>
      </c>
      <c r="AB39" s="1574">
        <f t="shared" si="4"/>
        <v>1</v>
      </c>
      <c r="AC39" s="1574">
        <f t="shared" si="5"/>
        <v>1</v>
      </c>
    </row>
    <row r="40" spans="1:29" ht="15">
      <c r="A40" s="592"/>
      <c r="B40" s="525" t="s">
        <v>767</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40"/>
      <c r="M40" s="2132"/>
      <c r="N40" s="2132"/>
      <c r="O40" s="2139"/>
      <c r="P40" s="3397"/>
      <c r="Q40" s="1570" t="str">
        <f t="shared" si="11"/>
        <v>单套建筑面积</v>
      </c>
      <c r="R40" s="1571" t="s">
        <v>8</v>
      </c>
      <c r="S40" s="1572">
        <f t="shared" si="12"/>
        <v>100</v>
      </c>
      <c r="T40" s="1571" t="s">
        <v>8</v>
      </c>
      <c r="U40" s="1572">
        <f t="shared" si="13"/>
        <v>100</v>
      </c>
      <c r="V40" s="1571" t="s">
        <v>8</v>
      </c>
      <c r="W40" s="1572">
        <f t="shared" si="14"/>
        <v>100</v>
      </c>
      <c r="X40" s="1565"/>
      <c r="Y40" s="3397"/>
      <c r="Z40" s="1573" t="str">
        <f t="shared" si="15"/>
        <v>单套建筑面积</v>
      </c>
      <c r="AA40" s="1574">
        <f t="shared" si="3"/>
        <v>1</v>
      </c>
      <c r="AB40" s="1574">
        <f t="shared" si="4"/>
        <v>1</v>
      </c>
      <c r="AC40" s="1574">
        <f t="shared" si="5"/>
        <v>1</v>
      </c>
    </row>
    <row r="41" spans="1:29" s="1336" customFormat="1" ht="15">
      <c r="A41" s="601"/>
      <c r="B41" s="901"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397"/>
      <c r="Q41" s="1603" t="str">
        <f t="shared" si="11"/>
        <v>进深比</v>
      </c>
      <c r="R41" s="1575" t="s">
        <v>8</v>
      </c>
      <c r="S41" s="1576">
        <f t="shared" si="12"/>
        <v>100</v>
      </c>
      <c r="T41" s="1575" t="s">
        <v>8</v>
      </c>
      <c r="U41" s="1576">
        <f t="shared" si="13"/>
        <v>100</v>
      </c>
      <c r="V41" s="1575" t="s">
        <v>8</v>
      </c>
      <c r="W41" s="1576">
        <f t="shared" si="14"/>
        <v>100</v>
      </c>
      <c r="X41" s="1577"/>
      <c r="Y41" s="3397"/>
      <c r="Z41" s="1578" t="str">
        <f t="shared" si="15"/>
        <v>进深比</v>
      </c>
      <c r="AA41" s="1574">
        <f t="shared" si="3"/>
        <v>1</v>
      </c>
      <c r="AB41" s="1574">
        <f t="shared" si="4"/>
        <v>1</v>
      </c>
      <c r="AC41" s="1574">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397"/>
      <c r="Q42" s="1570" t="str">
        <f t="shared" si="11"/>
        <v>内部装修</v>
      </c>
      <c r="R42" s="1571" t="s">
        <v>8</v>
      </c>
      <c r="S42" s="1572">
        <f t="shared" si="12"/>
        <v>100</v>
      </c>
      <c r="T42" s="1571" t="s">
        <v>8</v>
      </c>
      <c r="U42" s="1572">
        <f t="shared" si="13"/>
        <v>100</v>
      </c>
      <c r="V42" s="1571" t="s">
        <v>8</v>
      </c>
      <c r="W42" s="1572">
        <f t="shared" si="14"/>
        <v>100</v>
      </c>
      <c r="X42" s="1565"/>
      <c r="Y42" s="3397"/>
      <c r="Z42" s="1573" t="str">
        <f t="shared" si="15"/>
        <v>内部装修</v>
      </c>
      <c r="AA42" s="1574">
        <f t="shared" si="3"/>
        <v>1</v>
      </c>
      <c r="AB42" s="1574">
        <f t="shared" si="4"/>
        <v>1</v>
      </c>
      <c r="AC42" s="1574">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397"/>
      <c r="Q43" s="1570" t="str">
        <f t="shared" si="11"/>
        <v>内部装修维护情况</v>
      </c>
      <c r="R43" s="1571" t="s">
        <v>8</v>
      </c>
      <c r="S43" s="1572">
        <f t="shared" si="12"/>
        <v>100</v>
      </c>
      <c r="T43" s="1571" t="s">
        <v>8</v>
      </c>
      <c r="U43" s="1572">
        <f t="shared" si="13"/>
        <v>100</v>
      </c>
      <c r="V43" s="1571" t="s">
        <v>8</v>
      </c>
      <c r="W43" s="1572">
        <f t="shared" si="14"/>
        <v>100</v>
      </c>
      <c r="X43" s="1565"/>
      <c r="Y43" s="3397"/>
      <c r="Z43" s="1573" t="str">
        <f t="shared" si="15"/>
        <v>内部装修维护情况</v>
      </c>
      <c r="AA43" s="1574">
        <f t="shared" si="3"/>
        <v>1</v>
      </c>
      <c r="AB43" s="1574">
        <f t="shared" si="4"/>
        <v>1</v>
      </c>
      <c r="AC43" s="1574">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397"/>
      <c r="Q44" s="1148">
        <f t="shared" si="11"/>
        <v>111</v>
      </c>
      <c r="R44" s="1566" t="s">
        <v>8</v>
      </c>
      <c r="S44" s="1567">
        <f t="shared" si="12"/>
        <v>100</v>
      </c>
      <c r="T44" s="1566" t="s">
        <v>8</v>
      </c>
      <c r="U44" s="1567">
        <f t="shared" si="13"/>
        <v>100</v>
      </c>
      <c r="V44" s="1566" t="s">
        <v>8</v>
      </c>
      <c r="W44" s="1567">
        <f t="shared" si="14"/>
        <v>100</v>
      </c>
      <c r="X44" s="1568"/>
      <c r="Y44" s="3397"/>
      <c r="Z44" s="1147">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397"/>
      <c r="Q45" s="1570">
        <f t="shared" si="11"/>
        <v>111</v>
      </c>
      <c r="R45" s="1571" t="s">
        <v>8</v>
      </c>
      <c r="S45" s="1572">
        <f t="shared" si="12"/>
        <v>100</v>
      </c>
      <c r="T45" s="1571" t="s">
        <v>8</v>
      </c>
      <c r="U45" s="1572">
        <f t="shared" si="13"/>
        <v>100</v>
      </c>
      <c r="V45" s="1571" t="s">
        <v>8</v>
      </c>
      <c r="W45" s="1572">
        <f t="shared" si="14"/>
        <v>100</v>
      </c>
      <c r="X45" s="1565"/>
      <c r="Y45" s="3397"/>
      <c r="Z45" s="1573">
        <f t="shared" si="15"/>
        <v>111</v>
      </c>
      <c r="AA45" s="1574">
        <f t="shared" si="3"/>
        <v>1</v>
      </c>
      <c r="AB45" s="1574">
        <f t="shared" si="4"/>
        <v>1</v>
      </c>
      <c r="AC45" s="1574">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73"/>
      <c r="Q46" s="1570">
        <f t="shared" si="11"/>
        <v>111</v>
      </c>
      <c r="R46" s="1571" t="s">
        <v>8</v>
      </c>
      <c r="S46" s="1572">
        <f t="shared" si="12"/>
        <v>100</v>
      </c>
      <c r="T46" s="1571" t="s">
        <v>8</v>
      </c>
      <c r="U46" s="1572">
        <f t="shared" si="13"/>
        <v>100</v>
      </c>
      <c r="V46" s="1571" t="s">
        <v>8</v>
      </c>
      <c r="W46" s="1572">
        <f t="shared" si="14"/>
        <v>100</v>
      </c>
      <c r="X46" s="1565"/>
      <c r="Y46" s="3473"/>
      <c r="Z46" s="1573">
        <f t="shared" si="15"/>
        <v>111</v>
      </c>
      <c r="AA46" s="1574">
        <f t="shared" si="3"/>
        <v>1</v>
      </c>
      <c r="AB46" s="1574">
        <f t="shared" si="4"/>
        <v>1</v>
      </c>
      <c r="AC46" s="1574">
        <f t="shared" si="5"/>
        <v>1</v>
      </c>
    </row>
    <row r="47" spans="1:29" ht="15">
      <c r="A47" s="605" t="s">
        <v>735</v>
      </c>
      <c r="B47" s="884"/>
      <c r="C47" s="2649" t="s">
        <v>1</v>
      </c>
      <c r="D47" s="2650"/>
      <c r="E47" s="2651"/>
      <c r="F47" s="2652"/>
      <c r="G47" s="2653"/>
      <c r="H47" s="2654"/>
      <c r="I47" s="2651"/>
      <c r="J47" s="2654"/>
      <c r="K47" s="1609"/>
      <c r="L47" s="2142"/>
      <c r="M47" s="2143"/>
      <c r="N47" s="2132"/>
      <c r="O47" s="2143"/>
      <c r="P47" s="3392" t="str">
        <f>A47</f>
        <v>成交单价（元/平方米）</v>
      </c>
      <c r="Q47" s="3392"/>
      <c r="R47" s="3472">
        <f>E47</f>
        <v>0</v>
      </c>
      <c r="S47" s="3472"/>
      <c r="T47" s="3472">
        <f>G47</f>
        <v>0</v>
      </c>
      <c r="U47" s="3472"/>
      <c r="V47" s="3472">
        <f>I47</f>
        <v>0</v>
      </c>
      <c r="W47" s="3472"/>
      <c r="X47" s="1557"/>
      <c r="Y47" s="1579"/>
      <c r="Z47" s="1557"/>
      <c r="AA47" s="1557"/>
      <c r="AB47" s="1557"/>
      <c r="AC47" s="1557"/>
    </row>
    <row r="48" spans="1:29" ht="15.75" thickBot="1">
      <c r="A48" s="613" t="s">
        <v>2761</v>
      </c>
      <c r="B48" s="885"/>
      <c r="C48" s="2655" t="e">
        <f>R49</f>
        <v>#DIV/0!</v>
      </c>
      <c r="D48" s="2656"/>
      <c r="E48" s="2657" t="e">
        <f>R48</f>
        <v>#DIV/0!</v>
      </c>
      <c r="F48" s="2657"/>
      <c r="G48" s="2655" t="e">
        <f>T48</f>
        <v>#DIV/0!</v>
      </c>
      <c r="H48" s="2656"/>
      <c r="I48" s="2657" t="e">
        <f>V48</f>
        <v>#DIV/0!</v>
      </c>
      <c r="J48" s="2656"/>
      <c r="K48" s="1610"/>
      <c r="L48" s="2142"/>
      <c r="M48" s="2143"/>
      <c r="N48" s="2132"/>
      <c r="O48" s="2143"/>
      <c r="P48" s="3392" t="str">
        <f>A48</f>
        <v>比较价格（元/平方米）</v>
      </c>
      <c r="Q48" s="3392"/>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7"/>
      <c r="Y48" s="1557"/>
      <c r="Z48" s="1557"/>
      <c r="AA48" s="1557"/>
      <c r="AB48" s="1557"/>
      <c r="AC48" s="1557"/>
    </row>
    <row r="49" spans="1:29" ht="15.75" thickBot="1">
      <c r="A49" s="619" t="s">
        <v>2935</v>
      </c>
      <c r="B49" s="620"/>
      <c r="C49" s="2658" t="e">
        <f>R49</f>
        <v>#DIV/0!</v>
      </c>
      <c r="D49" s="2658"/>
      <c r="E49" s="2658"/>
      <c r="F49" s="2658"/>
      <c r="G49" s="2658"/>
      <c r="H49" s="2658"/>
      <c r="I49" s="2658"/>
      <c r="J49" s="2658"/>
      <c r="K49" s="1611"/>
      <c r="L49" s="2142"/>
      <c r="M49" s="2143"/>
      <c r="N49" s="2132"/>
      <c r="O49" s="2143"/>
      <c r="P49" s="3414" t="str">
        <f>A49</f>
        <v>估价对象XX用房的比较价格（楼面单价，元/平方米）</v>
      </c>
      <c r="Q49" s="3415"/>
      <c r="R49" s="3471" t="e">
        <f>IF(F1="售价",ROUND(AVERAGE(R48:V48),0),ROUND(AVERAGE(R48:V48),1))</f>
        <v>#DIV/0!</v>
      </c>
      <c r="S49" s="3471"/>
      <c r="T49" s="3471"/>
      <c r="U49" s="3471"/>
      <c r="V49" s="3471"/>
      <c r="W49" s="3471"/>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2"/>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2559</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671" t="s">
        <v>770</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tr">
        <f>B26</f>
        <v>平面位置/可视性</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771</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6"/>
      <c r="B112" s="1894" t="s">
        <v>2557</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772</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773</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774</v>
      </c>
      <c r="C118" s="906"/>
      <c r="D118" s="906"/>
      <c r="E118" s="906"/>
      <c r="F118" s="906"/>
      <c r="G118" s="906"/>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6"/>
      <c r="B120" s="671" t="s">
        <v>775</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5" sqref="L25"/>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776</v>
      </c>
      <c r="C1" s="502" t="s">
        <v>720</v>
      </c>
      <c r="D1" s="847"/>
      <c r="E1" s="504"/>
      <c r="F1" s="2829"/>
      <c r="G1" s="1599" t="s">
        <v>721</v>
      </c>
      <c r="H1" s="504"/>
      <c r="I1" s="504"/>
      <c r="J1" s="504"/>
      <c r="K1" s="505"/>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0" t="s">
        <v>521</v>
      </c>
      <c r="B4" s="511"/>
      <c r="C4" s="3398" t="s">
        <v>522</v>
      </c>
      <c r="D4" s="3399"/>
      <c r="E4" s="3423" t="s">
        <v>523</v>
      </c>
      <c r="F4" s="3424"/>
      <c r="G4" s="3398" t="s">
        <v>524</v>
      </c>
      <c r="H4" s="3399"/>
      <c r="I4" s="3398" t="s">
        <v>525</v>
      </c>
      <c r="J4" s="3399"/>
      <c r="K4" s="512" t="s">
        <v>526</v>
      </c>
      <c r="L4" s="2131"/>
      <c r="M4" s="2132"/>
      <c r="N4" s="2132"/>
      <c r="O4" s="2132"/>
      <c r="P4" s="3497" t="s">
        <v>527</v>
      </c>
      <c r="Q4" s="3401"/>
      <c r="R4" s="3386" t="s">
        <v>523</v>
      </c>
      <c r="S4" s="3387"/>
      <c r="T4" s="3386" t="s">
        <v>524</v>
      </c>
      <c r="U4" s="3387"/>
      <c r="V4" s="3406" t="s">
        <v>525</v>
      </c>
      <c r="W4" s="3406"/>
      <c r="X4" s="1565"/>
      <c r="Y4" s="3386" t="s">
        <v>527</v>
      </c>
      <c r="Z4" s="3387"/>
      <c r="AA4" s="3381" t="s">
        <v>523</v>
      </c>
      <c r="AB4" s="3381" t="s">
        <v>524</v>
      </c>
      <c r="AC4" s="3381" t="s">
        <v>525</v>
      </c>
    </row>
    <row r="5" spans="1:29" ht="15">
      <c r="A5" s="513"/>
      <c r="B5" s="514"/>
      <c r="C5" s="3427" t="s">
        <v>2929</v>
      </c>
      <c r="D5" s="3410"/>
      <c r="E5" s="3425" t="s">
        <v>2930</v>
      </c>
      <c r="F5" s="3426"/>
      <c r="G5" s="3427" t="s">
        <v>2931</v>
      </c>
      <c r="H5" s="3410"/>
      <c r="I5" s="3427" t="s">
        <v>2932</v>
      </c>
      <c r="J5" s="3410"/>
      <c r="K5" s="512"/>
      <c r="L5" s="2131"/>
      <c r="M5" s="2132"/>
      <c r="N5" s="2132"/>
      <c r="O5" s="2132"/>
      <c r="P5" s="3498"/>
      <c r="Q5" s="3403"/>
      <c r="R5" s="3388"/>
      <c r="S5" s="3389"/>
      <c r="T5" s="3388"/>
      <c r="U5" s="3389"/>
      <c r="V5" s="3406"/>
      <c r="W5" s="3406"/>
      <c r="X5" s="1565"/>
      <c r="Y5" s="3388"/>
      <c r="Z5" s="3389"/>
      <c r="AA5" s="3382"/>
      <c r="AB5" s="3382"/>
      <c r="AC5" s="3382"/>
    </row>
    <row r="6" spans="1:29" ht="15.75" thickBot="1">
      <c r="A6" s="515"/>
      <c r="B6" s="516"/>
      <c r="C6" s="3407" t="s">
        <v>2933</v>
      </c>
      <c r="D6" s="3408"/>
      <c r="E6" s="3428" t="s">
        <v>2933</v>
      </c>
      <c r="F6" s="3429"/>
      <c r="G6" s="3407" t="s">
        <v>2933</v>
      </c>
      <c r="H6" s="3408"/>
      <c r="I6" s="3407" t="s">
        <v>2933</v>
      </c>
      <c r="J6" s="3408"/>
      <c r="K6" s="512" t="s">
        <v>528</v>
      </c>
      <c r="L6" s="2131"/>
      <c r="M6" s="2132"/>
      <c r="N6" s="2132"/>
      <c r="O6" s="2132"/>
      <c r="P6" s="3499"/>
      <c r="Q6" s="3405"/>
      <c r="R6" s="3388"/>
      <c r="S6" s="3389"/>
      <c r="T6" s="3390"/>
      <c r="U6" s="3391"/>
      <c r="V6" s="3406"/>
      <c r="W6" s="3406"/>
      <c r="X6" s="1565"/>
      <c r="Y6" s="3390"/>
      <c r="Z6" s="3391"/>
      <c r="AA6" s="3383"/>
      <c r="AB6" s="3383"/>
      <c r="AC6" s="3383"/>
    </row>
    <row r="7" spans="1:29" s="1217" customFormat="1" ht="15.75" thickBot="1">
      <c r="A7" s="2934"/>
      <c r="B7" s="2941" t="s">
        <v>529</v>
      </c>
      <c r="C7" s="517">
        <f>'数据-取费表'!B2</f>
        <v>43239</v>
      </c>
      <c r="D7" s="518">
        <v>100</v>
      </c>
      <c r="E7" s="519"/>
      <c r="F7" s="520">
        <f>SUMIF(59:59,YEAR(E7)&amp;"-"&amp;MONTH(E7),60:60)</f>
        <v>0</v>
      </c>
      <c r="G7" s="519"/>
      <c r="H7" s="518">
        <f>SUMIF(59:59,YEAR(G7)&amp;"-"&amp;MONTH(G7),60:60)</f>
        <v>0</v>
      </c>
      <c r="I7" s="519"/>
      <c r="J7" s="518">
        <f>SUMIF(59:59,YEAR(I7)&amp;"-"&amp;MONTH(I7),60:60)</f>
        <v>0</v>
      </c>
      <c r="K7" s="522"/>
      <c r="L7" s="2133"/>
      <c r="M7" s="2134"/>
      <c r="N7" s="2134"/>
      <c r="O7" s="2134"/>
      <c r="P7" s="3393" t="s">
        <v>530</v>
      </c>
      <c r="Q7" s="3393"/>
      <c r="R7" s="1566" t="s">
        <v>8</v>
      </c>
      <c r="S7" s="1567">
        <f t="shared" ref="S7:S15" si="0">F7</f>
        <v>0</v>
      </c>
      <c r="T7" s="1566" t="s">
        <v>8</v>
      </c>
      <c r="U7" s="1567">
        <f t="shared" ref="U7:U15" si="1">H7</f>
        <v>0</v>
      </c>
      <c r="V7" s="1566" t="s">
        <v>8</v>
      </c>
      <c r="W7" s="1567">
        <f t="shared" ref="W7:W15" si="2">J7</f>
        <v>0</v>
      </c>
      <c r="X7" s="1568"/>
      <c r="Y7" s="3384" t="s">
        <v>530</v>
      </c>
      <c r="Z7" s="3385"/>
      <c r="AA7" s="1569" t="e">
        <f>D7/F7</f>
        <v>#DIV/0!</v>
      </c>
      <c r="AB7" s="1569" t="e">
        <f>D7/H7</f>
        <v>#DIV/0!</v>
      </c>
      <c r="AC7" s="1569" t="e">
        <f>D7/J7</f>
        <v>#DIV/0!</v>
      </c>
    </row>
    <row r="8" spans="1:29" s="1217" customFormat="1" ht="15.75" thickBot="1">
      <c r="A8" s="2935"/>
      <c r="B8" s="2942"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393" t="s">
        <v>533</v>
      </c>
      <c r="Q8" s="3385"/>
      <c r="R8" s="1566" t="s">
        <v>8</v>
      </c>
      <c r="S8" s="1567">
        <f t="shared" si="0"/>
        <v>0</v>
      </c>
      <c r="T8" s="1566" t="s">
        <v>8</v>
      </c>
      <c r="U8" s="1567">
        <f t="shared" si="1"/>
        <v>0</v>
      </c>
      <c r="V8" s="1566" t="s">
        <v>8</v>
      </c>
      <c r="W8" s="1567">
        <f t="shared" si="2"/>
        <v>0</v>
      </c>
      <c r="X8" s="1568"/>
      <c r="Y8" s="3384" t="s">
        <v>533</v>
      </c>
      <c r="Z8" s="3385"/>
      <c r="AA8" s="1569" t="e">
        <f t="shared" ref="AA8:AA47" si="3">D8/F8</f>
        <v>#DIV/0!</v>
      </c>
      <c r="AB8" s="1569" t="e">
        <f t="shared" ref="AB8:AB47" si="4">D8/H8</f>
        <v>#DIV/0!</v>
      </c>
      <c r="AC8" s="1569" t="e">
        <f t="shared" ref="AC8:AC47" si="5">D8/J8</f>
        <v>#DIV/0!</v>
      </c>
    </row>
    <row r="9" spans="1:29" s="1217" customFormat="1" ht="15">
      <c r="A9" s="2936"/>
      <c r="B9" s="2943" t="s">
        <v>2757</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92" t="s">
        <v>535</v>
      </c>
      <c r="Q9" s="1148" t="str">
        <f t="shared" ref="Q9:Q15" si="6">B9</f>
        <v>用途</v>
      </c>
      <c r="R9" s="1566" t="s">
        <v>8</v>
      </c>
      <c r="S9" s="1567">
        <f t="shared" si="0"/>
        <v>100</v>
      </c>
      <c r="T9" s="1566" t="s">
        <v>8</v>
      </c>
      <c r="U9" s="1567">
        <f t="shared" si="1"/>
        <v>100</v>
      </c>
      <c r="V9" s="1566" t="s">
        <v>8</v>
      </c>
      <c r="W9" s="1567">
        <f t="shared" si="2"/>
        <v>100</v>
      </c>
      <c r="X9" s="1568"/>
      <c r="Y9" s="3349" t="s">
        <v>536</v>
      </c>
      <c r="Z9" s="1147" t="str">
        <f t="shared" ref="Z9:Z15" si="7">Q9</f>
        <v>用途</v>
      </c>
      <c r="AA9" s="1569">
        <f t="shared" si="3"/>
        <v>1</v>
      </c>
      <c r="AB9" s="1569">
        <f t="shared" si="4"/>
        <v>1</v>
      </c>
      <c r="AC9" s="1569">
        <f t="shared" si="5"/>
        <v>1</v>
      </c>
    </row>
    <row r="10" spans="1:29" s="1335" customFormat="1" ht="27">
      <c r="A10" s="2937"/>
      <c r="B10" s="2942" t="s">
        <v>2758</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92"/>
      <c r="Q10" s="1148" t="str">
        <f t="shared" si="6"/>
        <v>土地使用年限（年）</v>
      </c>
      <c r="R10" s="1566" t="s">
        <v>8</v>
      </c>
      <c r="S10" s="1567">
        <f t="shared" si="0"/>
        <v>100</v>
      </c>
      <c r="T10" s="1566" t="s">
        <v>8</v>
      </c>
      <c r="U10" s="1567">
        <f t="shared" si="1"/>
        <v>100</v>
      </c>
      <c r="V10" s="1566" t="s">
        <v>8</v>
      </c>
      <c r="W10" s="1567">
        <f t="shared" si="2"/>
        <v>100</v>
      </c>
      <c r="X10" s="1568"/>
      <c r="Y10" s="3349"/>
      <c r="Z10" s="1147" t="str">
        <f t="shared" si="7"/>
        <v>土地使用年限（年）</v>
      </c>
      <c r="AA10" s="1569">
        <f t="shared" si="3"/>
        <v>1</v>
      </c>
      <c r="AB10" s="1569">
        <f t="shared" si="4"/>
        <v>1</v>
      </c>
      <c r="AC10" s="1569">
        <f t="shared" si="5"/>
        <v>1</v>
      </c>
    </row>
    <row r="11" spans="1:29" ht="15">
      <c r="A11" s="2938"/>
      <c r="B11" s="2942"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92"/>
      <c r="Q11" s="1148" t="str">
        <f t="shared" si="6"/>
        <v>容积率</v>
      </c>
      <c r="R11" s="1566" t="s">
        <v>8</v>
      </c>
      <c r="S11" s="1567" t="e">
        <f t="shared" si="0"/>
        <v>#N/A</v>
      </c>
      <c r="T11" s="1566" t="s">
        <v>8</v>
      </c>
      <c r="U11" s="1567" t="e">
        <f t="shared" si="1"/>
        <v>#N/A</v>
      </c>
      <c r="V11" s="1566" t="s">
        <v>8</v>
      </c>
      <c r="W11" s="1567" t="e">
        <f t="shared" si="2"/>
        <v>#N/A</v>
      </c>
      <c r="X11" s="1568"/>
      <c r="Y11" s="3349"/>
      <c r="Z11" s="1147" t="str">
        <f t="shared" si="7"/>
        <v>容积率</v>
      </c>
      <c r="AA11" s="1569" t="e">
        <f t="shared" si="3"/>
        <v>#N/A</v>
      </c>
      <c r="AB11" s="1569" t="e">
        <f t="shared" si="4"/>
        <v>#N/A</v>
      </c>
      <c r="AC11" s="1569" t="e">
        <f t="shared" si="5"/>
        <v>#N/A</v>
      </c>
    </row>
    <row r="12" spans="1:29" s="1217" customFormat="1" ht="15">
      <c r="A12" s="2939"/>
      <c r="B12" s="2945">
        <v>111</v>
      </c>
      <c r="C12" s="526"/>
      <c r="D12" s="536">
        <v>100</v>
      </c>
      <c r="E12" s="526"/>
      <c r="F12" s="253">
        <f>SUMIF(71:71,E12,72:72)-SUMIF(71:71,C12,72:72)+100</f>
        <v>100</v>
      </c>
      <c r="G12" s="907"/>
      <c r="H12" s="253">
        <f>SUMIF(71:71,G12,72:72)-SUMIF(71:71,C12,72:72)+100</f>
        <v>100</v>
      </c>
      <c r="I12" s="526"/>
      <c r="J12" s="253">
        <f>SUMIF(71:71,I12,72:72)-SUMIF(71:71,C12,72:72)+100</f>
        <v>100</v>
      </c>
      <c r="K12" s="579"/>
      <c r="L12" s="2133"/>
      <c r="M12" s="2134"/>
      <c r="N12" s="2134"/>
      <c r="O12" s="2134"/>
      <c r="P12" s="3392"/>
      <c r="Q12" s="1148">
        <f t="shared" si="6"/>
        <v>111</v>
      </c>
      <c r="R12" s="1566" t="s">
        <v>8</v>
      </c>
      <c r="S12" s="1567">
        <f t="shared" si="0"/>
        <v>100</v>
      </c>
      <c r="T12" s="1566" t="s">
        <v>8</v>
      </c>
      <c r="U12" s="1567">
        <f t="shared" si="1"/>
        <v>100</v>
      </c>
      <c r="V12" s="1566" t="s">
        <v>8</v>
      </c>
      <c r="W12" s="1567">
        <f t="shared" si="2"/>
        <v>100</v>
      </c>
      <c r="X12" s="1568"/>
      <c r="Y12" s="3349"/>
      <c r="Z12" s="1147">
        <f t="shared" si="7"/>
        <v>111</v>
      </c>
      <c r="AA12" s="1569">
        <f>D12/F12</f>
        <v>1</v>
      </c>
      <c r="AB12" s="1569">
        <f>D12/H12</f>
        <v>1</v>
      </c>
      <c r="AC12" s="1569">
        <f>D12/J12</f>
        <v>1</v>
      </c>
    </row>
    <row r="13" spans="1:29" ht="15">
      <c r="A13" s="2939"/>
      <c r="B13" s="2945">
        <v>111</v>
      </c>
      <c r="C13" s="537"/>
      <c r="D13" s="538">
        <v>100</v>
      </c>
      <c r="E13" s="526"/>
      <c r="F13" s="253">
        <f>SUMIF(73:73,E13,74:74)-SUMIF(73:73,C13,74:74)+100</f>
        <v>100</v>
      </c>
      <c r="G13" s="907"/>
      <c r="H13" s="538">
        <f>SUMIF(73:73,G13,74:74)-SUMIF(73:73,C13,74:74)+100</f>
        <v>100</v>
      </c>
      <c r="I13" s="526"/>
      <c r="J13" s="538">
        <f>SUMIF(73:73,I13,74:74)-SUMIF(73:73,C13,74:74)+100</f>
        <v>100</v>
      </c>
      <c r="K13" s="579"/>
      <c r="L13" s="2140"/>
      <c r="M13" s="2132"/>
      <c r="N13" s="2132"/>
      <c r="O13" s="2132"/>
      <c r="P13" s="3392"/>
      <c r="Q13" s="1148">
        <f t="shared" si="6"/>
        <v>111</v>
      </c>
      <c r="R13" s="1566" t="s">
        <v>8</v>
      </c>
      <c r="S13" s="1567">
        <f t="shared" si="0"/>
        <v>100</v>
      </c>
      <c r="T13" s="1566" t="s">
        <v>8</v>
      </c>
      <c r="U13" s="1567">
        <f t="shared" si="1"/>
        <v>100</v>
      </c>
      <c r="V13" s="1566" t="s">
        <v>8</v>
      </c>
      <c r="W13" s="1567">
        <f t="shared" si="2"/>
        <v>100</v>
      </c>
      <c r="X13" s="1568"/>
      <c r="Y13" s="3349"/>
      <c r="Z13" s="1147">
        <f t="shared" si="7"/>
        <v>111</v>
      </c>
      <c r="AA13" s="1569">
        <f t="shared" si="3"/>
        <v>1</v>
      </c>
      <c r="AB13" s="1569">
        <f t="shared" si="4"/>
        <v>1</v>
      </c>
      <c r="AC13" s="1569">
        <f t="shared" si="5"/>
        <v>1</v>
      </c>
    </row>
    <row r="14" spans="1:29" ht="15.75" thickBot="1">
      <c r="A14" s="2940"/>
      <c r="B14" s="2946">
        <v>111</v>
      </c>
      <c r="C14" s="543"/>
      <c r="D14" s="544">
        <v>100</v>
      </c>
      <c r="E14" s="908"/>
      <c r="F14" s="544">
        <f>SUMIF(75:75,E14,76:76)-SUMIF(75:75,C14,76:76)+100</f>
        <v>100</v>
      </c>
      <c r="G14" s="907"/>
      <c r="H14" s="544">
        <f>SUMIF(75:75,G14,76:76)-SUMIF(75:75,C14,76:76)+100</f>
        <v>100</v>
      </c>
      <c r="I14" s="526"/>
      <c r="J14" s="544">
        <f>SUMIF(75:75,I14,76:76)-SUMIF(75:75,C14,76:76)+100</f>
        <v>100</v>
      </c>
      <c r="K14" s="579"/>
      <c r="L14" s="2140"/>
      <c r="M14" s="2132"/>
      <c r="N14" s="2132"/>
      <c r="O14" s="2132"/>
      <c r="P14" s="3392"/>
      <c r="Q14" s="1148">
        <f t="shared" si="6"/>
        <v>111</v>
      </c>
      <c r="R14" s="1566" t="s">
        <v>8</v>
      </c>
      <c r="S14" s="1567">
        <f t="shared" si="0"/>
        <v>100</v>
      </c>
      <c r="T14" s="1566" t="s">
        <v>8</v>
      </c>
      <c r="U14" s="1567">
        <f t="shared" si="1"/>
        <v>100</v>
      </c>
      <c r="V14" s="1566" t="s">
        <v>8</v>
      </c>
      <c r="W14" s="1567">
        <f t="shared" si="2"/>
        <v>100</v>
      </c>
      <c r="X14" s="1568"/>
      <c r="Y14" s="3349"/>
      <c r="Z14" s="1147">
        <f t="shared" si="7"/>
        <v>111</v>
      </c>
      <c r="AA14" s="1569">
        <f t="shared" si="3"/>
        <v>1</v>
      </c>
      <c r="AB14" s="1569">
        <f t="shared" si="4"/>
        <v>1</v>
      </c>
      <c r="AC14" s="1569">
        <f t="shared" si="5"/>
        <v>1</v>
      </c>
    </row>
    <row r="15" spans="1:29" ht="71.25">
      <c r="A15" s="2932" t="s">
        <v>2755</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40"/>
      <c r="M15" s="2132"/>
      <c r="N15" s="2132"/>
      <c r="O15" s="2132"/>
      <c r="P15" s="3394" t="s">
        <v>540</v>
      </c>
      <c r="Q15" s="1570" t="str">
        <f t="shared" si="6"/>
        <v>办公集聚程度</v>
      </c>
      <c r="R15" s="1571" t="s">
        <v>8</v>
      </c>
      <c r="S15" s="1572">
        <f t="shared" si="0"/>
        <v>100</v>
      </c>
      <c r="T15" s="1571" t="s">
        <v>8</v>
      </c>
      <c r="U15" s="1572">
        <f t="shared" si="1"/>
        <v>100</v>
      </c>
      <c r="V15" s="1571" t="s">
        <v>8</v>
      </c>
      <c r="W15" s="1572">
        <f t="shared" si="2"/>
        <v>100</v>
      </c>
      <c r="X15" s="1565"/>
      <c r="Y15" s="3394" t="s">
        <v>540</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6"/>
      <c r="L16" s="2140"/>
      <c r="M16" s="2132"/>
      <c r="N16" s="2132"/>
      <c r="O16" s="2132"/>
      <c r="P16" s="3395"/>
      <c r="Q16" s="1570"/>
      <c r="R16" s="1571"/>
      <c r="S16" s="1572"/>
      <c r="T16" s="1571"/>
      <c r="U16" s="1572"/>
      <c r="V16" s="1571"/>
      <c r="W16" s="1572"/>
      <c r="X16" s="1565"/>
      <c r="Y16" s="3395"/>
      <c r="Z16" s="1573"/>
      <c r="AA16" s="1574">
        <v>1</v>
      </c>
      <c r="AB16" s="1574">
        <v>1</v>
      </c>
      <c r="AC16" s="1574">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40"/>
      <c r="M17" s="2132"/>
      <c r="N17" s="2132"/>
      <c r="O17" s="2132"/>
      <c r="P17" s="3395"/>
      <c r="Q17" s="1570" t="str">
        <f>B17</f>
        <v>交通便捷度</v>
      </c>
      <c r="R17" s="1571" t="s">
        <v>8</v>
      </c>
      <c r="S17" s="1572">
        <f>F17</f>
        <v>100</v>
      </c>
      <c r="T17" s="1571" t="s">
        <v>8</v>
      </c>
      <c r="U17" s="1572">
        <f>H17</f>
        <v>100</v>
      </c>
      <c r="V17" s="1571" t="s">
        <v>8</v>
      </c>
      <c r="W17" s="1572">
        <f>J17</f>
        <v>100</v>
      </c>
      <c r="X17" s="1565"/>
      <c r="Y17" s="3395"/>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6"/>
      <c r="L18" s="2140"/>
      <c r="M18" s="2132"/>
      <c r="N18" s="2132"/>
      <c r="O18" s="2132"/>
      <c r="P18" s="3395"/>
      <c r="Q18" s="1570"/>
      <c r="R18" s="1571"/>
      <c r="S18" s="1572"/>
      <c r="T18" s="1571"/>
      <c r="U18" s="1572"/>
      <c r="V18" s="1571"/>
      <c r="W18" s="1572"/>
      <c r="X18" s="1565"/>
      <c r="Y18" s="3395"/>
      <c r="Z18" s="1573"/>
      <c r="AA18" s="1574">
        <v>1</v>
      </c>
      <c r="AB18" s="1574">
        <v>1</v>
      </c>
      <c r="AC18" s="1574">
        <v>1</v>
      </c>
    </row>
    <row r="19" spans="1:29" ht="42.75">
      <c r="A19" s="530"/>
      <c r="B19" s="2625" t="s">
        <v>2547</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40"/>
      <c r="M19" s="2132"/>
      <c r="N19" s="2132"/>
      <c r="O19" s="2132"/>
      <c r="P19" s="3395"/>
      <c r="Q19" s="1570" t="str">
        <f>B19</f>
        <v>公共配套设施</v>
      </c>
      <c r="R19" s="1571" t="s">
        <v>8</v>
      </c>
      <c r="S19" s="1572">
        <f>F19</f>
        <v>100</v>
      </c>
      <c r="T19" s="1571" t="s">
        <v>8</v>
      </c>
      <c r="U19" s="1572">
        <f>H19</f>
        <v>100</v>
      </c>
      <c r="V19" s="1571" t="s">
        <v>8</v>
      </c>
      <c r="W19" s="1572">
        <f>J19</f>
        <v>100</v>
      </c>
      <c r="X19" s="1565"/>
      <c r="Y19" s="3395"/>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6"/>
      <c r="L20" s="2140"/>
      <c r="M20" s="2132"/>
      <c r="N20" s="2132"/>
      <c r="O20" s="2132"/>
      <c r="P20" s="3395"/>
      <c r="Q20" s="1570"/>
      <c r="R20" s="1571"/>
      <c r="S20" s="1572"/>
      <c r="T20" s="1571"/>
      <c r="U20" s="1572"/>
      <c r="V20" s="1571"/>
      <c r="W20" s="1572"/>
      <c r="X20" s="1565"/>
      <c r="Y20" s="3395"/>
      <c r="Z20" s="1573"/>
      <c r="AA20" s="1574">
        <v>1</v>
      </c>
      <c r="AB20" s="1574">
        <v>1</v>
      </c>
      <c r="AC20" s="1574">
        <v>1</v>
      </c>
    </row>
    <row r="21" spans="1:29" ht="28.5">
      <c r="A21" s="530"/>
      <c r="B21" s="2613" t="s">
        <v>2559</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40"/>
      <c r="M21" s="2132"/>
      <c r="N21" s="2132"/>
      <c r="O21" s="2132"/>
      <c r="P21" s="3395"/>
      <c r="Q21" s="2601" t="str">
        <f>B21</f>
        <v>基础设施水平</v>
      </c>
      <c r="R21" s="1571" t="s">
        <v>8</v>
      </c>
      <c r="S21" s="1572">
        <f>F21</f>
        <v>100</v>
      </c>
      <c r="T21" s="1571" t="s">
        <v>8</v>
      </c>
      <c r="U21" s="1572">
        <f>H21</f>
        <v>100</v>
      </c>
      <c r="V21" s="1571" t="s">
        <v>8</v>
      </c>
      <c r="W21" s="1572">
        <f>J21</f>
        <v>100</v>
      </c>
      <c r="X21" s="2603"/>
      <c r="Y21" s="3395"/>
      <c r="Z21" s="2602"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4"/>
      <c r="L22" s="2140"/>
      <c r="M22" s="2132"/>
      <c r="N22" s="2132"/>
      <c r="O22" s="2132"/>
      <c r="P22" s="3395"/>
      <c r="Q22" s="2601"/>
      <c r="R22" s="1571"/>
      <c r="S22" s="1572"/>
      <c r="T22" s="1571"/>
      <c r="U22" s="1572"/>
      <c r="V22" s="1571"/>
      <c r="W22" s="1572"/>
      <c r="X22" s="2603"/>
      <c r="Y22" s="3395"/>
      <c r="Z22" s="2602"/>
      <c r="AA22" s="1574">
        <v>1</v>
      </c>
      <c r="AB22" s="1574">
        <v>1</v>
      </c>
      <c r="AC22" s="1574">
        <v>1</v>
      </c>
    </row>
    <row r="23" spans="1:29" ht="57">
      <c r="A23" s="530"/>
      <c r="B23" s="558" t="s">
        <v>777</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40"/>
      <c r="M23" s="2132"/>
      <c r="N23" s="2132"/>
      <c r="O23" s="2132"/>
      <c r="P23" s="3395"/>
      <c r="Q23" s="1570" t="str">
        <f>B23</f>
        <v>环境质量</v>
      </c>
      <c r="R23" s="1571" t="s">
        <v>8</v>
      </c>
      <c r="S23" s="1572">
        <f>F23</f>
        <v>100</v>
      </c>
      <c r="T23" s="1571" t="s">
        <v>8</v>
      </c>
      <c r="U23" s="1572">
        <f>H23</f>
        <v>100</v>
      </c>
      <c r="V23" s="1571" t="s">
        <v>8</v>
      </c>
      <c r="W23" s="1572">
        <f>J23</f>
        <v>100</v>
      </c>
      <c r="X23" s="1565"/>
      <c r="Y23" s="3395"/>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6"/>
      <c r="L24" s="2140"/>
      <c r="M24" s="2132"/>
      <c r="N24" s="2132"/>
      <c r="O24" s="2132"/>
      <c r="P24" s="3395"/>
      <c r="Q24" s="1570"/>
      <c r="R24" s="1571"/>
      <c r="S24" s="1572"/>
      <c r="T24" s="1571"/>
      <c r="U24" s="1572"/>
      <c r="V24" s="1571"/>
      <c r="W24" s="1572"/>
      <c r="X24" s="1565"/>
      <c r="Y24" s="3395"/>
      <c r="Z24" s="1573"/>
      <c r="AA24" s="1574">
        <v>1</v>
      </c>
      <c r="AB24" s="1574">
        <v>1</v>
      </c>
      <c r="AC24" s="1574">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40"/>
      <c r="M25" s="2132"/>
      <c r="N25" s="2132"/>
      <c r="O25" s="2132"/>
      <c r="P25" s="3395"/>
      <c r="Q25" s="1570" t="str">
        <f>B25</f>
        <v>毗邻道路的类型与等级</v>
      </c>
      <c r="R25" s="1571" t="s">
        <v>8</v>
      </c>
      <c r="S25" s="1572">
        <f>F25</f>
        <v>100</v>
      </c>
      <c r="T25" s="1571" t="s">
        <v>8</v>
      </c>
      <c r="U25" s="1572">
        <f>H25</f>
        <v>100</v>
      </c>
      <c r="V25" s="1571" t="s">
        <v>8</v>
      </c>
      <c r="W25" s="1572">
        <f>J25</f>
        <v>100</v>
      </c>
      <c r="X25" s="1565"/>
      <c r="Y25" s="3395"/>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6"/>
      <c r="L26" s="2140"/>
      <c r="M26" s="2132"/>
      <c r="N26" s="2132"/>
      <c r="O26" s="2132"/>
      <c r="P26" s="3395"/>
      <c r="Q26" s="1570"/>
      <c r="R26" s="1571"/>
      <c r="S26" s="1572"/>
      <c r="T26" s="1571"/>
      <c r="U26" s="1572"/>
      <c r="V26" s="1571"/>
      <c r="W26" s="1572"/>
      <c r="X26" s="1565"/>
      <c r="Y26" s="3395"/>
      <c r="Z26" s="1573"/>
      <c r="AA26" s="1574">
        <v>1</v>
      </c>
      <c r="AB26" s="1574">
        <v>1</v>
      </c>
      <c r="AC26" s="1574">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395"/>
      <c r="Q27" s="1570" t="str">
        <f t="shared" ref="Q27:Q47" si="11">B27</f>
        <v>楼层</v>
      </c>
      <c r="R27" s="1571" t="s">
        <v>8</v>
      </c>
      <c r="S27" s="1572">
        <f>F27</f>
        <v>100</v>
      </c>
      <c r="T27" s="1571" t="s">
        <v>8</v>
      </c>
      <c r="U27" s="1572">
        <f>H27</f>
        <v>100</v>
      </c>
      <c r="V27" s="1571" t="s">
        <v>8</v>
      </c>
      <c r="W27" s="1572">
        <f>J27</f>
        <v>100</v>
      </c>
      <c r="X27" s="1565"/>
      <c r="Y27" s="3395"/>
      <c r="Z27" s="1573" t="str">
        <f>Q27</f>
        <v>楼层</v>
      </c>
      <c r="AA27" s="1574">
        <f t="shared" si="3"/>
        <v>1</v>
      </c>
      <c r="AB27" s="1574">
        <f t="shared" si="4"/>
        <v>1</v>
      </c>
      <c r="AC27" s="1574">
        <f t="shared" si="5"/>
        <v>1</v>
      </c>
    </row>
    <row r="28" spans="1:29" s="1217" customFormat="1" ht="15">
      <c r="A28" s="534"/>
      <c r="B28" s="558" t="s">
        <v>778</v>
      </c>
      <c r="C28" s="910"/>
      <c r="D28" s="873">
        <v>100</v>
      </c>
      <c r="E28" s="898"/>
      <c r="F28" s="873">
        <f>SUMIF(91:91,E28,92:92)-SUMIF(91:91,C28,92:92)+100</f>
        <v>100</v>
      </c>
      <c r="G28" s="910"/>
      <c r="H28" s="873">
        <f>SUMIF(91:91,G28,92:92)-SUMIF(91:91,C28,92:92)+100</f>
        <v>100</v>
      </c>
      <c r="I28" s="898"/>
      <c r="J28" s="873">
        <f>SUMIF(91:91,I28,92:92)-SUMIF(91:91,C28,92:92)+100</f>
        <v>100</v>
      </c>
      <c r="K28" s="582"/>
      <c r="L28" s="2133"/>
      <c r="M28" s="2134"/>
      <c r="N28" s="2134"/>
      <c r="O28" s="2134"/>
      <c r="P28" s="3395"/>
      <c r="Q28" s="1148" t="str">
        <f t="shared" si="11"/>
        <v>朝向</v>
      </c>
      <c r="R28" s="1566" t="s">
        <v>8</v>
      </c>
      <c r="S28" s="1567">
        <f>F28</f>
        <v>100</v>
      </c>
      <c r="T28" s="1566" t="s">
        <v>8</v>
      </c>
      <c r="U28" s="1567">
        <f>H28</f>
        <v>100</v>
      </c>
      <c r="V28" s="1566" t="s">
        <v>8</v>
      </c>
      <c r="W28" s="1567">
        <f>J28</f>
        <v>100</v>
      </c>
      <c r="X28" s="1568"/>
      <c r="Y28" s="3395"/>
      <c r="Z28" s="1147" t="str">
        <f>Q28</f>
        <v>朝向</v>
      </c>
      <c r="AA28" s="1574">
        <f>D28/F28</f>
        <v>1</v>
      </c>
      <c r="AB28" s="1574">
        <f>D28/H28</f>
        <v>1</v>
      </c>
      <c r="AC28" s="1574">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40"/>
      <c r="M29" s="2132"/>
      <c r="N29" s="2132"/>
      <c r="O29" s="2132"/>
      <c r="P29" s="3395"/>
      <c r="Q29" s="1570">
        <f t="shared" si="11"/>
        <v>111</v>
      </c>
      <c r="R29" s="1571" t="s">
        <v>8</v>
      </c>
      <c r="S29" s="1572">
        <f t="shared" ref="S29:S47" si="12">F29</f>
        <v>100</v>
      </c>
      <c r="T29" s="1571" t="s">
        <v>8</v>
      </c>
      <c r="U29" s="1572">
        <f t="shared" ref="U29:U47" si="13">H29</f>
        <v>100</v>
      </c>
      <c r="V29" s="1571" t="s">
        <v>8</v>
      </c>
      <c r="W29" s="1572">
        <f t="shared" ref="W29:W47" si="14">J29</f>
        <v>100</v>
      </c>
      <c r="X29" s="1565"/>
      <c r="Y29" s="3395"/>
      <c r="Z29" s="1573">
        <f t="shared" ref="Z29:Z47" si="15">Q29</f>
        <v>111</v>
      </c>
      <c r="AA29" s="1574">
        <f t="shared" si="3"/>
        <v>1</v>
      </c>
      <c r="AB29" s="1574">
        <f t="shared" si="4"/>
        <v>1</v>
      </c>
      <c r="AC29" s="1574">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40"/>
      <c r="M30" s="2132"/>
      <c r="N30" s="2132"/>
      <c r="O30" s="2132"/>
      <c r="P30" s="3395"/>
      <c r="Q30" s="1570">
        <f t="shared" si="11"/>
        <v>111</v>
      </c>
      <c r="R30" s="1571" t="s">
        <v>8</v>
      </c>
      <c r="S30" s="1572">
        <f t="shared" si="12"/>
        <v>100</v>
      </c>
      <c r="T30" s="1571" t="s">
        <v>8</v>
      </c>
      <c r="U30" s="1572">
        <f t="shared" si="13"/>
        <v>100</v>
      </c>
      <c r="V30" s="1571" t="s">
        <v>8</v>
      </c>
      <c r="W30" s="1572">
        <f t="shared" si="14"/>
        <v>100</v>
      </c>
      <c r="X30" s="1565"/>
      <c r="Y30" s="3395"/>
      <c r="Z30" s="1573">
        <f t="shared" si="15"/>
        <v>111</v>
      </c>
      <c r="AA30" s="1574">
        <f t="shared" si="3"/>
        <v>1</v>
      </c>
      <c r="AB30" s="1574">
        <f t="shared" si="4"/>
        <v>1</v>
      </c>
      <c r="AC30" s="1574">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40"/>
      <c r="M31" s="2132"/>
      <c r="N31" s="2132"/>
      <c r="O31" s="2132"/>
      <c r="P31" s="3395"/>
      <c r="Q31" s="1570">
        <f t="shared" si="11"/>
        <v>111</v>
      </c>
      <c r="R31" s="1571" t="s">
        <v>8</v>
      </c>
      <c r="S31" s="1572">
        <f t="shared" si="12"/>
        <v>100</v>
      </c>
      <c r="T31" s="1571" t="s">
        <v>8</v>
      </c>
      <c r="U31" s="1572">
        <f t="shared" si="13"/>
        <v>100</v>
      </c>
      <c r="V31" s="1571" t="s">
        <v>8</v>
      </c>
      <c r="W31" s="1572">
        <f t="shared" si="14"/>
        <v>100</v>
      </c>
      <c r="X31" s="1565"/>
      <c r="Y31" s="3395"/>
      <c r="Z31" s="1573">
        <f t="shared" si="15"/>
        <v>111</v>
      </c>
      <c r="AA31" s="1574">
        <f t="shared" si="3"/>
        <v>1</v>
      </c>
      <c r="AB31" s="1574">
        <f t="shared" si="4"/>
        <v>1</v>
      </c>
      <c r="AC31" s="1574">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40"/>
      <c r="M32" s="2132"/>
      <c r="N32" s="2132"/>
      <c r="O32" s="2132"/>
      <c r="P32" s="3395"/>
      <c r="Q32" s="1570">
        <f t="shared" si="11"/>
        <v>111</v>
      </c>
      <c r="R32" s="1571" t="s">
        <v>8</v>
      </c>
      <c r="S32" s="1572">
        <f t="shared" si="12"/>
        <v>100</v>
      </c>
      <c r="T32" s="1571" t="s">
        <v>8</v>
      </c>
      <c r="U32" s="1572">
        <f t="shared" si="13"/>
        <v>100</v>
      </c>
      <c r="V32" s="1571" t="s">
        <v>8</v>
      </c>
      <c r="W32" s="1572">
        <f t="shared" si="14"/>
        <v>100</v>
      </c>
      <c r="X32" s="1565"/>
      <c r="Y32" s="3395"/>
      <c r="Z32" s="1573">
        <f t="shared" si="15"/>
        <v>111</v>
      </c>
      <c r="AA32" s="1574">
        <f t="shared" si="3"/>
        <v>1</v>
      </c>
      <c r="AB32" s="1574">
        <f t="shared" si="4"/>
        <v>1</v>
      </c>
      <c r="AC32" s="1574">
        <f t="shared" si="5"/>
        <v>1</v>
      </c>
    </row>
    <row r="33" spans="1:29" ht="15">
      <c r="A33" s="2929" t="s">
        <v>2756</v>
      </c>
      <c r="B33" s="172" t="s">
        <v>779</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40"/>
      <c r="M33" s="2132"/>
      <c r="N33" s="2132"/>
      <c r="O33" s="2132"/>
      <c r="P33" s="3396" t="s">
        <v>550</v>
      </c>
      <c r="Q33" s="1570" t="str">
        <f t="shared" si="11"/>
        <v>建筑类型</v>
      </c>
      <c r="R33" s="1571" t="s">
        <v>8</v>
      </c>
      <c r="S33" s="1572">
        <f t="shared" si="12"/>
        <v>100</v>
      </c>
      <c r="T33" s="1571" t="s">
        <v>8</v>
      </c>
      <c r="U33" s="1572">
        <f t="shared" si="13"/>
        <v>100</v>
      </c>
      <c r="V33" s="1571" t="s">
        <v>8</v>
      </c>
      <c r="W33" s="1572">
        <f t="shared" si="14"/>
        <v>100</v>
      </c>
      <c r="X33" s="1565"/>
      <c r="Y33" s="3397" t="s">
        <v>550</v>
      </c>
      <c r="Z33" s="1573" t="str">
        <f t="shared" si="15"/>
        <v>建筑类型</v>
      </c>
      <c r="AA33" s="1574">
        <f t="shared" si="3"/>
        <v>1</v>
      </c>
      <c r="AB33" s="1574">
        <f t="shared" si="4"/>
        <v>1</v>
      </c>
      <c r="AC33" s="1574">
        <f t="shared" si="5"/>
        <v>1</v>
      </c>
    </row>
    <row r="34" spans="1:29" s="1336" customFormat="1" ht="15">
      <c r="A34" s="601"/>
      <c r="B34" s="525" t="s">
        <v>725</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397"/>
      <c r="Q34" s="1603" t="str">
        <f t="shared" si="11"/>
        <v>项目建筑规模</v>
      </c>
      <c r="R34" s="1575" t="s">
        <v>8</v>
      </c>
      <c r="S34" s="1576" t="e">
        <f t="shared" si="12"/>
        <v>#N/A</v>
      </c>
      <c r="T34" s="1575" t="s">
        <v>8</v>
      </c>
      <c r="U34" s="1576" t="e">
        <f t="shared" si="13"/>
        <v>#N/A</v>
      </c>
      <c r="V34" s="1575" t="s">
        <v>8</v>
      </c>
      <c r="W34" s="1576" t="e">
        <f t="shared" si="14"/>
        <v>#N/A</v>
      </c>
      <c r="X34" s="1577"/>
      <c r="Y34" s="3397"/>
      <c r="Z34" s="1578" t="str">
        <f t="shared" si="15"/>
        <v>项目建筑规模</v>
      </c>
      <c r="AA34" s="1574" t="e">
        <f t="shared" si="3"/>
        <v>#N/A</v>
      </c>
      <c r="AB34" s="1574" t="e">
        <f t="shared" si="4"/>
        <v>#N/A</v>
      </c>
      <c r="AC34" s="1574"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397"/>
      <c r="Q35" s="1570" t="str">
        <f t="shared" si="11"/>
        <v>建筑结构</v>
      </c>
      <c r="R35" s="1571" t="s">
        <v>8</v>
      </c>
      <c r="S35" s="1572">
        <f t="shared" si="12"/>
        <v>100</v>
      </c>
      <c r="T35" s="1571" t="s">
        <v>8</v>
      </c>
      <c r="U35" s="1572">
        <f t="shared" si="13"/>
        <v>100</v>
      </c>
      <c r="V35" s="1571" t="s">
        <v>8</v>
      </c>
      <c r="W35" s="1572">
        <f t="shared" si="14"/>
        <v>100</v>
      </c>
      <c r="X35" s="1565"/>
      <c r="Y35" s="3397"/>
      <c r="Z35" s="1573" t="str">
        <f t="shared" si="15"/>
        <v>建筑结构</v>
      </c>
      <c r="AA35" s="1574">
        <f t="shared" si="3"/>
        <v>1</v>
      </c>
      <c r="AB35" s="1574">
        <f t="shared" si="4"/>
        <v>1</v>
      </c>
      <c r="AC35" s="1574">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397"/>
      <c r="Q36" s="1570" t="str">
        <f t="shared" si="11"/>
        <v>公共部分装修</v>
      </c>
      <c r="R36" s="1571" t="s">
        <v>8</v>
      </c>
      <c r="S36" s="1572">
        <f t="shared" si="12"/>
        <v>100</v>
      </c>
      <c r="T36" s="1571" t="s">
        <v>8</v>
      </c>
      <c r="U36" s="1572">
        <f t="shared" si="13"/>
        <v>100</v>
      </c>
      <c r="V36" s="1571" t="s">
        <v>8</v>
      </c>
      <c r="W36" s="1572">
        <f t="shared" si="14"/>
        <v>100</v>
      </c>
      <c r="X36" s="1565"/>
      <c r="Y36" s="3397"/>
      <c r="Z36" s="1573" t="str">
        <f t="shared" si="15"/>
        <v>公共部分装修</v>
      </c>
      <c r="AA36" s="1574">
        <f t="shared" si="3"/>
        <v>1</v>
      </c>
      <c r="AB36" s="1574">
        <f t="shared" si="4"/>
        <v>1</v>
      </c>
      <c r="AC36" s="1574">
        <f t="shared" si="5"/>
        <v>1</v>
      </c>
    </row>
    <row r="37" spans="1:29" ht="15">
      <c r="A37" s="592"/>
      <c r="B37" s="525" t="s">
        <v>763</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40"/>
      <c r="M37" s="2132"/>
      <c r="N37" s="2132"/>
      <c r="O37" s="2132"/>
      <c r="P37" s="3397"/>
      <c r="Q37" s="1570" t="str">
        <f t="shared" si="11"/>
        <v>成新度</v>
      </c>
      <c r="R37" s="1571" t="s">
        <v>8</v>
      </c>
      <c r="S37" s="1572" t="e">
        <f t="shared" si="12"/>
        <v>#N/A</v>
      </c>
      <c r="T37" s="1571" t="s">
        <v>8</v>
      </c>
      <c r="U37" s="1572" t="e">
        <f t="shared" si="13"/>
        <v>#N/A</v>
      </c>
      <c r="V37" s="1571" t="s">
        <v>8</v>
      </c>
      <c r="W37" s="1572" t="e">
        <f t="shared" si="14"/>
        <v>#N/A</v>
      </c>
      <c r="X37" s="1565"/>
      <c r="Y37" s="3397"/>
      <c r="Z37" s="1573" t="str">
        <f t="shared" si="15"/>
        <v>成新度</v>
      </c>
      <c r="AA37" s="1574" t="e">
        <f t="shared" si="3"/>
        <v>#N/A</v>
      </c>
      <c r="AB37" s="1574" t="e">
        <f t="shared" si="4"/>
        <v>#N/A</v>
      </c>
      <c r="AC37" s="1574" t="e">
        <f t="shared" si="5"/>
        <v>#N/A</v>
      </c>
    </row>
    <row r="38" spans="1:29" s="1217"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397"/>
      <c r="Q38" s="1148" t="str">
        <f t="shared" si="11"/>
        <v>写字楼等级</v>
      </c>
      <c r="R38" s="1566" t="s">
        <v>8</v>
      </c>
      <c r="S38" s="1567">
        <f t="shared" si="12"/>
        <v>100</v>
      </c>
      <c r="T38" s="1566" t="s">
        <v>8</v>
      </c>
      <c r="U38" s="1567">
        <f t="shared" si="13"/>
        <v>100</v>
      </c>
      <c r="V38" s="1566" t="s">
        <v>8</v>
      </c>
      <c r="W38" s="1567">
        <f t="shared" si="14"/>
        <v>100</v>
      </c>
      <c r="X38" s="1568"/>
      <c r="Y38" s="3397"/>
      <c r="Z38" s="1147" t="str">
        <f t="shared" si="15"/>
        <v>写字楼等级</v>
      </c>
      <c r="AA38" s="1569">
        <f t="shared" si="3"/>
        <v>1</v>
      </c>
      <c r="AB38" s="1569">
        <f t="shared" si="4"/>
        <v>1</v>
      </c>
      <c r="AC38" s="1569">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397" t="s">
        <v>550</v>
      </c>
      <c r="Q39" s="1570" t="str">
        <f t="shared" si="11"/>
        <v>物业管理</v>
      </c>
      <c r="R39" s="1571" t="s">
        <v>8</v>
      </c>
      <c r="S39" s="1572">
        <f t="shared" si="12"/>
        <v>100</v>
      </c>
      <c r="T39" s="1571" t="s">
        <v>8</v>
      </c>
      <c r="U39" s="1572">
        <f t="shared" si="13"/>
        <v>100</v>
      </c>
      <c r="V39" s="1571" t="s">
        <v>8</v>
      </c>
      <c r="W39" s="1572">
        <f t="shared" si="14"/>
        <v>100</v>
      </c>
      <c r="X39" s="1565"/>
      <c r="Y39" s="3397" t="s">
        <v>550</v>
      </c>
      <c r="Z39" s="1573" t="str">
        <f t="shared" si="15"/>
        <v>物业管理</v>
      </c>
      <c r="AA39" s="1574">
        <f t="shared" si="3"/>
        <v>1</v>
      </c>
      <c r="AB39" s="1574">
        <f t="shared" si="4"/>
        <v>1</v>
      </c>
      <c r="AC39" s="1574">
        <f t="shared" si="5"/>
        <v>1</v>
      </c>
    </row>
    <row r="40" spans="1:29" ht="15">
      <c r="A40" s="592"/>
      <c r="B40" s="1893"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397"/>
      <c r="Q40" s="1570" t="str">
        <f t="shared" si="11"/>
        <v>市政基础设施</v>
      </c>
      <c r="R40" s="1571" t="s">
        <v>8</v>
      </c>
      <c r="S40" s="1572">
        <f t="shared" si="12"/>
        <v>100</v>
      </c>
      <c r="T40" s="1571" t="s">
        <v>8</v>
      </c>
      <c r="U40" s="1572">
        <f t="shared" si="13"/>
        <v>100</v>
      </c>
      <c r="V40" s="1571" t="s">
        <v>8</v>
      </c>
      <c r="W40" s="1572">
        <f t="shared" si="14"/>
        <v>100</v>
      </c>
      <c r="X40" s="1565"/>
      <c r="Y40" s="3397"/>
      <c r="Z40" s="1573" t="str">
        <f t="shared" si="15"/>
        <v>市政基础设施</v>
      </c>
      <c r="AA40" s="1574">
        <f t="shared" si="3"/>
        <v>1</v>
      </c>
      <c r="AB40" s="1574">
        <f t="shared" si="4"/>
        <v>1</v>
      </c>
      <c r="AC40" s="1574">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397"/>
      <c r="Q41" s="1570" t="str">
        <f t="shared" si="11"/>
        <v>层高</v>
      </c>
      <c r="R41" s="1571" t="s">
        <v>8</v>
      </c>
      <c r="S41" s="1572">
        <f t="shared" si="12"/>
        <v>100</v>
      </c>
      <c r="T41" s="1571" t="s">
        <v>8</v>
      </c>
      <c r="U41" s="1572">
        <f t="shared" si="13"/>
        <v>100</v>
      </c>
      <c r="V41" s="1571" t="s">
        <v>8</v>
      </c>
      <c r="W41" s="1572">
        <f t="shared" si="14"/>
        <v>100</v>
      </c>
      <c r="X41" s="1565"/>
      <c r="Y41" s="3397"/>
      <c r="Z41" s="1573" t="str">
        <f t="shared" si="15"/>
        <v>层高</v>
      </c>
      <c r="AA41" s="1574">
        <f t="shared" si="3"/>
        <v>1</v>
      </c>
      <c r="AB41" s="1574">
        <f t="shared" si="4"/>
        <v>1</v>
      </c>
      <c r="AC41" s="1574">
        <f t="shared" si="5"/>
        <v>1</v>
      </c>
    </row>
    <row r="42" spans="1:29" s="1336" customFormat="1" ht="15">
      <c r="A42" s="601"/>
      <c r="B42" s="901"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397"/>
      <c r="Q42" s="1603" t="str">
        <f t="shared" si="11"/>
        <v>单套建筑面积</v>
      </c>
      <c r="R42" s="1575" t="s">
        <v>8</v>
      </c>
      <c r="S42" s="1576">
        <f t="shared" si="12"/>
        <v>100</v>
      </c>
      <c r="T42" s="1575" t="s">
        <v>8</v>
      </c>
      <c r="U42" s="1576">
        <f t="shared" si="13"/>
        <v>100</v>
      </c>
      <c r="V42" s="1575" t="s">
        <v>8</v>
      </c>
      <c r="W42" s="1576">
        <f t="shared" si="14"/>
        <v>100</v>
      </c>
      <c r="X42" s="1577"/>
      <c r="Y42" s="3397"/>
      <c r="Z42" s="1578" t="str">
        <f t="shared" si="15"/>
        <v>单套建筑面积</v>
      </c>
      <c r="AA42" s="1574">
        <f t="shared" si="3"/>
        <v>1</v>
      </c>
      <c r="AB42" s="1574">
        <f t="shared" si="4"/>
        <v>1</v>
      </c>
      <c r="AC42" s="1574">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397"/>
      <c r="Q43" s="1570" t="str">
        <f t="shared" si="11"/>
        <v>内部装修</v>
      </c>
      <c r="R43" s="1571" t="s">
        <v>8</v>
      </c>
      <c r="S43" s="1572">
        <f t="shared" si="12"/>
        <v>100</v>
      </c>
      <c r="T43" s="1571" t="s">
        <v>8</v>
      </c>
      <c r="U43" s="1572">
        <f t="shared" si="13"/>
        <v>100</v>
      </c>
      <c r="V43" s="1571" t="s">
        <v>8</v>
      </c>
      <c r="W43" s="1572">
        <f t="shared" si="14"/>
        <v>100</v>
      </c>
      <c r="X43" s="1565"/>
      <c r="Y43" s="3397"/>
      <c r="Z43" s="1573" t="str">
        <f t="shared" si="15"/>
        <v>内部装修</v>
      </c>
      <c r="AA43" s="1574">
        <f t="shared" si="3"/>
        <v>1</v>
      </c>
      <c r="AB43" s="1574">
        <f t="shared" si="4"/>
        <v>1</v>
      </c>
      <c r="AC43" s="1574">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397"/>
      <c r="Q44" s="1570" t="str">
        <f t="shared" si="11"/>
        <v>内部装修维护情况</v>
      </c>
      <c r="R44" s="1571" t="s">
        <v>8</v>
      </c>
      <c r="S44" s="1572">
        <f t="shared" si="12"/>
        <v>100</v>
      </c>
      <c r="T44" s="1571" t="s">
        <v>8</v>
      </c>
      <c r="U44" s="1572">
        <f t="shared" si="13"/>
        <v>100</v>
      </c>
      <c r="V44" s="1571" t="s">
        <v>8</v>
      </c>
      <c r="W44" s="1572">
        <f t="shared" si="14"/>
        <v>100</v>
      </c>
      <c r="X44" s="1565"/>
      <c r="Y44" s="3397"/>
      <c r="Z44" s="1573" t="str">
        <f t="shared" si="15"/>
        <v>内部装修维护情况</v>
      </c>
      <c r="AA44" s="1574">
        <f t="shared" si="3"/>
        <v>1</v>
      </c>
      <c r="AB44" s="1574">
        <f t="shared" si="4"/>
        <v>1</v>
      </c>
      <c r="AC44" s="1574">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397"/>
      <c r="Q45" s="1148">
        <f t="shared" si="11"/>
        <v>111</v>
      </c>
      <c r="R45" s="1566" t="s">
        <v>8</v>
      </c>
      <c r="S45" s="1567">
        <f t="shared" si="12"/>
        <v>100</v>
      </c>
      <c r="T45" s="1566" t="s">
        <v>8</v>
      </c>
      <c r="U45" s="1567">
        <f t="shared" si="13"/>
        <v>100</v>
      </c>
      <c r="V45" s="1566" t="s">
        <v>8</v>
      </c>
      <c r="W45" s="1567">
        <f t="shared" si="14"/>
        <v>100</v>
      </c>
      <c r="X45" s="1568"/>
      <c r="Y45" s="3397"/>
      <c r="Z45" s="1147">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397"/>
      <c r="Q46" s="1570">
        <f t="shared" si="11"/>
        <v>111</v>
      </c>
      <c r="R46" s="1571" t="s">
        <v>8</v>
      </c>
      <c r="S46" s="1572">
        <f t="shared" si="12"/>
        <v>100</v>
      </c>
      <c r="T46" s="1571" t="s">
        <v>8</v>
      </c>
      <c r="U46" s="1572">
        <f t="shared" si="13"/>
        <v>100</v>
      </c>
      <c r="V46" s="1571" t="s">
        <v>8</v>
      </c>
      <c r="W46" s="1572">
        <f t="shared" si="14"/>
        <v>100</v>
      </c>
      <c r="X46" s="1565"/>
      <c r="Y46" s="3397"/>
      <c r="Z46" s="1573">
        <f t="shared" si="15"/>
        <v>111</v>
      </c>
      <c r="AA46" s="1574">
        <f t="shared" si="3"/>
        <v>1</v>
      </c>
      <c r="AB46" s="1574">
        <f t="shared" si="4"/>
        <v>1</v>
      </c>
      <c r="AC46" s="1574">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73"/>
      <c r="Q47" s="1570">
        <f t="shared" si="11"/>
        <v>111</v>
      </c>
      <c r="R47" s="1571" t="s">
        <v>8</v>
      </c>
      <c r="S47" s="1572">
        <f t="shared" si="12"/>
        <v>100</v>
      </c>
      <c r="T47" s="1571" t="s">
        <v>8</v>
      </c>
      <c r="U47" s="1572">
        <f t="shared" si="13"/>
        <v>100</v>
      </c>
      <c r="V47" s="1571" t="s">
        <v>8</v>
      </c>
      <c r="W47" s="1572">
        <f t="shared" si="14"/>
        <v>100</v>
      </c>
      <c r="X47" s="1565"/>
      <c r="Y47" s="3473"/>
      <c r="Z47" s="1573">
        <f t="shared" si="15"/>
        <v>111</v>
      </c>
      <c r="AA47" s="1574">
        <f t="shared" si="3"/>
        <v>1</v>
      </c>
      <c r="AB47" s="1574">
        <f t="shared" si="4"/>
        <v>1</v>
      </c>
      <c r="AC47" s="1574">
        <f t="shared" si="5"/>
        <v>1</v>
      </c>
    </row>
    <row r="48" spans="1:29" ht="15">
      <c r="A48" s="605" t="s">
        <v>735</v>
      </c>
      <c r="B48" s="884"/>
      <c r="C48" s="2649" t="s">
        <v>1</v>
      </c>
      <c r="D48" s="2650"/>
      <c r="E48" s="2651"/>
      <c r="F48" s="2652"/>
      <c r="G48" s="2653"/>
      <c r="H48" s="2654"/>
      <c r="I48" s="2651"/>
      <c r="J48" s="2654"/>
      <c r="K48" s="1609"/>
      <c r="L48" s="2142"/>
      <c r="M48" s="2132"/>
      <c r="N48" s="2132"/>
      <c r="O48" s="2132"/>
      <c r="P48" s="3415" t="str">
        <f>A48</f>
        <v>成交单价（元/平方米）</v>
      </c>
      <c r="Q48" s="3392"/>
      <c r="R48" s="3472">
        <f>E48</f>
        <v>0</v>
      </c>
      <c r="S48" s="3472"/>
      <c r="T48" s="3472">
        <f>G48</f>
        <v>0</v>
      </c>
      <c r="U48" s="3472"/>
      <c r="V48" s="3472">
        <f>I48</f>
        <v>0</v>
      </c>
      <c r="W48" s="3472"/>
      <c r="X48" s="1557"/>
      <c r="Y48" s="1579"/>
      <c r="Z48" s="1557"/>
      <c r="AA48" s="1557"/>
      <c r="AB48" s="1557"/>
      <c r="AC48" s="1557"/>
    </row>
    <row r="49" spans="1:29" ht="15.75" thickBot="1">
      <c r="A49" s="613" t="s">
        <v>2761</v>
      </c>
      <c r="B49" s="885"/>
      <c r="C49" s="2655" t="e">
        <f>R50</f>
        <v>#DIV/0!</v>
      </c>
      <c r="D49" s="2656"/>
      <c r="E49" s="2657" t="e">
        <f>R49</f>
        <v>#DIV/0!</v>
      </c>
      <c r="F49" s="2657"/>
      <c r="G49" s="2655" t="e">
        <f>T49</f>
        <v>#DIV/0!</v>
      </c>
      <c r="H49" s="2656"/>
      <c r="I49" s="2657" t="e">
        <f>V49</f>
        <v>#DIV/0!</v>
      </c>
      <c r="J49" s="2656"/>
      <c r="K49" s="1610"/>
      <c r="L49" s="2142"/>
      <c r="M49" s="2132"/>
      <c r="N49" s="2132"/>
      <c r="O49" s="2132"/>
      <c r="P49" s="3415" t="str">
        <f>A49</f>
        <v>比较价格（元/平方米）</v>
      </c>
      <c r="Q49" s="3392"/>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57"/>
      <c r="Y49" s="1557"/>
      <c r="Z49" s="1557"/>
      <c r="AA49" s="1557"/>
      <c r="AB49" s="1557"/>
      <c r="AC49" s="1557"/>
    </row>
    <row r="50" spans="1:29" ht="15.75" thickBot="1">
      <c r="A50" s="619" t="s">
        <v>2935</v>
      </c>
      <c r="B50" s="620"/>
      <c r="C50" s="2658" t="e">
        <f>R50</f>
        <v>#DIV/0!</v>
      </c>
      <c r="D50" s="2658"/>
      <c r="E50" s="2658"/>
      <c r="F50" s="2658"/>
      <c r="G50" s="2658"/>
      <c r="H50" s="2658"/>
      <c r="I50" s="2658"/>
      <c r="J50" s="2658"/>
      <c r="K50" s="1611"/>
      <c r="L50" s="2142"/>
      <c r="M50" s="2132"/>
      <c r="N50" s="2132"/>
      <c r="O50" s="2132"/>
      <c r="P50" s="3500" t="str">
        <f>A50</f>
        <v>估价对象XX用房的比较价格（楼面单价，元/平方米）</v>
      </c>
      <c r="Q50" s="3415"/>
      <c r="R50" s="3471" t="e">
        <f>IF(F1="售价",ROUND(AVERAGE(R49:V49),0),ROUND(AVERAGE(R49:V49),1))</f>
        <v>#DIV/0!</v>
      </c>
      <c r="S50" s="3471"/>
      <c r="T50" s="3471"/>
      <c r="U50" s="3471"/>
      <c r="V50" s="3471"/>
      <c r="W50" s="3471"/>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7"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7"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7"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7"/>
      <c r="B63" s="646"/>
      <c r="C63" s="886">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736</v>
      </c>
      <c r="D66" s="672" t="s">
        <v>737</v>
      </c>
      <c r="E66" s="672" t="s">
        <v>738</v>
      </c>
      <c r="F66" s="672" t="s">
        <v>739</v>
      </c>
      <c r="G66" s="672" t="s">
        <v>740</v>
      </c>
      <c r="H66" s="672" t="s">
        <v>741</v>
      </c>
      <c r="I66" s="672" t="s">
        <v>742</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2558</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9" t="s">
        <v>2559</v>
      </c>
      <c r="C83" s="2620" t="s">
        <v>2560</v>
      </c>
      <c r="D83" s="2620" t="s">
        <v>2561</v>
      </c>
      <c r="E83" s="2620" t="s">
        <v>2562</v>
      </c>
      <c r="F83" s="2620" t="s">
        <v>2563</v>
      </c>
      <c r="G83" s="2620" t="s">
        <v>2564</v>
      </c>
      <c r="H83" s="672"/>
      <c r="I83" s="672"/>
      <c r="J83" s="672"/>
      <c r="K83" s="672"/>
      <c r="L83" s="672"/>
      <c r="M83" s="2623"/>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783</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7"/>
      <c r="B87" s="671" t="s">
        <v>784</v>
      </c>
      <c r="C87" s="686"/>
      <c r="D87" s="686"/>
      <c r="E87" s="686"/>
      <c r="F87" s="686"/>
      <c r="G87" s="686"/>
      <c r="H87" s="686"/>
      <c r="I87" s="686"/>
      <c r="J87" s="686"/>
      <c r="K87" s="686"/>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7"/>
      <c r="B89" s="671" t="str">
        <f>B27</f>
        <v>楼层</v>
      </c>
      <c r="C89" s="686"/>
      <c r="D89" s="686"/>
      <c r="E89" s="686"/>
      <c r="F89" s="889"/>
      <c r="G89" s="686"/>
      <c r="H89" s="686"/>
      <c r="I89" s="686"/>
      <c r="J89" s="686"/>
      <c r="K89" s="686"/>
      <c r="L89" s="686"/>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0"/>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746</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748</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750</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6"/>
      <c r="B113" s="671" t="s">
        <v>785</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752</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2557</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4" t="s">
        <v>786</v>
      </c>
      <c r="C119" s="716"/>
      <c r="D119" s="716"/>
      <c r="E119" s="716"/>
      <c r="F119" s="716"/>
      <c r="G119" s="716"/>
      <c r="H119" s="716"/>
      <c r="I119" s="716"/>
      <c r="J119" s="716"/>
      <c r="K119" s="716"/>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6"/>
      <c r="B121" s="671" t="s">
        <v>774</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754</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755</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787</v>
      </c>
      <c r="C1" s="502" t="s">
        <v>720</v>
      </c>
      <c r="D1" s="847"/>
      <c r="E1" s="504"/>
      <c r="F1" s="2829"/>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3" customFormat="1" ht="28.5" customHeight="1">
      <c r="A2" s="421" t="s">
        <v>467</v>
      </c>
      <c r="B2" s="848"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6"/>
    </row>
    <row r="3" spans="1:29" s="1333"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521</v>
      </c>
      <c r="B4" s="511"/>
      <c r="C4" s="3398" t="s">
        <v>522</v>
      </c>
      <c r="D4" s="3399"/>
      <c r="E4" s="3423" t="s">
        <v>523</v>
      </c>
      <c r="F4" s="3424"/>
      <c r="G4" s="3398" t="s">
        <v>524</v>
      </c>
      <c r="H4" s="3399"/>
      <c r="I4" s="3398" t="s">
        <v>525</v>
      </c>
      <c r="J4" s="3399"/>
      <c r="K4" s="512"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382" t="s">
        <v>524</v>
      </c>
      <c r="AC4" s="3381" t="s">
        <v>525</v>
      </c>
    </row>
    <row r="5" spans="1:29" ht="15">
      <c r="A5" s="513"/>
      <c r="B5" s="514"/>
      <c r="C5" s="3427" t="s">
        <v>2929</v>
      </c>
      <c r="D5" s="3410"/>
      <c r="E5" s="3425" t="s">
        <v>2930</v>
      </c>
      <c r="F5" s="3426"/>
      <c r="G5" s="3427" t="s">
        <v>2931</v>
      </c>
      <c r="H5" s="3410"/>
      <c r="I5" s="3427" t="s">
        <v>2932</v>
      </c>
      <c r="J5" s="3410"/>
      <c r="K5" s="512"/>
      <c r="L5" s="2131"/>
      <c r="M5" s="2132"/>
      <c r="N5" s="2132"/>
      <c r="O5" s="2132"/>
      <c r="P5" s="3402"/>
      <c r="Q5" s="3403"/>
      <c r="R5" s="3388"/>
      <c r="S5" s="3389"/>
      <c r="T5" s="3388"/>
      <c r="U5" s="3389"/>
      <c r="V5" s="3406"/>
      <c r="W5" s="3406"/>
      <c r="X5" s="1565"/>
      <c r="Y5" s="3388"/>
      <c r="Z5" s="3389"/>
      <c r="AA5" s="3382"/>
      <c r="AB5" s="3382"/>
      <c r="AC5" s="3382"/>
    </row>
    <row r="6" spans="1:29" ht="15.75" thickBot="1">
      <c r="A6" s="515"/>
      <c r="B6" s="516"/>
      <c r="C6" s="3407" t="s">
        <v>2933</v>
      </c>
      <c r="D6" s="3408"/>
      <c r="E6" s="3428" t="s">
        <v>2933</v>
      </c>
      <c r="F6" s="3429"/>
      <c r="G6" s="3407" t="s">
        <v>2933</v>
      </c>
      <c r="H6" s="3408"/>
      <c r="I6" s="3407" t="s">
        <v>2933</v>
      </c>
      <c r="J6" s="3408"/>
      <c r="K6" s="512"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934"/>
      <c r="B7" s="2941" t="s">
        <v>529</v>
      </c>
      <c r="C7" s="517">
        <f>'数据-取费表'!B2</f>
        <v>43239</v>
      </c>
      <c r="D7" s="518">
        <v>100</v>
      </c>
      <c r="E7" s="519"/>
      <c r="F7" s="520">
        <f>SUMIF(52:52,YEAR(E7)&amp;"-"&amp;MONTH(E7),53:53)</f>
        <v>0</v>
      </c>
      <c r="G7" s="519"/>
      <c r="H7" s="518">
        <f>SUMIF(52:52,YEAR(G7)&amp;"-"&amp;MONTH(G7),53:53)</f>
        <v>0</v>
      </c>
      <c r="I7" s="519"/>
      <c r="J7" s="518">
        <f>SUMIF(52:52,YEAR(I7)&amp;"-"&amp;MONTH(I7),53:53)</f>
        <v>0</v>
      </c>
      <c r="K7" s="522"/>
      <c r="L7" s="2133"/>
      <c r="M7" s="2134"/>
      <c r="N7" s="2134"/>
      <c r="O7" s="2134"/>
      <c r="P7" s="3384" t="s">
        <v>530</v>
      </c>
      <c r="Q7" s="3393"/>
      <c r="R7" s="1566" t="s">
        <v>8</v>
      </c>
      <c r="S7" s="1567">
        <f t="shared" ref="S7:S15" si="0">F7</f>
        <v>0</v>
      </c>
      <c r="T7" s="1566" t="s">
        <v>8</v>
      </c>
      <c r="U7" s="1567">
        <f t="shared" ref="U7:U15" si="1">H7</f>
        <v>0</v>
      </c>
      <c r="V7" s="1566" t="s">
        <v>8</v>
      </c>
      <c r="W7" s="1567">
        <f t="shared" ref="W7:W15" si="2">J7</f>
        <v>0</v>
      </c>
      <c r="X7" s="1568"/>
      <c r="Y7" s="3384" t="s">
        <v>530</v>
      </c>
      <c r="Z7" s="3385"/>
      <c r="AA7" s="1569" t="e">
        <f>D7/F7</f>
        <v>#DIV/0!</v>
      </c>
      <c r="AB7" s="1569" t="e">
        <f>D7/H7</f>
        <v>#DIV/0!</v>
      </c>
      <c r="AC7" s="1569" t="e">
        <f>D7/J7</f>
        <v>#DIV/0!</v>
      </c>
    </row>
    <row r="8" spans="1:29" s="1217"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40" si="3">D8/F8</f>
        <v>#DIV/0!</v>
      </c>
      <c r="AB8" s="1569" t="e">
        <f t="shared" ref="AB8:AB40" si="4">D8/H8</f>
        <v>#DIV/0!</v>
      </c>
      <c r="AC8" s="1569" t="e">
        <f t="shared" ref="AC8:AC40" si="5">D8/J8</f>
        <v>#DIV/0!</v>
      </c>
    </row>
    <row r="9" spans="1:29" s="1217" customFormat="1" ht="15">
      <c r="A9" s="2936"/>
      <c r="B9" s="2943" t="s">
        <v>2757</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92" t="s">
        <v>535</v>
      </c>
      <c r="Q9" s="1148" t="str">
        <f t="shared" ref="Q9:Q15" si="6">B9</f>
        <v>用途</v>
      </c>
      <c r="R9" s="1566" t="s">
        <v>8</v>
      </c>
      <c r="S9" s="1567">
        <f t="shared" si="0"/>
        <v>100</v>
      </c>
      <c r="T9" s="1566" t="s">
        <v>8</v>
      </c>
      <c r="U9" s="1567">
        <f t="shared" si="1"/>
        <v>100</v>
      </c>
      <c r="V9" s="1566" t="s">
        <v>8</v>
      </c>
      <c r="W9" s="1567">
        <f t="shared" si="2"/>
        <v>100</v>
      </c>
      <c r="X9" s="1568"/>
      <c r="Y9" s="3349" t="s">
        <v>536</v>
      </c>
      <c r="Z9" s="1147" t="str">
        <f t="shared" ref="Z9:Z15" si="7">Q9</f>
        <v>用途</v>
      </c>
      <c r="AA9" s="1569">
        <f t="shared" si="3"/>
        <v>1</v>
      </c>
      <c r="AB9" s="1569">
        <f t="shared" si="4"/>
        <v>1</v>
      </c>
      <c r="AC9" s="1569">
        <f t="shared" si="5"/>
        <v>1</v>
      </c>
    </row>
    <row r="10" spans="1:29" s="1335" customFormat="1" ht="27">
      <c r="A10" s="2937"/>
      <c r="B10" s="2942" t="s">
        <v>2758</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9"/>
      <c r="Z10" s="1147" t="str">
        <f t="shared" si="7"/>
        <v>土地使用年限（年）</v>
      </c>
      <c r="AA10" s="1569">
        <f t="shared" si="3"/>
        <v>1</v>
      </c>
      <c r="AB10" s="1569">
        <f t="shared" si="4"/>
        <v>1</v>
      </c>
      <c r="AC10" s="1569">
        <f t="shared" si="5"/>
        <v>1</v>
      </c>
    </row>
    <row r="11" spans="1:29" ht="15">
      <c r="A11" s="2938"/>
      <c r="B11" s="2942"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92"/>
      <c r="Q11" s="1148" t="str">
        <f t="shared" si="6"/>
        <v>容积率</v>
      </c>
      <c r="R11" s="1566" t="s">
        <v>8</v>
      </c>
      <c r="S11" s="1567" t="e">
        <f t="shared" si="0"/>
        <v>#N/A</v>
      </c>
      <c r="T11" s="1566" t="s">
        <v>8</v>
      </c>
      <c r="U11" s="1567" t="e">
        <f t="shared" si="1"/>
        <v>#N/A</v>
      </c>
      <c r="V11" s="1566" t="s">
        <v>8</v>
      </c>
      <c r="W11" s="1567" t="e">
        <f t="shared" si="2"/>
        <v>#N/A</v>
      </c>
      <c r="X11" s="1568"/>
      <c r="Y11" s="3349"/>
      <c r="Z11" s="1147" t="str">
        <f t="shared" si="7"/>
        <v>容积率</v>
      </c>
      <c r="AA11" s="1569" t="e">
        <f t="shared" si="3"/>
        <v>#N/A</v>
      </c>
      <c r="AB11" s="1569" t="e">
        <f t="shared" si="4"/>
        <v>#N/A</v>
      </c>
      <c r="AC11" s="1569" t="e">
        <f t="shared" si="5"/>
        <v>#N/A</v>
      </c>
    </row>
    <row r="12" spans="1:29" s="1217" customFormat="1" ht="15">
      <c r="A12" s="2939"/>
      <c r="B12" s="2945">
        <v>111</v>
      </c>
      <c r="C12" s="526"/>
      <c r="D12" s="536">
        <v>100</v>
      </c>
      <c r="E12" s="537"/>
      <c r="F12" s="253">
        <f>SUMIF(64:64,E12,65:65)-SUMIF(64:64,C12,65:65)+100</f>
        <v>100</v>
      </c>
      <c r="G12" s="917"/>
      <c r="H12" s="253">
        <f>SUMIF(64:64,G12,65:65)-SUMIF(64:64,C12,65:65)+100</f>
        <v>100</v>
      </c>
      <c r="I12" s="877"/>
      <c r="J12" s="253">
        <f>SUMIF(64:64,I12,65:65)-SUMIF(64:64,C12,65:65)+100</f>
        <v>100</v>
      </c>
      <c r="K12" s="579"/>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9"/>
      <c r="Z12" s="1147">
        <f t="shared" si="7"/>
        <v>111</v>
      </c>
      <c r="AA12" s="1569">
        <f>D12/F12</f>
        <v>1</v>
      </c>
      <c r="AB12" s="1569">
        <f>D12/H12</f>
        <v>1</v>
      </c>
      <c r="AC12" s="1569">
        <f>D12/J12</f>
        <v>1</v>
      </c>
    </row>
    <row r="13" spans="1:29" ht="15">
      <c r="A13" s="2939"/>
      <c r="B13" s="2945">
        <v>111</v>
      </c>
      <c r="C13" s="537"/>
      <c r="D13" s="538">
        <v>100</v>
      </c>
      <c r="E13" s="537"/>
      <c r="F13" s="253">
        <f>SUMIF(66:66,E13,67:67)-SUMIF(66:66,C13,67:67)+100</f>
        <v>100</v>
      </c>
      <c r="G13" s="917"/>
      <c r="H13" s="538">
        <f>SUMIF(66:66,G13,67:67)-SUMIF(66:66,C13,67:67)+100</f>
        <v>100</v>
      </c>
      <c r="I13" s="877"/>
      <c r="J13" s="538">
        <f>SUMIF(66:66,I13,67:67)-SUMIF(66:66,C13,67:67)+100</f>
        <v>100</v>
      </c>
      <c r="K13" s="579"/>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9"/>
      <c r="Z13" s="1147">
        <f t="shared" si="7"/>
        <v>111</v>
      </c>
      <c r="AA13" s="1569">
        <f t="shared" si="3"/>
        <v>1</v>
      </c>
      <c r="AB13" s="1569">
        <f t="shared" si="4"/>
        <v>1</v>
      </c>
      <c r="AC13" s="1569">
        <f t="shared" si="5"/>
        <v>1</v>
      </c>
    </row>
    <row r="14" spans="1:29" ht="15.75" thickBot="1">
      <c r="A14" s="2940"/>
      <c r="B14" s="2946">
        <v>111</v>
      </c>
      <c r="C14" s="543"/>
      <c r="D14" s="544">
        <v>100</v>
      </c>
      <c r="E14" s="543"/>
      <c r="F14" s="544">
        <f>SUMIF(68:68,E14,69:69)-SUMIF(68:68,C14,69:69)+100</f>
        <v>100</v>
      </c>
      <c r="G14" s="917"/>
      <c r="H14" s="544">
        <f>SUMIF(68:68,G14,69:69)-SUMIF(68:68,C14,69:69)+100</f>
        <v>100</v>
      </c>
      <c r="I14" s="877"/>
      <c r="J14" s="544">
        <f>SUMIF(68:68,I14,69:69)-SUMIF(68:68,C14,69:69)+100</f>
        <v>100</v>
      </c>
      <c r="K14" s="579"/>
      <c r="L14" s="2140"/>
      <c r="M14" s="2132"/>
      <c r="N14" s="2132"/>
      <c r="O14" s="2139"/>
      <c r="P14" s="3392"/>
      <c r="Q14" s="1148">
        <f t="shared" si="6"/>
        <v>111</v>
      </c>
      <c r="R14" s="1566" t="s">
        <v>8</v>
      </c>
      <c r="S14" s="1567">
        <f t="shared" si="0"/>
        <v>100</v>
      </c>
      <c r="T14" s="1566" t="s">
        <v>8</v>
      </c>
      <c r="U14" s="1567">
        <f t="shared" si="1"/>
        <v>100</v>
      </c>
      <c r="V14" s="1566" t="s">
        <v>8</v>
      </c>
      <c r="W14" s="1567">
        <f t="shared" si="2"/>
        <v>100</v>
      </c>
      <c r="X14" s="1568"/>
      <c r="Y14" s="3349"/>
      <c r="Z14" s="1147">
        <f t="shared" si="7"/>
        <v>111</v>
      </c>
      <c r="AA14" s="1569">
        <f t="shared" si="3"/>
        <v>1</v>
      </c>
      <c r="AB14" s="1569">
        <f t="shared" si="4"/>
        <v>1</v>
      </c>
      <c r="AC14" s="1569">
        <f t="shared" si="5"/>
        <v>1</v>
      </c>
    </row>
    <row r="15" spans="1:29" ht="57">
      <c r="A15" s="2932" t="s">
        <v>2755</v>
      </c>
      <c r="B15" s="166" t="s">
        <v>788</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40"/>
      <c r="M15" s="2132"/>
      <c r="N15" s="2132"/>
      <c r="O15" s="2139"/>
      <c r="P15" s="3394" t="s">
        <v>540</v>
      </c>
      <c r="Q15" s="1570" t="str">
        <f t="shared" si="6"/>
        <v>产业集聚程度</v>
      </c>
      <c r="R15" s="1571" t="s">
        <v>8</v>
      </c>
      <c r="S15" s="1572">
        <f t="shared" si="0"/>
        <v>100</v>
      </c>
      <c r="T15" s="1571" t="s">
        <v>8</v>
      </c>
      <c r="U15" s="1572">
        <f t="shared" si="1"/>
        <v>100</v>
      </c>
      <c r="V15" s="1571" t="s">
        <v>8</v>
      </c>
      <c r="W15" s="1572">
        <f t="shared" si="2"/>
        <v>100</v>
      </c>
      <c r="X15" s="1565"/>
      <c r="Y15" s="3394"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6"/>
      <c r="L16" s="2140"/>
      <c r="M16" s="2132"/>
      <c r="N16" s="2132"/>
      <c r="O16" s="2139"/>
      <c r="P16" s="3395"/>
      <c r="Q16" s="1570"/>
      <c r="R16" s="1571"/>
      <c r="S16" s="1572"/>
      <c r="T16" s="1571"/>
      <c r="U16" s="1572"/>
      <c r="V16" s="1571"/>
      <c r="W16" s="1572"/>
      <c r="X16" s="1565"/>
      <c r="Y16" s="3395"/>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40"/>
      <c r="M17" s="2132"/>
      <c r="N17" s="2132"/>
      <c r="O17" s="2139"/>
      <c r="P17" s="3395"/>
      <c r="Q17" s="1570" t="str">
        <f>B17</f>
        <v>交通便捷度</v>
      </c>
      <c r="R17" s="1571" t="s">
        <v>8</v>
      </c>
      <c r="S17" s="1572">
        <f>F17</f>
        <v>100</v>
      </c>
      <c r="T17" s="1571" t="s">
        <v>8</v>
      </c>
      <c r="U17" s="1572">
        <f>H17</f>
        <v>100</v>
      </c>
      <c r="V17" s="1571" t="s">
        <v>8</v>
      </c>
      <c r="W17" s="1572">
        <f>J17</f>
        <v>100</v>
      </c>
      <c r="X17" s="1565"/>
      <c r="Y17" s="3395"/>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6"/>
      <c r="L18" s="2140"/>
      <c r="M18" s="2132"/>
      <c r="N18" s="2132"/>
      <c r="O18" s="2139"/>
      <c r="P18" s="3395"/>
      <c r="Q18" s="1570"/>
      <c r="R18" s="1571"/>
      <c r="S18" s="1572"/>
      <c r="T18" s="1571"/>
      <c r="U18" s="1572"/>
      <c r="V18" s="1571"/>
      <c r="W18" s="1572"/>
      <c r="X18" s="1565"/>
      <c r="Y18" s="3395"/>
      <c r="Z18" s="1573"/>
      <c r="AA18" s="1574">
        <v>1</v>
      </c>
      <c r="AB18" s="1574">
        <v>1</v>
      </c>
      <c r="AC18" s="1574">
        <v>1</v>
      </c>
    </row>
    <row r="19" spans="1:29" ht="42.75">
      <c r="A19" s="530"/>
      <c r="B19" s="2625" t="s">
        <v>2547</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40"/>
      <c r="M19" s="2132"/>
      <c r="N19" s="2132"/>
      <c r="O19" s="2139"/>
      <c r="P19" s="3395"/>
      <c r="Q19" s="1570" t="str">
        <f>B19</f>
        <v>公共配套设施</v>
      </c>
      <c r="R19" s="1571" t="s">
        <v>8</v>
      </c>
      <c r="S19" s="1572">
        <f>F19</f>
        <v>100</v>
      </c>
      <c r="T19" s="1571" t="s">
        <v>8</v>
      </c>
      <c r="U19" s="1572">
        <f>H19</f>
        <v>100</v>
      </c>
      <c r="V19" s="1571" t="s">
        <v>8</v>
      </c>
      <c r="W19" s="1572">
        <f>J19</f>
        <v>100</v>
      </c>
      <c r="X19" s="1565"/>
      <c r="Y19" s="3395"/>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6"/>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8.5">
      <c r="A21" s="530"/>
      <c r="B21" s="2613" t="s">
        <v>2559</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40"/>
      <c r="M21" s="2132"/>
      <c r="N21" s="2132"/>
      <c r="O21" s="2139"/>
      <c r="P21" s="3395"/>
      <c r="Q21" s="2601" t="str">
        <f>B21</f>
        <v>基础设施水平</v>
      </c>
      <c r="R21" s="1571" t="s">
        <v>8</v>
      </c>
      <c r="S21" s="1572">
        <f>F21</f>
        <v>100</v>
      </c>
      <c r="T21" s="1571" t="s">
        <v>8</v>
      </c>
      <c r="U21" s="1572">
        <f>H21</f>
        <v>100</v>
      </c>
      <c r="V21" s="1571" t="s">
        <v>8</v>
      </c>
      <c r="W21" s="1572">
        <f>J21</f>
        <v>100</v>
      </c>
      <c r="X21" s="2603"/>
      <c r="Y21" s="3395"/>
      <c r="Z21" s="2602"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4"/>
      <c r="L22" s="2140"/>
      <c r="M22" s="2132"/>
      <c r="N22" s="2132"/>
      <c r="O22" s="2139"/>
      <c r="P22" s="3395"/>
      <c r="Q22" s="2601"/>
      <c r="R22" s="1571"/>
      <c r="S22" s="1572"/>
      <c r="T22" s="1571"/>
      <c r="U22" s="1572"/>
      <c r="V22" s="1571"/>
      <c r="W22" s="1572"/>
      <c r="X22" s="2603"/>
      <c r="Y22" s="3395"/>
      <c r="Z22" s="2602"/>
      <c r="AA22" s="1574">
        <v>1</v>
      </c>
      <c r="AB22" s="1574">
        <v>1</v>
      </c>
      <c r="AC22" s="1574">
        <v>1</v>
      </c>
    </row>
    <row r="23" spans="1:29" ht="71.25">
      <c r="A23" s="530"/>
      <c r="B23" s="869" t="s">
        <v>777</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40"/>
      <c r="M23" s="2132"/>
      <c r="N23" s="2132"/>
      <c r="O23" s="2139"/>
      <c r="P23" s="3395"/>
      <c r="Q23" s="1570" t="str">
        <f>B23</f>
        <v>环境质量</v>
      </c>
      <c r="R23" s="1571" t="s">
        <v>8</v>
      </c>
      <c r="S23" s="1572">
        <f>F23</f>
        <v>100</v>
      </c>
      <c r="T23" s="1571" t="s">
        <v>8</v>
      </c>
      <c r="U23" s="1572">
        <f>H23</f>
        <v>100</v>
      </c>
      <c r="V23" s="1571" t="s">
        <v>8</v>
      </c>
      <c r="W23" s="1572">
        <f>J23</f>
        <v>100</v>
      </c>
      <c r="X23" s="1565"/>
      <c r="Y23" s="3395"/>
      <c r="Z23" s="1573" t="str">
        <f>Q23</f>
        <v>环境质量</v>
      </c>
      <c r="AA23" s="1574">
        <f t="shared" si="3"/>
        <v>1</v>
      </c>
      <c r="AB23" s="1574">
        <f t="shared" si="4"/>
        <v>1</v>
      </c>
      <c r="AC23" s="1574">
        <f t="shared" si="5"/>
        <v>1</v>
      </c>
    </row>
    <row r="24" spans="1:29" ht="15">
      <c r="A24" s="530"/>
      <c r="B24" s="919"/>
      <c r="C24" s="574"/>
      <c r="D24" s="553"/>
      <c r="E24" s="554"/>
      <c r="F24" s="555"/>
      <c r="G24" s="556"/>
      <c r="H24" s="553"/>
      <c r="I24" s="554"/>
      <c r="J24" s="553"/>
      <c r="K24" s="896"/>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395"/>
      <c r="Q25" s="1570">
        <f>B25</f>
        <v>111</v>
      </c>
      <c r="R25" s="1571" t="s">
        <v>8</v>
      </c>
      <c r="S25" s="1572">
        <f>F25</f>
        <v>100</v>
      </c>
      <c r="T25" s="1571" t="s">
        <v>8</v>
      </c>
      <c r="U25" s="1572">
        <f>H25</f>
        <v>100</v>
      </c>
      <c r="V25" s="1571" t="s">
        <v>8</v>
      </c>
      <c r="W25" s="1572">
        <f>J25</f>
        <v>100</v>
      </c>
      <c r="X25" s="1565"/>
      <c r="Y25" s="3395"/>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395"/>
      <c r="Q26" s="1570">
        <f t="shared" ref="Q26:Q40" si="11">B26</f>
        <v>111</v>
      </c>
      <c r="R26" s="1571" t="s">
        <v>8</v>
      </c>
      <c r="S26" s="1572">
        <f>F26</f>
        <v>100</v>
      </c>
      <c r="T26" s="1571" t="s">
        <v>8</v>
      </c>
      <c r="U26" s="1572">
        <f>H26</f>
        <v>100</v>
      </c>
      <c r="V26" s="1571" t="s">
        <v>8</v>
      </c>
      <c r="W26" s="1572">
        <f>J26</f>
        <v>100</v>
      </c>
      <c r="X26" s="1565"/>
      <c r="Y26" s="3395"/>
      <c r="Z26" s="1573">
        <f>Q26</f>
        <v>111</v>
      </c>
      <c r="AA26" s="1574">
        <f t="shared" si="3"/>
        <v>1</v>
      </c>
      <c r="AB26" s="1574">
        <f t="shared" si="4"/>
        <v>1</v>
      </c>
      <c r="AC26" s="1574">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395"/>
      <c r="Q27" s="1148">
        <f t="shared" si="11"/>
        <v>111</v>
      </c>
      <c r="R27" s="1566" t="s">
        <v>8</v>
      </c>
      <c r="S27" s="1567">
        <f>F27</f>
        <v>100</v>
      </c>
      <c r="T27" s="1566" t="s">
        <v>8</v>
      </c>
      <c r="U27" s="1567">
        <f>H27</f>
        <v>100</v>
      </c>
      <c r="V27" s="1566" t="s">
        <v>8</v>
      </c>
      <c r="W27" s="1567">
        <f>J27</f>
        <v>100</v>
      </c>
      <c r="X27" s="1568"/>
      <c r="Y27" s="3395"/>
      <c r="Z27" s="1147">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40"/>
      <c r="M28" s="2132"/>
      <c r="N28" s="2132"/>
      <c r="O28" s="2139"/>
      <c r="P28" s="3395"/>
      <c r="Q28" s="1570">
        <f t="shared" si="11"/>
        <v>111</v>
      </c>
      <c r="R28" s="1571" t="s">
        <v>8</v>
      </c>
      <c r="S28" s="1572">
        <f t="shared" ref="S28:S40" si="12">F28</f>
        <v>100</v>
      </c>
      <c r="T28" s="1571" t="s">
        <v>8</v>
      </c>
      <c r="U28" s="1572">
        <f t="shared" ref="U28:U40" si="13">H28</f>
        <v>100</v>
      </c>
      <c r="V28" s="1571" t="s">
        <v>8</v>
      </c>
      <c r="W28" s="1572">
        <f t="shared" ref="W28:W40" si="14">J28</f>
        <v>100</v>
      </c>
      <c r="X28" s="1565"/>
      <c r="Y28" s="3395"/>
      <c r="Z28" s="1573">
        <f t="shared" ref="Z28:Z40" si="15">Q28</f>
        <v>111</v>
      </c>
      <c r="AA28" s="1574">
        <f t="shared" si="3"/>
        <v>1</v>
      </c>
      <c r="AB28" s="1574">
        <f t="shared" si="4"/>
        <v>1</v>
      </c>
      <c r="AC28" s="1574">
        <f t="shared" si="5"/>
        <v>1</v>
      </c>
    </row>
    <row r="29" spans="1:29" ht="15">
      <c r="A29" s="2929" t="s">
        <v>2756</v>
      </c>
      <c r="B29" s="172" t="s">
        <v>779</v>
      </c>
      <c r="C29" s="913"/>
      <c r="D29" s="595">
        <v>100</v>
      </c>
      <c r="E29" s="913"/>
      <c r="F29" s="573">
        <f>SUMIF(88:88,E29,89:89)-SUMIF(88:88,C29,89:89)+100</f>
        <v>100</v>
      </c>
      <c r="G29" s="913"/>
      <c r="H29" s="538">
        <f>SUMIF(88:88,G29,89:89)-SUMIF(88:88,C29,89:89)+100</f>
        <v>100</v>
      </c>
      <c r="I29" s="913"/>
      <c r="J29" s="595">
        <f>SUMIF(88:88,I29,89:89)-SUMIF(88:88,C29,89:89)+100</f>
        <v>100</v>
      </c>
      <c r="K29" s="582"/>
      <c r="L29" s="2140"/>
      <c r="M29" s="2132"/>
      <c r="N29" s="2132"/>
      <c r="O29" s="2139"/>
      <c r="P29" s="3396" t="s">
        <v>550</v>
      </c>
      <c r="Q29" s="1570" t="str">
        <f t="shared" si="11"/>
        <v>建筑类型</v>
      </c>
      <c r="R29" s="1571" t="s">
        <v>8</v>
      </c>
      <c r="S29" s="1572">
        <f t="shared" si="12"/>
        <v>100</v>
      </c>
      <c r="T29" s="1571" t="s">
        <v>8</v>
      </c>
      <c r="U29" s="1572">
        <f t="shared" si="13"/>
        <v>100</v>
      </c>
      <c r="V29" s="1571" t="s">
        <v>8</v>
      </c>
      <c r="W29" s="1572">
        <f t="shared" si="14"/>
        <v>100</v>
      </c>
      <c r="X29" s="1565"/>
      <c r="Y29" s="3397" t="s">
        <v>550</v>
      </c>
      <c r="Z29" s="1573" t="str">
        <f t="shared" si="15"/>
        <v>建筑类型</v>
      </c>
      <c r="AA29" s="1574">
        <f t="shared" si="3"/>
        <v>1</v>
      </c>
      <c r="AB29" s="1574">
        <f t="shared" si="4"/>
        <v>1</v>
      </c>
      <c r="AC29" s="1574">
        <f t="shared" si="5"/>
        <v>1</v>
      </c>
    </row>
    <row r="30" spans="1:29" s="1336" customFormat="1" ht="15">
      <c r="A30" s="601"/>
      <c r="B30" s="525" t="s">
        <v>725</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397"/>
      <c r="Q30" s="1603" t="str">
        <f t="shared" si="11"/>
        <v>项目建筑规模</v>
      </c>
      <c r="R30" s="1575" t="s">
        <v>8</v>
      </c>
      <c r="S30" s="1576" t="e">
        <f t="shared" si="12"/>
        <v>#N/A</v>
      </c>
      <c r="T30" s="1575" t="s">
        <v>8</v>
      </c>
      <c r="U30" s="1576" t="e">
        <f t="shared" si="13"/>
        <v>#N/A</v>
      </c>
      <c r="V30" s="1575" t="s">
        <v>8</v>
      </c>
      <c r="W30" s="1576" t="e">
        <f t="shared" si="14"/>
        <v>#N/A</v>
      </c>
      <c r="X30" s="1577"/>
      <c r="Y30" s="3397"/>
      <c r="Z30" s="1578" t="str">
        <f t="shared" si="15"/>
        <v>项目建筑规模</v>
      </c>
      <c r="AA30" s="1574" t="e">
        <f t="shared" si="3"/>
        <v>#N/A</v>
      </c>
      <c r="AB30" s="1574" t="e">
        <f t="shared" si="4"/>
        <v>#N/A</v>
      </c>
      <c r="AC30" s="1574"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397"/>
      <c r="Q31" s="1570" t="str">
        <f t="shared" si="11"/>
        <v>建筑结构</v>
      </c>
      <c r="R31" s="1571" t="s">
        <v>8</v>
      </c>
      <c r="S31" s="1572">
        <f t="shared" si="12"/>
        <v>100</v>
      </c>
      <c r="T31" s="1571" t="s">
        <v>8</v>
      </c>
      <c r="U31" s="1572">
        <f t="shared" si="13"/>
        <v>100</v>
      </c>
      <c r="V31" s="1571" t="s">
        <v>8</v>
      </c>
      <c r="W31" s="1572">
        <f t="shared" si="14"/>
        <v>100</v>
      </c>
      <c r="X31" s="1565"/>
      <c r="Y31" s="3397"/>
      <c r="Z31" s="1573" t="str">
        <f t="shared" si="15"/>
        <v>建筑结构</v>
      </c>
      <c r="AA31" s="1574">
        <f t="shared" si="3"/>
        <v>1</v>
      </c>
      <c r="AB31" s="1574">
        <f t="shared" si="4"/>
        <v>1</v>
      </c>
      <c r="AC31" s="1574">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397"/>
      <c r="Q32" s="1570" t="str">
        <f t="shared" si="11"/>
        <v>公共部分装修</v>
      </c>
      <c r="R32" s="1571" t="s">
        <v>8</v>
      </c>
      <c r="S32" s="1572">
        <f t="shared" si="12"/>
        <v>100</v>
      </c>
      <c r="T32" s="1571" t="s">
        <v>8</v>
      </c>
      <c r="U32" s="1572">
        <f t="shared" si="13"/>
        <v>100</v>
      </c>
      <c r="V32" s="1571" t="s">
        <v>8</v>
      </c>
      <c r="W32" s="1572">
        <f t="shared" si="14"/>
        <v>100</v>
      </c>
      <c r="X32" s="1565"/>
      <c r="Y32" s="3397"/>
      <c r="Z32" s="1573" t="str">
        <f t="shared" si="15"/>
        <v>公共部分装修</v>
      </c>
      <c r="AA32" s="1574">
        <f t="shared" si="3"/>
        <v>1</v>
      </c>
      <c r="AB32" s="1574">
        <f t="shared" si="4"/>
        <v>1</v>
      </c>
      <c r="AC32" s="1574">
        <f t="shared" si="5"/>
        <v>1</v>
      </c>
    </row>
    <row r="33" spans="1:29" ht="15">
      <c r="A33" s="592"/>
      <c r="B33" s="525" t="s">
        <v>763</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40"/>
      <c r="M33" s="2132"/>
      <c r="N33" s="2132"/>
      <c r="O33" s="2139"/>
      <c r="P33" s="3397"/>
      <c r="Q33" s="1570" t="str">
        <f t="shared" si="11"/>
        <v>成新度</v>
      </c>
      <c r="R33" s="1571" t="s">
        <v>8</v>
      </c>
      <c r="S33" s="1572" t="e">
        <f t="shared" si="12"/>
        <v>#N/A</v>
      </c>
      <c r="T33" s="1571" t="s">
        <v>8</v>
      </c>
      <c r="U33" s="1572" t="e">
        <f t="shared" si="13"/>
        <v>#N/A</v>
      </c>
      <c r="V33" s="1571" t="s">
        <v>8</v>
      </c>
      <c r="W33" s="1572" t="e">
        <f t="shared" si="14"/>
        <v>#N/A</v>
      </c>
      <c r="X33" s="1565"/>
      <c r="Y33" s="3397"/>
      <c r="Z33" s="1573" t="str">
        <f t="shared" si="15"/>
        <v>成新度</v>
      </c>
      <c r="AA33" s="1574" t="e">
        <f t="shared" si="3"/>
        <v>#N/A</v>
      </c>
      <c r="AB33" s="1574" t="e">
        <f t="shared" si="4"/>
        <v>#N/A</v>
      </c>
      <c r="AC33" s="1574" t="e">
        <f t="shared" si="5"/>
        <v>#N/A</v>
      </c>
    </row>
    <row r="34" spans="1:29" s="1217"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397"/>
      <c r="Q34" s="1148" t="str">
        <f t="shared" si="11"/>
        <v>物业管理</v>
      </c>
      <c r="R34" s="1566" t="s">
        <v>8</v>
      </c>
      <c r="S34" s="1567">
        <f t="shared" si="12"/>
        <v>100</v>
      </c>
      <c r="T34" s="1566" t="s">
        <v>8</v>
      </c>
      <c r="U34" s="1567">
        <f t="shared" si="13"/>
        <v>100</v>
      </c>
      <c r="V34" s="1566" t="s">
        <v>8</v>
      </c>
      <c r="W34" s="1567">
        <f t="shared" si="14"/>
        <v>100</v>
      </c>
      <c r="X34" s="1568"/>
      <c r="Y34" s="3397"/>
      <c r="Z34" s="1147" t="str">
        <f t="shared" si="15"/>
        <v>物业管理</v>
      </c>
      <c r="AA34" s="1569">
        <f t="shared" si="3"/>
        <v>1</v>
      </c>
      <c r="AB34" s="1569">
        <f t="shared" si="4"/>
        <v>1</v>
      </c>
      <c r="AC34" s="1569">
        <f t="shared" si="5"/>
        <v>1</v>
      </c>
    </row>
    <row r="35" spans="1:29" ht="15">
      <c r="A35" s="592"/>
      <c r="B35" s="1893"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397" t="s">
        <v>550</v>
      </c>
      <c r="Q35" s="1570" t="str">
        <f t="shared" si="11"/>
        <v>市政基础设施</v>
      </c>
      <c r="R35" s="1571" t="s">
        <v>8</v>
      </c>
      <c r="S35" s="1572">
        <f t="shared" si="12"/>
        <v>100</v>
      </c>
      <c r="T35" s="1571" t="s">
        <v>8</v>
      </c>
      <c r="U35" s="1572">
        <f t="shared" si="13"/>
        <v>100</v>
      </c>
      <c r="V35" s="1571" t="s">
        <v>8</v>
      </c>
      <c r="W35" s="1572">
        <f t="shared" si="14"/>
        <v>100</v>
      </c>
      <c r="X35" s="1565"/>
      <c r="Y35" s="3397" t="s">
        <v>550</v>
      </c>
      <c r="Z35" s="1573" t="str">
        <f t="shared" si="15"/>
        <v>市政基础设施</v>
      </c>
      <c r="AA35" s="1574">
        <f t="shared" si="3"/>
        <v>1</v>
      </c>
      <c r="AB35" s="1574">
        <f t="shared" si="4"/>
        <v>1</v>
      </c>
      <c r="AC35" s="1574">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397"/>
      <c r="Q36" s="1570" t="str">
        <f t="shared" si="11"/>
        <v>内部装修</v>
      </c>
      <c r="R36" s="1571" t="s">
        <v>8</v>
      </c>
      <c r="S36" s="1572">
        <f t="shared" si="12"/>
        <v>100</v>
      </c>
      <c r="T36" s="1571" t="s">
        <v>8</v>
      </c>
      <c r="U36" s="1572">
        <f t="shared" si="13"/>
        <v>100</v>
      </c>
      <c r="V36" s="1571" t="s">
        <v>8</v>
      </c>
      <c r="W36" s="1572">
        <f t="shared" si="14"/>
        <v>100</v>
      </c>
      <c r="X36" s="1565"/>
      <c r="Y36" s="3397"/>
      <c r="Z36" s="1573" t="str">
        <f t="shared" si="15"/>
        <v>内部装修</v>
      </c>
      <c r="AA36" s="1574">
        <f t="shared" si="3"/>
        <v>1</v>
      </c>
      <c r="AB36" s="1574">
        <f t="shared" si="4"/>
        <v>1</v>
      </c>
      <c r="AC36" s="1574">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397"/>
      <c r="Q37" s="1570" t="str">
        <f t="shared" si="11"/>
        <v>内部装修状况</v>
      </c>
      <c r="R37" s="1571" t="s">
        <v>8</v>
      </c>
      <c r="S37" s="1572">
        <f t="shared" si="12"/>
        <v>100</v>
      </c>
      <c r="T37" s="1571" t="s">
        <v>8</v>
      </c>
      <c r="U37" s="1572">
        <f t="shared" si="13"/>
        <v>100</v>
      </c>
      <c r="V37" s="1571" t="s">
        <v>8</v>
      </c>
      <c r="W37" s="1572">
        <f t="shared" si="14"/>
        <v>100</v>
      </c>
      <c r="X37" s="1565"/>
      <c r="Y37" s="3397"/>
      <c r="Z37" s="1573" t="str">
        <f t="shared" si="15"/>
        <v>内部装修状况</v>
      </c>
      <c r="AA37" s="1574">
        <f t="shared" si="3"/>
        <v>1</v>
      </c>
      <c r="AB37" s="1574">
        <f t="shared" si="4"/>
        <v>1</v>
      </c>
      <c r="AC37" s="1574">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8"/>
      <c r="M38" s="2169"/>
      <c r="N38" s="2169"/>
      <c r="O38" s="2141"/>
      <c r="P38" s="3397"/>
      <c r="Q38" s="1603">
        <f t="shared" si="11"/>
        <v>111</v>
      </c>
      <c r="R38" s="1575" t="s">
        <v>8</v>
      </c>
      <c r="S38" s="1576">
        <f t="shared" si="12"/>
        <v>100</v>
      </c>
      <c r="T38" s="1575" t="s">
        <v>8</v>
      </c>
      <c r="U38" s="1576">
        <f t="shared" si="13"/>
        <v>100</v>
      </c>
      <c r="V38" s="1575" t="s">
        <v>8</v>
      </c>
      <c r="W38" s="1576">
        <f t="shared" si="14"/>
        <v>100</v>
      </c>
      <c r="X38" s="1577"/>
      <c r="Y38" s="3397"/>
      <c r="Z38" s="1578">
        <f t="shared" si="15"/>
        <v>111</v>
      </c>
      <c r="AA38" s="1574">
        <f t="shared" si="3"/>
        <v>1</v>
      </c>
      <c r="AB38" s="1574">
        <f t="shared" si="4"/>
        <v>1</v>
      </c>
      <c r="AC38" s="1574">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40"/>
      <c r="M39" s="2132"/>
      <c r="N39" s="2132"/>
      <c r="O39" s="2139"/>
      <c r="P39" s="3397"/>
      <c r="Q39" s="1570">
        <f t="shared" si="11"/>
        <v>111</v>
      </c>
      <c r="R39" s="1571" t="s">
        <v>8</v>
      </c>
      <c r="S39" s="1572">
        <f t="shared" si="12"/>
        <v>100</v>
      </c>
      <c r="T39" s="1571" t="s">
        <v>8</v>
      </c>
      <c r="U39" s="1572">
        <f t="shared" si="13"/>
        <v>100</v>
      </c>
      <c r="V39" s="1571" t="s">
        <v>8</v>
      </c>
      <c r="W39" s="1572">
        <f t="shared" si="14"/>
        <v>100</v>
      </c>
      <c r="X39" s="1565"/>
      <c r="Y39" s="3397"/>
      <c r="Z39" s="1573">
        <f t="shared" si="15"/>
        <v>111</v>
      </c>
      <c r="AA39" s="1574">
        <f t="shared" si="3"/>
        <v>1</v>
      </c>
      <c r="AB39" s="1574">
        <f t="shared" si="4"/>
        <v>1</v>
      </c>
      <c r="AC39" s="1574">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40"/>
      <c r="M40" s="2132"/>
      <c r="N40" s="2132"/>
      <c r="O40" s="2139"/>
      <c r="P40" s="3473"/>
      <c r="Q40" s="1570">
        <f t="shared" si="11"/>
        <v>111</v>
      </c>
      <c r="R40" s="1571" t="s">
        <v>8</v>
      </c>
      <c r="S40" s="1572">
        <f t="shared" si="12"/>
        <v>100</v>
      </c>
      <c r="T40" s="1571" t="s">
        <v>8</v>
      </c>
      <c r="U40" s="1572">
        <f t="shared" si="13"/>
        <v>100</v>
      </c>
      <c r="V40" s="1571" t="s">
        <v>8</v>
      </c>
      <c r="W40" s="1572">
        <f t="shared" si="14"/>
        <v>100</v>
      </c>
      <c r="X40" s="1565"/>
      <c r="Y40" s="3473"/>
      <c r="Z40" s="1573">
        <f t="shared" si="15"/>
        <v>111</v>
      </c>
      <c r="AA40" s="1574">
        <f t="shared" si="3"/>
        <v>1</v>
      </c>
      <c r="AB40" s="1574">
        <f t="shared" si="4"/>
        <v>1</v>
      </c>
      <c r="AC40" s="1574">
        <f t="shared" si="5"/>
        <v>1</v>
      </c>
    </row>
    <row r="41" spans="1:29" ht="15">
      <c r="A41" s="605" t="s">
        <v>735</v>
      </c>
      <c r="B41" s="884"/>
      <c r="C41" s="2649" t="s">
        <v>1</v>
      </c>
      <c r="D41" s="2650"/>
      <c r="E41" s="2651"/>
      <c r="F41" s="2652"/>
      <c r="G41" s="2653"/>
      <c r="H41" s="2654"/>
      <c r="I41" s="2651"/>
      <c r="J41" s="2654"/>
      <c r="K41" s="1609"/>
      <c r="L41" s="2142"/>
      <c r="M41" s="2143"/>
      <c r="N41" s="2132"/>
      <c r="O41" s="2143"/>
      <c r="P41" s="3392" t="str">
        <f>A41</f>
        <v>成交单价（元/平方米）</v>
      </c>
      <c r="Q41" s="3392"/>
      <c r="R41" s="3472">
        <f>E41</f>
        <v>0</v>
      </c>
      <c r="S41" s="3472"/>
      <c r="T41" s="3472">
        <f>G41</f>
        <v>0</v>
      </c>
      <c r="U41" s="3472"/>
      <c r="V41" s="3472">
        <f>I41</f>
        <v>0</v>
      </c>
      <c r="W41" s="3472"/>
      <c r="X41" s="1557"/>
      <c r="Y41" s="1579"/>
      <c r="Z41" s="1557"/>
      <c r="AA41" s="1557"/>
      <c r="AB41" s="1557"/>
      <c r="AC41" s="1557"/>
    </row>
    <row r="42" spans="1:29" ht="15.75" thickBot="1">
      <c r="A42" s="613" t="s">
        <v>2761</v>
      </c>
      <c r="B42" s="885"/>
      <c r="C42" s="2655" t="e">
        <f>R43</f>
        <v>#DIV/0!</v>
      </c>
      <c r="D42" s="2656"/>
      <c r="E42" s="2657" t="e">
        <f>R42</f>
        <v>#DIV/0!</v>
      </c>
      <c r="F42" s="2657"/>
      <c r="G42" s="2655" t="e">
        <f>T42</f>
        <v>#DIV/0!</v>
      </c>
      <c r="H42" s="2656"/>
      <c r="I42" s="2657" t="e">
        <f>V42</f>
        <v>#DIV/0!</v>
      </c>
      <c r="J42" s="2656"/>
      <c r="K42" s="1610"/>
      <c r="L42" s="2142"/>
      <c r="M42" s="2143"/>
      <c r="N42" s="2132"/>
      <c r="O42" s="2143"/>
      <c r="P42" s="3392" t="str">
        <f>A42</f>
        <v>比较价格（元/平方米）</v>
      </c>
      <c r="Q42" s="3392"/>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57"/>
      <c r="Y42" s="1557"/>
      <c r="Z42" s="1557"/>
      <c r="AA42" s="1557"/>
      <c r="AB42" s="1557"/>
      <c r="AC42" s="1557"/>
    </row>
    <row r="43" spans="1:29" ht="15.75" thickBot="1">
      <c r="A43" s="619" t="s">
        <v>2935</v>
      </c>
      <c r="B43" s="620"/>
      <c r="C43" s="2658" t="e">
        <f>R43</f>
        <v>#DIV/0!</v>
      </c>
      <c r="D43" s="2658"/>
      <c r="E43" s="2658"/>
      <c r="F43" s="2658"/>
      <c r="G43" s="2658"/>
      <c r="H43" s="2658"/>
      <c r="I43" s="2658"/>
      <c r="J43" s="2658"/>
      <c r="K43" s="1611"/>
      <c r="L43" s="2142"/>
      <c r="M43" s="2143"/>
      <c r="N43" s="2143"/>
      <c r="O43" s="2143"/>
      <c r="P43" s="3414" t="str">
        <f>A43</f>
        <v>估价对象XX用房的比较价格（楼面单价，元/平方米）</v>
      </c>
      <c r="Q43" s="3415"/>
      <c r="R43" s="3471" t="e">
        <f>IF(F1="售价",ROUND(AVERAGE(R42:V42),0),ROUND(AVERAGE(R42:V42),1))</f>
        <v>#DIV/0!</v>
      </c>
      <c r="S43" s="3471"/>
      <c r="T43" s="3471"/>
      <c r="U43" s="3471"/>
      <c r="V43" s="3471"/>
      <c r="W43" s="3471"/>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7"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7"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7"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736</v>
      </c>
      <c r="D59" s="672" t="s">
        <v>737</v>
      </c>
      <c r="E59" s="672" t="s">
        <v>738</v>
      </c>
      <c r="F59" s="672" t="s">
        <v>739</v>
      </c>
      <c r="G59" s="672" t="s">
        <v>740</v>
      </c>
      <c r="H59" s="672" t="s">
        <v>741</v>
      </c>
      <c r="I59" s="672" t="s">
        <v>742</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2558</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9" t="s">
        <v>2559</v>
      </c>
      <c r="C76" s="2620" t="s">
        <v>2560</v>
      </c>
      <c r="D76" s="2620" t="s">
        <v>2561</v>
      </c>
      <c r="E76" s="2620" t="s">
        <v>2562</v>
      </c>
      <c r="F76" s="2620" t="s">
        <v>2563</v>
      </c>
      <c r="G76" s="2620" t="s">
        <v>2564</v>
      </c>
      <c r="H76" s="932"/>
      <c r="I76" s="932"/>
      <c r="J76" s="932"/>
      <c r="K76" s="932"/>
      <c r="L76" s="932"/>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783</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7"/>
      <c r="B80" s="671">
        <f>B25</f>
        <v>111</v>
      </c>
      <c r="C80" s="686"/>
      <c r="D80" s="686"/>
      <c r="E80" s="686"/>
      <c r="F80" s="686"/>
      <c r="G80" s="686"/>
      <c r="H80" s="686"/>
      <c r="I80" s="686"/>
      <c r="J80" s="686"/>
      <c r="K80" s="686"/>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7"/>
      <c r="B82" s="671">
        <f>B26</f>
        <v>111</v>
      </c>
      <c r="C82" s="686"/>
      <c r="D82" s="686"/>
      <c r="E82" s="686"/>
      <c r="F82" s="686"/>
      <c r="G82" s="686"/>
      <c r="H82" s="686"/>
      <c r="I82" s="686"/>
      <c r="J82" s="686"/>
      <c r="K82" s="686"/>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5"/>
      <c r="B84" s="671">
        <f>B27</f>
        <v>111</v>
      </c>
      <c r="C84" s="686"/>
      <c r="D84" s="686"/>
      <c r="E84" s="686"/>
      <c r="F84" s="686"/>
      <c r="G84" s="686"/>
      <c r="H84" s="686"/>
      <c r="I84" s="686"/>
      <c r="J84" s="686"/>
      <c r="K84" s="686"/>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0"/>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750</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6"/>
      <c r="B100" s="671" t="s">
        <v>752</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2557</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754</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4" t="s">
        <v>790</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791</v>
      </c>
      <c r="D1" s="847"/>
      <c r="E1" s="504"/>
      <c r="F1" s="2829"/>
      <c r="G1" s="1599" t="s">
        <v>792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793</v>
      </c>
      <c r="B2" s="848"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794</v>
      </c>
      <c r="B3" s="508" t="e">
        <f>IF(B37="元/平方米",C39,ROUND(B2*10000/D3,0))</f>
        <v>#DIV/0!</v>
      </c>
      <c r="C3" s="850" t="s">
        <v>795</v>
      </c>
      <c r="D3" s="849">
        <f>SUMIF('数据-汇总表'!$C19:$C33,D1,'数据-汇总表'!$E19:$E33)</f>
        <v>0</v>
      </c>
      <c r="E3" s="1846" t="s">
        <v>2076</v>
      </c>
      <c r="F3" s="849">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796</v>
      </c>
      <c r="B4" s="511"/>
      <c r="C4" s="3398" t="s">
        <v>797</v>
      </c>
      <c r="D4" s="3399"/>
      <c r="E4" s="3398" t="s">
        <v>798</v>
      </c>
      <c r="F4" s="3399"/>
      <c r="G4" s="3398" t="s">
        <v>799</v>
      </c>
      <c r="H4" s="3399"/>
      <c r="I4" s="3398" t="s">
        <v>800</v>
      </c>
      <c r="J4" s="3399"/>
      <c r="K4" s="512" t="s">
        <v>801</v>
      </c>
      <c r="L4" s="2131"/>
      <c r="M4" s="2132"/>
      <c r="N4" s="2132"/>
      <c r="O4" s="2132"/>
      <c r="P4" s="3400" t="s">
        <v>802</v>
      </c>
      <c r="Q4" s="3401"/>
      <c r="R4" s="3386" t="s">
        <v>798</v>
      </c>
      <c r="S4" s="3387"/>
      <c r="T4" s="3386" t="s">
        <v>799</v>
      </c>
      <c r="U4" s="3387"/>
      <c r="V4" s="3406" t="s">
        <v>800</v>
      </c>
      <c r="W4" s="3406"/>
      <c r="X4" s="1565"/>
      <c r="Y4" s="3386" t="s">
        <v>802</v>
      </c>
      <c r="Z4" s="3387"/>
      <c r="AA4" s="3381" t="s">
        <v>798</v>
      </c>
      <c r="AB4" s="3382" t="s">
        <v>799</v>
      </c>
      <c r="AC4" s="3381" t="s">
        <v>800</v>
      </c>
    </row>
    <row r="5" spans="1:29" ht="15">
      <c r="A5" s="513"/>
      <c r="B5" s="514"/>
      <c r="C5" s="3427" t="s">
        <v>2929</v>
      </c>
      <c r="D5" s="3410"/>
      <c r="E5" s="3427" t="s">
        <v>2930</v>
      </c>
      <c r="F5" s="3410"/>
      <c r="G5" s="3427" t="s">
        <v>2931</v>
      </c>
      <c r="H5" s="3410"/>
      <c r="I5" s="3427" t="s">
        <v>2932</v>
      </c>
      <c r="J5" s="3410"/>
      <c r="K5" s="512"/>
      <c r="L5" s="2131"/>
      <c r="M5" s="2132"/>
      <c r="N5" s="2132"/>
      <c r="O5" s="2132"/>
      <c r="P5" s="3402"/>
      <c r="Q5" s="3403"/>
      <c r="R5" s="3388"/>
      <c r="S5" s="3389"/>
      <c r="T5" s="3388"/>
      <c r="U5" s="3389"/>
      <c r="V5" s="3406"/>
      <c r="W5" s="3406"/>
      <c r="X5" s="1565"/>
      <c r="Y5" s="3388"/>
      <c r="Z5" s="3389"/>
      <c r="AA5" s="3382"/>
      <c r="AB5" s="3382"/>
      <c r="AC5" s="3382"/>
    </row>
    <row r="6" spans="1:29" ht="15.75" thickBot="1">
      <c r="A6" s="515"/>
      <c r="B6" s="516"/>
      <c r="C6" s="3407" t="s">
        <v>2933</v>
      </c>
      <c r="D6" s="3408"/>
      <c r="E6" s="3412" t="s">
        <v>2933</v>
      </c>
      <c r="F6" s="3413"/>
      <c r="G6" s="3407" t="s">
        <v>2933</v>
      </c>
      <c r="H6" s="3408"/>
      <c r="I6" s="3407" t="s">
        <v>2933</v>
      </c>
      <c r="J6" s="3408"/>
      <c r="K6" s="512"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934"/>
      <c r="B7" s="2941" t="s">
        <v>529</v>
      </c>
      <c r="C7" s="517">
        <f>'数据-取费表'!B2</f>
        <v>43239</v>
      </c>
      <c r="D7" s="518">
        <v>100</v>
      </c>
      <c r="E7" s="519"/>
      <c r="F7" s="520">
        <f>SUMIF(48:48,YEAR(E7)&amp;"-"&amp;MONTH(E7),49:49)</f>
        <v>0</v>
      </c>
      <c r="G7" s="521"/>
      <c r="H7" s="518">
        <f>SUMIF(48:48,YEAR(G7)&amp;"-"&amp;MONTH(G7),49:49)</f>
        <v>0</v>
      </c>
      <c r="I7" s="521"/>
      <c r="J7" s="518">
        <f>SUMIF(48:48,YEAR(I7)&amp;"-"&amp;MONTH(I7),49:49)</f>
        <v>0</v>
      </c>
      <c r="K7" s="522"/>
      <c r="L7" s="2133"/>
      <c r="M7" s="2134"/>
      <c r="N7" s="2134"/>
      <c r="O7" s="2134"/>
      <c r="P7" s="3384" t="s">
        <v>530</v>
      </c>
      <c r="Q7" s="3393"/>
      <c r="R7" s="1566" t="s">
        <v>8</v>
      </c>
      <c r="S7" s="1567">
        <f t="shared" ref="S7:S14" si="0">F7</f>
        <v>0</v>
      </c>
      <c r="T7" s="1566" t="s">
        <v>8</v>
      </c>
      <c r="U7" s="1567">
        <f t="shared" ref="U7:U14" si="1">H7</f>
        <v>0</v>
      </c>
      <c r="V7" s="1566" t="s">
        <v>8</v>
      </c>
      <c r="W7" s="1567">
        <f t="shared" ref="W7:W14" si="2">J7</f>
        <v>0</v>
      </c>
      <c r="X7" s="1568"/>
      <c r="Y7" s="3384" t="s">
        <v>530</v>
      </c>
      <c r="Z7" s="3385"/>
      <c r="AA7" s="1569" t="e">
        <f>D7/F7</f>
        <v>#DIV/0!</v>
      </c>
      <c r="AB7" s="1569" t="e">
        <f>D7/H7</f>
        <v>#DIV/0!</v>
      </c>
      <c r="AC7" s="1569" t="e">
        <f>D7/J7</f>
        <v>#DIV/0!</v>
      </c>
    </row>
    <row r="8" spans="1:29" s="1217"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36" si="3">D8/F8</f>
        <v>#DIV/0!</v>
      </c>
      <c r="AB8" s="1569" t="e">
        <f t="shared" ref="AB8:AB36" si="4">D8/H8</f>
        <v>#DIV/0!</v>
      </c>
      <c r="AC8" s="1569" t="e">
        <f t="shared" ref="AC8:AC36" si="5">D8/J8</f>
        <v>#DIV/0!</v>
      </c>
    </row>
    <row r="9" spans="1:29" s="1217" customFormat="1" ht="15">
      <c r="A9" s="2936"/>
      <c r="B9" s="2943" t="s">
        <v>2757</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92" t="s">
        <v>535</v>
      </c>
      <c r="Q9" s="1148" t="str">
        <f t="shared" ref="Q9:Q14" si="6">B9</f>
        <v>用途</v>
      </c>
      <c r="R9" s="1566" t="s">
        <v>8</v>
      </c>
      <c r="S9" s="1567">
        <f t="shared" si="0"/>
        <v>100</v>
      </c>
      <c r="T9" s="1566" t="s">
        <v>8</v>
      </c>
      <c r="U9" s="1567">
        <f t="shared" si="1"/>
        <v>100</v>
      </c>
      <c r="V9" s="1566" t="s">
        <v>8</v>
      </c>
      <c r="W9" s="1567">
        <f t="shared" si="2"/>
        <v>100</v>
      </c>
      <c r="X9" s="1568"/>
      <c r="Y9" s="3349" t="s">
        <v>536</v>
      </c>
      <c r="Z9" s="1147" t="str">
        <f t="shared" ref="Z9:Z14" si="7">Q9</f>
        <v>用途</v>
      </c>
      <c r="AA9" s="1569">
        <f t="shared" si="3"/>
        <v>1</v>
      </c>
      <c r="AB9" s="1569">
        <f t="shared" si="4"/>
        <v>1</v>
      </c>
      <c r="AC9" s="1569">
        <f t="shared" si="5"/>
        <v>1</v>
      </c>
    </row>
    <row r="10" spans="1:29" s="1335" customFormat="1" ht="27">
      <c r="A10" s="2937"/>
      <c r="B10" s="2942" t="s">
        <v>2758</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9"/>
      <c r="Z10" s="1147" t="str">
        <f t="shared" si="7"/>
        <v>土地使用年限（年）</v>
      </c>
      <c r="AA10" s="1569">
        <f t="shared" si="3"/>
        <v>1</v>
      </c>
      <c r="AB10" s="1569">
        <f t="shared" si="4"/>
        <v>1</v>
      </c>
      <c r="AC10" s="1569">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92"/>
      <c r="Q11" s="1148">
        <f t="shared" si="6"/>
        <v>111</v>
      </c>
      <c r="R11" s="1566" t="s">
        <v>8</v>
      </c>
      <c r="S11" s="1567">
        <f t="shared" si="0"/>
        <v>100</v>
      </c>
      <c r="T11" s="1566" t="s">
        <v>8</v>
      </c>
      <c r="U11" s="1567">
        <f t="shared" si="1"/>
        <v>100</v>
      </c>
      <c r="V11" s="1566" t="s">
        <v>8</v>
      </c>
      <c r="W11" s="1567">
        <f t="shared" si="2"/>
        <v>100</v>
      </c>
      <c r="X11" s="1568"/>
      <c r="Y11" s="3349"/>
      <c r="Z11" s="1147">
        <f t="shared" si="7"/>
        <v>111</v>
      </c>
      <c r="AA11" s="1569">
        <f t="shared" si="3"/>
        <v>1</v>
      </c>
      <c r="AB11" s="1569">
        <f t="shared" si="4"/>
        <v>1</v>
      </c>
      <c r="AC11" s="1569">
        <f t="shared" si="5"/>
        <v>1</v>
      </c>
    </row>
    <row r="12" spans="1:29" s="1217"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9"/>
      <c r="Z12" s="1147">
        <f t="shared" si="7"/>
        <v>111</v>
      </c>
      <c r="AA12" s="1569">
        <f>D12/F12</f>
        <v>1</v>
      </c>
      <c r="AB12" s="1569">
        <f>D12/H12</f>
        <v>1</v>
      </c>
      <c r="AC12" s="1569">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9"/>
      <c r="Z13" s="1147">
        <f t="shared" si="7"/>
        <v>111</v>
      </c>
      <c r="AA13" s="1569">
        <f t="shared" si="3"/>
        <v>1</v>
      </c>
      <c r="AB13" s="1569">
        <f t="shared" si="4"/>
        <v>1</v>
      </c>
      <c r="AC13" s="1569">
        <f t="shared" si="5"/>
        <v>1</v>
      </c>
    </row>
    <row r="14" spans="1:29" ht="85.5">
      <c r="A14" s="2932" t="s">
        <v>2755</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40"/>
      <c r="M14" s="2132"/>
      <c r="N14" s="2132"/>
      <c r="O14" s="2139"/>
      <c r="P14" s="3394" t="s">
        <v>540</v>
      </c>
      <c r="Q14" s="1570" t="str">
        <f t="shared" si="6"/>
        <v>交通便捷度</v>
      </c>
      <c r="R14" s="1571" t="s">
        <v>8</v>
      </c>
      <c r="S14" s="1572">
        <f t="shared" si="0"/>
        <v>100</v>
      </c>
      <c r="T14" s="1571" t="s">
        <v>8</v>
      </c>
      <c r="U14" s="1572">
        <f t="shared" si="1"/>
        <v>100</v>
      </c>
      <c r="V14" s="1571" t="s">
        <v>8</v>
      </c>
      <c r="W14" s="1572">
        <f t="shared" si="2"/>
        <v>100</v>
      </c>
      <c r="X14" s="1565"/>
      <c r="Y14" s="3394" t="s">
        <v>540</v>
      </c>
      <c r="Z14" s="1573" t="str">
        <f t="shared" si="7"/>
        <v>交通便捷度</v>
      </c>
      <c r="AA14" s="1574">
        <f t="shared" si="3"/>
        <v>1</v>
      </c>
      <c r="AB14" s="1574">
        <f t="shared" si="4"/>
        <v>1</v>
      </c>
      <c r="AC14" s="1574">
        <f t="shared" si="5"/>
        <v>1</v>
      </c>
    </row>
    <row r="15" spans="1:29" ht="15">
      <c r="A15" s="513"/>
      <c r="B15" s="921"/>
      <c r="C15" s="574"/>
      <c r="D15" s="553"/>
      <c r="E15" s="574"/>
      <c r="F15" s="555"/>
      <c r="G15" s="574"/>
      <c r="H15" s="557"/>
      <c r="I15" s="574"/>
      <c r="J15" s="553"/>
      <c r="K15" s="896"/>
      <c r="L15" s="2140"/>
      <c r="M15" s="2132"/>
      <c r="N15" s="2132"/>
      <c r="O15" s="2139"/>
      <c r="P15" s="3395"/>
      <c r="Q15" s="1570"/>
      <c r="R15" s="1571"/>
      <c r="S15" s="1572"/>
      <c r="T15" s="1571"/>
      <c r="U15" s="1572"/>
      <c r="V15" s="1571"/>
      <c r="W15" s="1572"/>
      <c r="X15" s="1565"/>
      <c r="Y15" s="3395"/>
      <c r="Z15" s="1573"/>
      <c r="AA15" s="1574">
        <v>1</v>
      </c>
      <c r="AB15" s="1574">
        <v>1</v>
      </c>
      <c r="AC15" s="1574">
        <v>1</v>
      </c>
    </row>
    <row r="16" spans="1:29" ht="42.75">
      <c r="A16" s="513"/>
      <c r="B16" s="2625" t="s">
        <v>2547</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40"/>
      <c r="M16" s="2132"/>
      <c r="N16" s="2132"/>
      <c r="O16" s="2139"/>
      <c r="P16" s="3395"/>
      <c r="Q16" s="1570" t="str">
        <f>B16</f>
        <v>公共配套设施</v>
      </c>
      <c r="R16" s="1571" t="s">
        <v>8</v>
      </c>
      <c r="S16" s="1572">
        <f>F16</f>
        <v>100</v>
      </c>
      <c r="T16" s="1571" t="s">
        <v>8</v>
      </c>
      <c r="U16" s="1572">
        <f>H16</f>
        <v>100</v>
      </c>
      <c r="V16" s="1571" t="s">
        <v>8</v>
      </c>
      <c r="W16" s="1572">
        <f>J16</f>
        <v>100</v>
      </c>
      <c r="X16" s="1565"/>
      <c r="Y16" s="3395"/>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6"/>
      <c r="L17" s="2140"/>
      <c r="M17" s="2132"/>
      <c r="N17" s="2132"/>
      <c r="O17" s="2139"/>
      <c r="P17" s="3395"/>
      <c r="Q17" s="1570"/>
      <c r="R17" s="1571"/>
      <c r="S17" s="1572"/>
      <c r="T17" s="1571"/>
      <c r="U17" s="1572"/>
      <c r="V17" s="1571"/>
      <c r="W17" s="1572"/>
      <c r="X17" s="1565"/>
      <c r="Y17" s="3395"/>
      <c r="Z17" s="1573"/>
      <c r="AA17" s="1574">
        <v>1</v>
      </c>
      <c r="AB17" s="1574">
        <v>1</v>
      </c>
      <c r="AC17" s="1574">
        <v>1</v>
      </c>
    </row>
    <row r="18" spans="1:29" ht="28.5">
      <c r="A18" s="513"/>
      <c r="B18" s="2613" t="s">
        <v>2559</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40"/>
      <c r="M18" s="2132"/>
      <c r="N18" s="2132"/>
      <c r="O18" s="2139"/>
      <c r="P18" s="3395"/>
      <c r="Q18" s="2601" t="str">
        <f>B18</f>
        <v>基础设施水平</v>
      </c>
      <c r="R18" s="1571" t="s">
        <v>8</v>
      </c>
      <c r="S18" s="1572">
        <f>F18</f>
        <v>100</v>
      </c>
      <c r="T18" s="1571" t="s">
        <v>8</v>
      </c>
      <c r="U18" s="1572">
        <f>H18</f>
        <v>100</v>
      </c>
      <c r="V18" s="1571" t="s">
        <v>8</v>
      </c>
      <c r="W18" s="1572">
        <f>J18</f>
        <v>100</v>
      </c>
      <c r="X18" s="2603"/>
      <c r="Y18" s="3395"/>
      <c r="Z18" s="2602"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24"/>
      <c r="L19" s="2140"/>
      <c r="M19" s="2132"/>
      <c r="N19" s="2132"/>
      <c r="O19" s="2139"/>
      <c r="P19" s="3395"/>
      <c r="Q19" s="2601"/>
      <c r="R19" s="1571"/>
      <c r="S19" s="1572"/>
      <c r="T19" s="1571"/>
      <c r="U19" s="1572"/>
      <c r="V19" s="1571"/>
      <c r="W19" s="1572"/>
      <c r="X19" s="2603"/>
      <c r="Y19" s="3395"/>
      <c r="Z19" s="2602"/>
      <c r="AA19" s="1574">
        <v>1</v>
      </c>
      <c r="AB19" s="1574">
        <v>1</v>
      </c>
      <c r="AC19" s="1574">
        <v>1</v>
      </c>
    </row>
    <row r="20" spans="1:29" ht="57">
      <c r="A20" s="513"/>
      <c r="B20" s="558" t="s">
        <v>803</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40"/>
      <c r="M20" s="2132"/>
      <c r="N20" s="2132"/>
      <c r="O20" s="2139"/>
      <c r="P20" s="3395"/>
      <c r="Q20" s="1570" t="str">
        <f>B20</f>
        <v>自然及人文环境</v>
      </c>
      <c r="R20" s="1571" t="s">
        <v>8</v>
      </c>
      <c r="S20" s="1572">
        <f>F20</f>
        <v>100</v>
      </c>
      <c r="T20" s="1571" t="s">
        <v>8</v>
      </c>
      <c r="U20" s="1572">
        <f>H20</f>
        <v>100</v>
      </c>
      <c r="V20" s="1571" t="s">
        <v>8</v>
      </c>
      <c r="W20" s="1572">
        <f>J20</f>
        <v>100</v>
      </c>
      <c r="X20" s="1565"/>
      <c r="Y20" s="3395"/>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6"/>
      <c r="L21" s="2140"/>
      <c r="M21" s="2132"/>
      <c r="N21" s="2132"/>
      <c r="O21" s="2139"/>
      <c r="P21" s="3395"/>
      <c r="Q21" s="1570"/>
      <c r="R21" s="1571"/>
      <c r="S21" s="1572"/>
      <c r="T21" s="1571"/>
      <c r="U21" s="1572"/>
      <c r="V21" s="1571"/>
      <c r="W21" s="1572"/>
      <c r="X21" s="1565"/>
      <c r="Y21" s="3395"/>
      <c r="Z21" s="1573"/>
      <c r="AA21" s="1574">
        <v>1</v>
      </c>
      <c r="AB21" s="1574">
        <v>1</v>
      </c>
      <c r="AC21" s="1574">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395"/>
      <c r="Q22" s="1570" t="str">
        <f>B22</f>
        <v>楼层</v>
      </c>
      <c r="R22" s="1571" t="s">
        <v>8</v>
      </c>
      <c r="S22" s="1572">
        <f>F22</f>
        <v>100</v>
      </c>
      <c r="T22" s="1571" t="s">
        <v>8</v>
      </c>
      <c r="U22" s="1572">
        <f>H22</f>
        <v>100</v>
      </c>
      <c r="V22" s="1571" t="s">
        <v>8</v>
      </c>
      <c r="W22" s="1572">
        <f>J22</f>
        <v>100</v>
      </c>
      <c r="X22" s="1565"/>
      <c r="Y22" s="3395"/>
      <c r="Z22" s="1573" t="str">
        <f>Q22</f>
        <v>楼层</v>
      </c>
      <c r="AA22" s="1574">
        <f t="shared" si="3"/>
        <v>1</v>
      </c>
      <c r="AB22" s="1574">
        <f t="shared" si="4"/>
        <v>1</v>
      </c>
      <c r="AC22" s="1574">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395"/>
      <c r="Q23" s="1570">
        <f>B23</f>
        <v>111</v>
      </c>
      <c r="R23" s="1571" t="s">
        <v>8</v>
      </c>
      <c r="S23" s="1572">
        <f>F23</f>
        <v>100</v>
      </c>
      <c r="T23" s="1571" t="s">
        <v>8</v>
      </c>
      <c r="U23" s="1572">
        <f>H23</f>
        <v>100</v>
      </c>
      <c r="V23" s="1571" t="s">
        <v>8</v>
      </c>
      <c r="W23" s="1572">
        <f>J23</f>
        <v>100</v>
      </c>
      <c r="X23" s="1565"/>
      <c r="Y23" s="3395"/>
      <c r="Z23" s="1573">
        <f>Q23</f>
        <v>111</v>
      </c>
      <c r="AA23" s="1574">
        <f t="shared" si="3"/>
        <v>1</v>
      </c>
      <c r="AB23" s="1574">
        <f t="shared" si="4"/>
        <v>1</v>
      </c>
      <c r="AC23" s="1574">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395"/>
      <c r="Q24" s="1570">
        <f t="shared" ref="Q24:Q36" si="11">B24</f>
        <v>111</v>
      </c>
      <c r="R24" s="1571" t="s">
        <v>8</v>
      </c>
      <c r="S24" s="1572">
        <f>F24</f>
        <v>100</v>
      </c>
      <c r="T24" s="1571" t="s">
        <v>8</v>
      </c>
      <c r="U24" s="1572">
        <f>H24</f>
        <v>100</v>
      </c>
      <c r="V24" s="1571" t="s">
        <v>8</v>
      </c>
      <c r="W24" s="1572">
        <f>J24</f>
        <v>100</v>
      </c>
      <c r="X24" s="1565"/>
      <c r="Y24" s="3395"/>
      <c r="Z24" s="1573">
        <f>Q24</f>
        <v>111</v>
      </c>
      <c r="AA24" s="1574">
        <f t="shared" si="3"/>
        <v>1</v>
      </c>
      <c r="AB24" s="1574">
        <f t="shared" si="4"/>
        <v>1</v>
      </c>
      <c r="AC24" s="1574">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3"/>
      <c r="M25" s="2134"/>
      <c r="N25" s="2134"/>
      <c r="O25" s="2135"/>
      <c r="P25" s="3395"/>
      <c r="Q25" s="1148">
        <f t="shared" si="11"/>
        <v>111</v>
      </c>
      <c r="R25" s="1566" t="s">
        <v>8</v>
      </c>
      <c r="S25" s="1567">
        <f>F25</f>
        <v>100</v>
      </c>
      <c r="T25" s="1566" t="s">
        <v>8</v>
      </c>
      <c r="U25" s="1567">
        <f>H25</f>
        <v>100</v>
      </c>
      <c r="V25" s="1566" t="s">
        <v>8</v>
      </c>
      <c r="W25" s="1567">
        <f>J25</f>
        <v>100</v>
      </c>
      <c r="X25" s="1568"/>
      <c r="Y25" s="3395"/>
      <c r="Z25" s="1147">
        <f>Q25</f>
        <v>111</v>
      </c>
      <c r="AA25" s="1574">
        <f>D25/F25</f>
        <v>1</v>
      </c>
      <c r="AB25" s="1574">
        <f>D25/H25</f>
        <v>1</v>
      </c>
      <c r="AC25" s="1574">
        <f>D25/J25</f>
        <v>1</v>
      </c>
    </row>
    <row r="26" spans="1:29" ht="15">
      <c r="A26" s="2929" t="s">
        <v>2756</v>
      </c>
      <c r="B26" s="170" t="s">
        <v>805</v>
      </c>
      <c r="C26" s="925">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396"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97" t="s">
        <v>550</v>
      </c>
      <c r="Z26" s="1573" t="str">
        <f t="shared" ref="Z26:Z36" si="15">Q26</f>
        <v>配套类型</v>
      </c>
      <c r="AA26" s="1574">
        <f t="shared" si="3"/>
        <v>1</v>
      </c>
      <c r="AB26" s="1574">
        <f t="shared" si="4"/>
        <v>1</v>
      </c>
      <c r="AC26" s="1574">
        <f t="shared" si="5"/>
        <v>1</v>
      </c>
    </row>
    <row r="27" spans="1:29" s="1336" customFormat="1" ht="15">
      <c r="A27" s="926"/>
      <c r="B27" s="580" t="s">
        <v>806</v>
      </c>
      <c r="C27" s="927"/>
      <c r="D27" s="253">
        <v>100</v>
      </c>
      <c r="E27" s="927"/>
      <c r="F27" s="573">
        <f>SUMIF(81:81,E27,82:82)-SUMIF(81:81,C27,82:82)+100</f>
        <v>100</v>
      </c>
      <c r="G27" s="927"/>
      <c r="H27" s="538">
        <f>SUMIF(81:81,G27,82:82)-SUMIF(81:81,C27,82:82)+100</f>
        <v>100</v>
      </c>
      <c r="I27" s="927"/>
      <c r="J27" s="538">
        <f>SUMIF(81:81,I27,82:82)-SUMIF(81:81,C27,82:82)+100</f>
        <v>100</v>
      </c>
      <c r="K27" s="579"/>
      <c r="L27" s="2138"/>
      <c r="M27" s="2169"/>
      <c r="N27" s="2169"/>
      <c r="O27" s="2141"/>
      <c r="P27" s="3397"/>
      <c r="Q27" s="1603" t="str">
        <f t="shared" si="11"/>
        <v>项目停车位配比</v>
      </c>
      <c r="R27" s="1575" t="s">
        <v>8</v>
      </c>
      <c r="S27" s="1576">
        <f t="shared" si="12"/>
        <v>100</v>
      </c>
      <c r="T27" s="1575" t="s">
        <v>8</v>
      </c>
      <c r="U27" s="1576">
        <f t="shared" si="13"/>
        <v>100</v>
      </c>
      <c r="V27" s="1575" t="s">
        <v>8</v>
      </c>
      <c r="W27" s="1576">
        <f t="shared" si="14"/>
        <v>100</v>
      </c>
      <c r="X27" s="1577"/>
      <c r="Y27" s="3397"/>
      <c r="Z27" s="1578" t="str">
        <f t="shared" si="15"/>
        <v>项目停车位配比</v>
      </c>
      <c r="AA27" s="1574">
        <f t="shared" si="3"/>
        <v>1</v>
      </c>
      <c r="AB27" s="1574">
        <f t="shared" si="4"/>
        <v>1</v>
      </c>
      <c r="AC27" s="1574">
        <f t="shared" si="5"/>
        <v>1</v>
      </c>
    </row>
    <row r="28" spans="1:29" ht="15">
      <c r="A28" s="928"/>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397"/>
      <c r="Q28" s="1570" t="str">
        <f t="shared" si="11"/>
        <v>公共部分装修</v>
      </c>
      <c r="R28" s="1571" t="s">
        <v>8</v>
      </c>
      <c r="S28" s="1572">
        <f t="shared" si="12"/>
        <v>100</v>
      </c>
      <c r="T28" s="1571" t="s">
        <v>8</v>
      </c>
      <c r="U28" s="1572">
        <f t="shared" si="13"/>
        <v>100</v>
      </c>
      <c r="V28" s="1571" t="s">
        <v>8</v>
      </c>
      <c r="W28" s="1572">
        <f t="shared" si="14"/>
        <v>100</v>
      </c>
      <c r="X28" s="1565"/>
      <c r="Y28" s="3397"/>
      <c r="Z28" s="1573" t="str">
        <f t="shared" si="15"/>
        <v>公共部分装修</v>
      </c>
      <c r="AA28" s="1574">
        <f t="shared" si="3"/>
        <v>1</v>
      </c>
      <c r="AB28" s="1574">
        <f t="shared" si="4"/>
        <v>1</v>
      </c>
      <c r="AC28" s="1574">
        <f t="shared" si="5"/>
        <v>1</v>
      </c>
    </row>
    <row r="29" spans="1:29" ht="15">
      <c r="A29" s="928"/>
      <c r="B29" s="580" t="s">
        <v>808</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40"/>
      <c r="M29" s="2132"/>
      <c r="N29" s="2132"/>
      <c r="O29" s="2139"/>
      <c r="P29" s="3397"/>
      <c r="Q29" s="1570" t="str">
        <f t="shared" si="11"/>
        <v>成新率</v>
      </c>
      <c r="R29" s="1571" t="s">
        <v>8</v>
      </c>
      <c r="S29" s="1572" t="e">
        <f t="shared" si="12"/>
        <v>#N/A</v>
      </c>
      <c r="T29" s="1571" t="s">
        <v>8</v>
      </c>
      <c r="U29" s="1572" t="e">
        <f t="shared" si="13"/>
        <v>#N/A</v>
      </c>
      <c r="V29" s="1571" t="s">
        <v>8</v>
      </c>
      <c r="W29" s="1572" t="e">
        <f t="shared" si="14"/>
        <v>#N/A</v>
      </c>
      <c r="X29" s="1565"/>
      <c r="Y29" s="3397"/>
      <c r="Z29" s="1573" t="str">
        <f t="shared" si="15"/>
        <v>成新率</v>
      </c>
      <c r="AA29" s="1574" t="e">
        <f t="shared" si="3"/>
        <v>#N/A</v>
      </c>
      <c r="AB29" s="1574" t="e">
        <f t="shared" si="4"/>
        <v>#N/A</v>
      </c>
      <c r="AC29" s="1574" t="e">
        <f t="shared" si="5"/>
        <v>#N/A</v>
      </c>
    </row>
    <row r="30" spans="1:29" ht="15">
      <c r="A30" s="928"/>
      <c r="B30" s="580" t="s">
        <v>809</v>
      </c>
      <c r="C30" s="929"/>
      <c r="D30" s="538">
        <v>100</v>
      </c>
      <c r="E30" s="929"/>
      <c r="F30" s="573">
        <f>SUMIF(88:88,E30,89:89)-SUMIF(88:88,C30,89:89)+100</f>
        <v>100</v>
      </c>
      <c r="G30" s="929"/>
      <c r="H30" s="538">
        <f>SUMIF(88:88,E30,89:89)-SUMIF(88:88,C30,89:89)+100</f>
        <v>100</v>
      </c>
      <c r="I30" s="929"/>
      <c r="J30" s="538">
        <f>SUMIF(88:88,E30,89:89)-SUMIF(88:88,C30,89:89)+100</f>
        <v>100</v>
      </c>
      <c r="K30" s="582"/>
      <c r="L30" s="2140"/>
      <c r="M30" s="2132"/>
      <c r="N30" s="2132"/>
      <c r="O30" s="2139"/>
      <c r="P30" s="3397"/>
      <c r="Q30" s="1570" t="str">
        <f t="shared" si="11"/>
        <v>物业等级</v>
      </c>
      <c r="R30" s="1571" t="s">
        <v>8</v>
      </c>
      <c r="S30" s="1572">
        <f t="shared" si="12"/>
        <v>100</v>
      </c>
      <c r="T30" s="1571" t="s">
        <v>8</v>
      </c>
      <c r="U30" s="1572">
        <f t="shared" si="13"/>
        <v>100</v>
      </c>
      <c r="V30" s="1571" t="s">
        <v>8</v>
      </c>
      <c r="W30" s="1572">
        <f t="shared" si="14"/>
        <v>100</v>
      </c>
      <c r="X30" s="1565"/>
      <c r="Y30" s="3397"/>
      <c r="Z30" s="1573" t="str">
        <f t="shared" si="15"/>
        <v>物业等级</v>
      </c>
      <c r="AA30" s="1574">
        <f t="shared" si="3"/>
        <v>1</v>
      </c>
      <c r="AB30" s="1574">
        <f t="shared" si="4"/>
        <v>1</v>
      </c>
      <c r="AC30" s="1574">
        <f t="shared" si="5"/>
        <v>1</v>
      </c>
    </row>
    <row r="31" spans="1:29" s="1217" customFormat="1" ht="15">
      <c r="A31" s="930"/>
      <c r="B31" s="580" t="s">
        <v>810</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3"/>
      <c r="M31" s="2134"/>
      <c r="N31" s="2134"/>
      <c r="O31" s="2135"/>
      <c r="P31" s="3397"/>
      <c r="Q31" s="1148" t="str">
        <f t="shared" si="11"/>
        <v>停车位面积</v>
      </c>
      <c r="R31" s="1566" t="s">
        <v>8</v>
      </c>
      <c r="S31" s="1567" t="e">
        <f t="shared" si="12"/>
        <v>#N/A</v>
      </c>
      <c r="T31" s="1566" t="s">
        <v>8</v>
      </c>
      <c r="U31" s="1567" t="e">
        <f t="shared" si="13"/>
        <v>#N/A</v>
      </c>
      <c r="V31" s="1566" t="s">
        <v>8</v>
      </c>
      <c r="W31" s="1567" t="e">
        <f t="shared" si="14"/>
        <v>#N/A</v>
      </c>
      <c r="X31" s="1568"/>
      <c r="Y31" s="3397"/>
      <c r="Z31" s="1147" t="str">
        <f t="shared" si="15"/>
        <v>停车位面积</v>
      </c>
      <c r="AA31" s="1569" t="e">
        <f t="shared" si="3"/>
        <v>#N/A</v>
      </c>
      <c r="AB31" s="1569" t="e">
        <f t="shared" si="4"/>
        <v>#N/A</v>
      </c>
      <c r="AC31" s="1569" t="e">
        <f t="shared" si="5"/>
        <v>#N/A</v>
      </c>
    </row>
    <row r="32" spans="1:29" ht="15">
      <c r="A32" s="928"/>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397" t="s">
        <v>550</v>
      </c>
      <c r="Q32" s="1570" t="str">
        <f t="shared" si="11"/>
        <v>车位类型</v>
      </c>
      <c r="R32" s="1571" t="s">
        <v>8</v>
      </c>
      <c r="S32" s="1572">
        <f t="shared" si="12"/>
        <v>100</v>
      </c>
      <c r="T32" s="1571" t="s">
        <v>8</v>
      </c>
      <c r="U32" s="1572">
        <f t="shared" si="13"/>
        <v>100</v>
      </c>
      <c r="V32" s="1571" t="s">
        <v>8</v>
      </c>
      <c r="W32" s="1572">
        <f t="shared" si="14"/>
        <v>100</v>
      </c>
      <c r="X32" s="1565"/>
      <c r="Y32" s="3397" t="s">
        <v>550</v>
      </c>
      <c r="Z32" s="1573" t="str">
        <f t="shared" si="15"/>
        <v>车位类型</v>
      </c>
      <c r="AA32" s="1574">
        <f t="shared" si="3"/>
        <v>1</v>
      </c>
      <c r="AB32" s="1574">
        <f t="shared" si="4"/>
        <v>1</v>
      </c>
      <c r="AC32" s="1574">
        <f t="shared" si="5"/>
        <v>1</v>
      </c>
    </row>
    <row r="33" spans="1:29" ht="15">
      <c r="A33" s="928"/>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397"/>
      <c r="Q33" s="1570" t="str">
        <f t="shared" si="11"/>
        <v>是否直接入户</v>
      </c>
      <c r="R33" s="1571" t="s">
        <v>8</v>
      </c>
      <c r="S33" s="1572">
        <f t="shared" si="12"/>
        <v>100</v>
      </c>
      <c r="T33" s="1571" t="s">
        <v>8</v>
      </c>
      <c r="U33" s="1572">
        <f t="shared" si="13"/>
        <v>100</v>
      </c>
      <c r="V33" s="1571" t="s">
        <v>8</v>
      </c>
      <c r="W33" s="1572">
        <f t="shared" si="14"/>
        <v>100</v>
      </c>
      <c r="X33" s="1565"/>
      <c r="Y33" s="3397"/>
      <c r="Z33" s="1573" t="str">
        <f t="shared" si="15"/>
        <v>是否直接入户</v>
      </c>
      <c r="AA33" s="1574">
        <f t="shared" si="3"/>
        <v>1</v>
      </c>
      <c r="AB33" s="1574">
        <f t="shared" si="4"/>
        <v>1</v>
      </c>
      <c r="AC33" s="1574">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397"/>
      <c r="Q34" s="1570">
        <f t="shared" si="11"/>
        <v>111</v>
      </c>
      <c r="R34" s="1571" t="s">
        <v>8</v>
      </c>
      <c r="S34" s="1572">
        <f t="shared" si="12"/>
        <v>100</v>
      </c>
      <c r="T34" s="1571" t="s">
        <v>8</v>
      </c>
      <c r="U34" s="1572">
        <f t="shared" si="13"/>
        <v>100</v>
      </c>
      <c r="V34" s="1571" t="s">
        <v>8</v>
      </c>
      <c r="W34" s="1572">
        <f t="shared" si="14"/>
        <v>100</v>
      </c>
      <c r="X34" s="1565"/>
      <c r="Y34" s="3397"/>
      <c r="Z34" s="1573">
        <f t="shared" si="15"/>
        <v>111</v>
      </c>
      <c r="AA34" s="1574">
        <f t="shared" si="3"/>
        <v>1</v>
      </c>
      <c r="AB34" s="1574">
        <f t="shared" si="4"/>
        <v>1</v>
      </c>
      <c r="AC34" s="1574">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397"/>
      <c r="Q35" s="1603">
        <f t="shared" si="11"/>
        <v>111</v>
      </c>
      <c r="R35" s="1575" t="s">
        <v>8</v>
      </c>
      <c r="S35" s="1576">
        <f t="shared" si="12"/>
        <v>100</v>
      </c>
      <c r="T35" s="1575" t="s">
        <v>8</v>
      </c>
      <c r="U35" s="1576">
        <f t="shared" si="13"/>
        <v>100</v>
      </c>
      <c r="V35" s="1575" t="s">
        <v>8</v>
      </c>
      <c r="W35" s="1576">
        <f t="shared" si="14"/>
        <v>100</v>
      </c>
      <c r="X35" s="1577"/>
      <c r="Y35" s="3397"/>
      <c r="Z35" s="1578">
        <f t="shared" si="15"/>
        <v>111</v>
      </c>
      <c r="AA35" s="1574">
        <f t="shared" si="3"/>
        <v>1</v>
      </c>
      <c r="AB35" s="1574">
        <f t="shared" si="4"/>
        <v>1</v>
      </c>
      <c r="AC35" s="1574">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397"/>
      <c r="Q36" s="1570">
        <f t="shared" si="11"/>
        <v>111</v>
      </c>
      <c r="R36" s="1571" t="s">
        <v>8</v>
      </c>
      <c r="S36" s="1572">
        <f t="shared" si="12"/>
        <v>100</v>
      </c>
      <c r="T36" s="1571" t="s">
        <v>8</v>
      </c>
      <c r="U36" s="1572">
        <f t="shared" si="13"/>
        <v>100</v>
      </c>
      <c r="V36" s="1571" t="s">
        <v>8</v>
      </c>
      <c r="W36" s="1572">
        <f t="shared" si="14"/>
        <v>100</v>
      </c>
      <c r="X36" s="1565"/>
      <c r="Y36" s="3397"/>
      <c r="Z36" s="1573">
        <f t="shared" si="15"/>
        <v>111</v>
      </c>
      <c r="AA36" s="1574">
        <f t="shared" si="3"/>
        <v>1</v>
      </c>
      <c r="AB36" s="1574">
        <f t="shared" si="4"/>
        <v>1</v>
      </c>
      <c r="AC36" s="1574">
        <f t="shared" si="5"/>
        <v>1</v>
      </c>
    </row>
    <row r="37" spans="1:29" ht="15">
      <c r="A37" s="1844" t="s">
        <v>2077</v>
      </c>
      <c r="B37" s="1845" t="s">
        <v>2078</v>
      </c>
      <c r="C37" s="2649" t="s">
        <v>1</v>
      </c>
      <c r="D37" s="2650"/>
      <c r="E37" s="2651"/>
      <c r="F37" s="2652"/>
      <c r="G37" s="2653"/>
      <c r="H37" s="2654"/>
      <c r="I37" s="2651"/>
      <c r="J37" s="2654"/>
      <c r="K37" s="1609"/>
      <c r="L37" s="2142"/>
      <c r="M37" s="2143"/>
      <c r="N37" s="2132"/>
      <c r="O37" s="2143"/>
      <c r="P37" s="3392" t="str">
        <f>A37</f>
        <v>成交单价</v>
      </c>
      <c r="Q37" s="3392"/>
      <c r="R37" s="3472">
        <f>E37</f>
        <v>0</v>
      </c>
      <c r="S37" s="3472"/>
      <c r="T37" s="3472">
        <f>G37</f>
        <v>0</v>
      </c>
      <c r="U37" s="3472"/>
      <c r="V37" s="3472">
        <f>I37</f>
        <v>0</v>
      </c>
      <c r="W37" s="3472"/>
      <c r="X37" s="1557"/>
      <c r="Y37" s="1579"/>
      <c r="Z37" s="1557"/>
      <c r="AA37" s="1557"/>
      <c r="AB37" s="1557"/>
      <c r="AC37" s="1557"/>
    </row>
    <row r="38" spans="1:29" ht="15.75" thickBot="1">
      <c r="A38" s="613" t="s">
        <v>2761</v>
      </c>
      <c r="B38" s="885"/>
      <c r="C38" s="2655" t="e">
        <f>R39</f>
        <v>#DIV/0!</v>
      </c>
      <c r="D38" s="2656"/>
      <c r="E38" s="2657" t="e">
        <f>R38</f>
        <v>#DIV/0!</v>
      </c>
      <c r="F38" s="2657"/>
      <c r="G38" s="2655" t="e">
        <f>T38</f>
        <v>#DIV/0!</v>
      </c>
      <c r="H38" s="2656"/>
      <c r="I38" s="2657" t="e">
        <f>V38</f>
        <v>#DIV/0!</v>
      </c>
      <c r="J38" s="2656"/>
      <c r="K38" s="1610"/>
      <c r="L38" s="2142"/>
      <c r="M38" s="2143"/>
      <c r="N38" s="2143"/>
      <c r="O38" s="2143"/>
      <c r="P38" s="3392" t="str">
        <f>A38</f>
        <v>比较价格（元/平方米）</v>
      </c>
      <c r="Q38" s="3392"/>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57"/>
      <c r="Y38" s="1557"/>
      <c r="Z38" s="1557"/>
      <c r="AA38" s="1557"/>
      <c r="AB38" s="1557"/>
      <c r="AC38" s="1557"/>
    </row>
    <row r="39" spans="1:29" ht="15.75" thickBot="1">
      <c r="A39" s="619" t="s">
        <v>2935</v>
      </c>
      <c r="B39" s="620"/>
      <c r="C39" s="2658" t="e">
        <f>R39</f>
        <v>#DIV/0!</v>
      </c>
      <c r="D39" s="2658"/>
      <c r="E39" s="2658"/>
      <c r="F39" s="2658"/>
      <c r="G39" s="2658"/>
      <c r="H39" s="2658"/>
      <c r="I39" s="2658"/>
      <c r="J39" s="2658"/>
      <c r="K39" s="1611"/>
      <c r="L39" s="2142"/>
      <c r="M39" s="2143"/>
      <c r="N39" s="2143"/>
      <c r="O39" s="2143"/>
      <c r="P39" s="3414" t="str">
        <f>A39</f>
        <v>估价对象XX用房的比较价格（楼面单价，元/平方米）</v>
      </c>
      <c r="Q39" s="3415"/>
      <c r="R39" s="3471" t="e">
        <f>IF(F1="售价",ROUND(AVERAGE(R38:V38),0),ROUND(AVERAGE(R38:V38),1))</f>
        <v>#DIV/0!</v>
      </c>
      <c r="S39" s="3471"/>
      <c r="T39" s="3471"/>
      <c r="U39" s="3471"/>
      <c r="V39" s="3471"/>
      <c r="W39" s="3471"/>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7" customFormat="1" ht="15">
      <c r="A49" s="645"/>
      <c r="B49" s="646"/>
      <c r="C49" s="2825">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7"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7"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736</v>
      </c>
      <c r="D55" s="672" t="s">
        <v>737</v>
      </c>
      <c r="E55" s="672" t="s">
        <v>738</v>
      </c>
      <c r="F55" s="672" t="s">
        <v>739</v>
      </c>
      <c r="G55" s="672" t="s">
        <v>740</v>
      </c>
      <c r="H55" s="672" t="s">
        <v>741</v>
      </c>
      <c r="I55" s="672" t="s">
        <v>742</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2">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2558</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9" t="s">
        <v>2559</v>
      </c>
      <c r="C67" s="2620" t="s">
        <v>2560</v>
      </c>
      <c r="D67" s="2620" t="s">
        <v>2561</v>
      </c>
      <c r="E67" s="2620" t="s">
        <v>2562</v>
      </c>
      <c r="F67" s="2620" t="s">
        <v>2563</v>
      </c>
      <c r="G67" s="2620" t="s">
        <v>2564</v>
      </c>
      <c r="H67" s="672"/>
      <c r="I67" s="672"/>
      <c r="J67" s="672"/>
      <c r="K67" s="672"/>
      <c r="L67" s="672"/>
      <c r="M67" s="2623"/>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743</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744</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7"/>
      <c r="B73" s="671">
        <f>B23</f>
        <v>111</v>
      </c>
      <c r="C73" s="539"/>
      <c r="D73" s="539"/>
      <c r="E73" s="539"/>
      <c r="F73" s="539"/>
      <c r="G73" s="686"/>
      <c r="H73" s="686"/>
      <c r="I73" s="686"/>
      <c r="J73" s="686"/>
      <c r="K73" s="686"/>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7"/>
      <c r="B75" s="671">
        <f>B24</f>
        <v>111</v>
      </c>
      <c r="C75" s="539"/>
      <c r="D75" s="539"/>
      <c r="E75" s="539"/>
      <c r="F75" s="539"/>
      <c r="G75" s="686"/>
      <c r="H75" s="686"/>
      <c r="I75" s="686"/>
      <c r="J75" s="686"/>
      <c r="K75" s="686"/>
      <c r="L75" s="686"/>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813</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814</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750</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819</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4">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6"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大业信托有限责任公司：</v>
      </c>
    </row>
    <row r="4" spans="1:4" ht="56.25">
      <c r="A4" s="1789" t="str">
        <f>"受贵公司委托，我公司对"&amp;项目基本情况!K2&amp;项目基本情况!B9&amp;"进行了预评估。"</f>
        <v>受贵公司委托，我公司对安徽省来安县汊河新区长江大街西侧、明发北站新城北侧及黄高路东侧、明发北站新城北侧两宗住宅用地出让国有建设用地使用权抵押价格进行了预评估。</v>
      </c>
    </row>
    <row r="5" spans="1:4" ht="18.75">
      <c r="A5" s="1792" t="s">
        <v>1905</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来安裕泰房地产开发有限公司使用的、位于安徽省来安县汊河新区长江大街西侧、明发北站新城北侧及黄高路东侧、明发北站新城北侧两宗住宅用地出让国有建设用地使用权。根据《国有土地使用证》[]，估价对象（分摊）出让国有建设用地使用权面积为74959平方米。根据《建设工程规划许可证》[]、《出让合同》[]，估价对象规划建筑面积为191725平方米。</v>
      </c>
    </row>
    <row r="7" spans="1:4" ht="93.75">
      <c r="A7" s="2895" t="s">
        <v>2749</v>
      </c>
    </row>
    <row r="8" spans="1:4" ht="18.75">
      <c r="A8" s="1792" t="s">
        <v>1906</v>
      </c>
    </row>
    <row r="9" spans="1:4" ht="112.5">
      <c r="A9" s="1794" t="str">
        <f>IF(项目基本情况!B8="抵押",IF(项目基本情况!B5=项目基本情况!B6,定义!C51,定义!B51),定义!D51)</f>
        <v>来安裕泰房地产开发有限公司拟使用安徽省来安县汊河新区长江大街西侧、明发北站新城北侧及黄高路东侧、明发北站新城北侧两宗住宅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2018年5月19日（评估专业人员勘察现场之日）</v>
      </c>
    </row>
    <row r="12" spans="1:4" ht="18.75">
      <c r="A12" s="1795" t="s">
        <v>2025</v>
      </c>
    </row>
    <row r="13" spans="1:4" ht="18.75">
      <c r="A13" s="1789" t="s">
        <v>2071</v>
      </c>
    </row>
    <row r="14" spans="1:4" ht="37.5">
      <c r="A14" s="1789" t="str">
        <f>"根据"&amp;项目基本情况!F12&amp;"，本次评估估价对象证载（地类）用途为"&amp;项目基本情况!B12&amp;"。"</f>
        <v>根据《国有建设用地使用权出让合同》[电子监管号：3411222017B00982]及附件，本次评估估价对象证载（地类）用途为住宅、商业。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2073</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根据《国有土地使用证》[]，估价对象（分摊）出让国有建设用地使用权面积为74959平方米。根据《建设工程规划许可证》[]、《出让合同》[]，估价对象规划建筑面积为191725平方米。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97" t="s">
        <v>2750</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5月19日，在规划利用条件下、设定土地开发程度为红线外“七通”、宗地内场地平整，设定用途为住宅、商业，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791</v>
      </c>
      <c r="D1" s="847"/>
      <c r="E1" s="504"/>
      <c r="F1" s="2829"/>
      <c r="G1" s="1599" t="s">
        <v>792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793</v>
      </c>
      <c r="B2" s="848"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794</v>
      </c>
      <c r="B3" s="508" t="e">
        <f>C37</f>
        <v>#DIV/0!</v>
      </c>
      <c r="C3" s="850" t="s">
        <v>795</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796</v>
      </c>
      <c r="B4" s="511"/>
      <c r="C4" s="3398" t="s">
        <v>797</v>
      </c>
      <c r="D4" s="3399"/>
      <c r="E4" s="3423" t="s">
        <v>798</v>
      </c>
      <c r="F4" s="3424"/>
      <c r="G4" s="3398" t="s">
        <v>799</v>
      </c>
      <c r="H4" s="3399"/>
      <c r="I4" s="3398" t="s">
        <v>800</v>
      </c>
      <c r="J4" s="3399"/>
      <c r="K4" s="512" t="s">
        <v>801</v>
      </c>
      <c r="L4" s="2131"/>
      <c r="M4" s="2132"/>
      <c r="N4" s="2132"/>
      <c r="O4" s="2132"/>
      <c r="P4" s="3400" t="s">
        <v>802</v>
      </c>
      <c r="Q4" s="3401"/>
      <c r="R4" s="3386" t="s">
        <v>798</v>
      </c>
      <c r="S4" s="3387"/>
      <c r="T4" s="3386" t="s">
        <v>799</v>
      </c>
      <c r="U4" s="3387"/>
      <c r="V4" s="3406" t="s">
        <v>800</v>
      </c>
      <c r="W4" s="3406"/>
      <c r="X4" s="1565"/>
      <c r="Y4" s="3386" t="s">
        <v>802</v>
      </c>
      <c r="Z4" s="3387"/>
      <c r="AA4" s="3381" t="s">
        <v>798</v>
      </c>
      <c r="AB4" s="3382" t="s">
        <v>799</v>
      </c>
      <c r="AC4" s="3381" t="s">
        <v>800</v>
      </c>
    </row>
    <row r="5" spans="1:29" ht="15">
      <c r="A5" s="513"/>
      <c r="B5" s="514"/>
      <c r="C5" s="3427" t="s">
        <v>2929</v>
      </c>
      <c r="D5" s="3410"/>
      <c r="E5" s="3425" t="s">
        <v>2930</v>
      </c>
      <c r="F5" s="3426"/>
      <c r="G5" s="3427" t="s">
        <v>2931</v>
      </c>
      <c r="H5" s="3410"/>
      <c r="I5" s="3427" t="s">
        <v>2932</v>
      </c>
      <c r="J5" s="3410"/>
      <c r="K5" s="512"/>
      <c r="L5" s="2131"/>
      <c r="M5" s="2132"/>
      <c r="N5" s="2132"/>
      <c r="O5" s="2132"/>
      <c r="P5" s="3402"/>
      <c r="Q5" s="3403"/>
      <c r="R5" s="3388"/>
      <c r="S5" s="3389"/>
      <c r="T5" s="3388"/>
      <c r="U5" s="3389"/>
      <c r="V5" s="3406"/>
      <c r="W5" s="3406"/>
      <c r="X5" s="1565"/>
      <c r="Y5" s="3388"/>
      <c r="Z5" s="3389"/>
      <c r="AA5" s="3382"/>
      <c r="AB5" s="3382"/>
      <c r="AC5" s="3382"/>
    </row>
    <row r="6" spans="1:29" ht="15.75" thickBot="1">
      <c r="A6" s="515"/>
      <c r="B6" s="516"/>
      <c r="C6" s="3407" t="s">
        <v>2933</v>
      </c>
      <c r="D6" s="3408"/>
      <c r="E6" s="3428" t="s">
        <v>2933</v>
      </c>
      <c r="F6" s="3429"/>
      <c r="G6" s="3407" t="s">
        <v>2933</v>
      </c>
      <c r="H6" s="3408"/>
      <c r="I6" s="3407" t="s">
        <v>2933</v>
      </c>
      <c r="J6" s="3408"/>
      <c r="K6" s="512" t="s">
        <v>528</v>
      </c>
      <c r="L6" s="2131"/>
      <c r="M6" s="2132"/>
      <c r="N6" s="2132"/>
      <c r="O6" s="2132"/>
      <c r="P6" s="3404"/>
      <c r="Q6" s="3405"/>
      <c r="R6" s="3388"/>
      <c r="S6" s="3389"/>
      <c r="T6" s="3390"/>
      <c r="U6" s="3391"/>
      <c r="V6" s="3406"/>
      <c r="W6" s="3406"/>
      <c r="X6" s="1565"/>
      <c r="Y6" s="3390"/>
      <c r="Z6" s="3391"/>
      <c r="AA6" s="3383"/>
      <c r="AB6" s="3383"/>
      <c r="AC6" s="3383"/>
    </row>
    <row r="7" spans="1:29" s="1217" customFormat="1" ht="15.75" thickBot="1">
      <c r="A7" s="2934"/>
      <c r="B7" s="2941" t="s">
        <v>529</v>
      </c>
      <c r="C7" s="517">
        <f>'数据-取费表'!B2</f>
        <v>43239</v>
      </c>
      <c r="D7" s="518">
        <v>100</v>
      </c>
      <c r="E7" s="519"/>
      <c r="F7" s="520">
        <f>SUMIF(46:46,YEAR(E7)&amp;"-"&amp;MONTH(E7),47:47)</f>
        <v>0</v>
      </c>
      <c r="G7" s="521"/>
      <c r="H7" s="518">
        <f>SUMIF(46:46,YEAR(G7)&amp;"-"&amp;MONTH(G7),47:47)</f>
        <v>0</v>
      </c>
      <c r="I7" s="521"/>
      <c r="J7" s="518">
        <f>SUMIF(46:46,YEAR(I7)&amp;"-"&amp;MONTH(I7),47:47)</f>
        <v>0</v>
      </c>
      <c r="K7" s="522"/>
      <c r="L7" s="2133"/>
      <c r="M7" s="2134"/>
      <c r="N7" s="2134"/>
      <c r="O7" s="2134"/>
      <c r="P7" s="3384" t="s">
        <v>530</v>
      </c>
      <c r="Q7" s="3393"/>
      <c r="R7" s="1566" t="s">
        <v>8</v>
      </c>
      <c r="S7" s="1567">
        <f t="shared" ref="S7:S14" si="0">F7</f>
        <v>0</v>
      </c>
      <c r="T7" s="1566" t="s">
        <v>8</v>
      </c>
      <c r="U7" s="1567">
        <f t="shared" ref="U7:U14" si="1">H7</f>
        <v>0</v>
      </c>
      <c r="V7" s="1566" t="s">
        <v>8</v>
      </c>
      <c r="W7" s="1567">
        <f t="shared" ref="W7:W14" si="2">J7</f>
        <v>0</v>
      </c>
      <c r="X7" s="1568"/>
      <c r="Y7" s="3384" t="s">
        <v>530</v>
      </c>
      <c r="Z7" s="3385"/>
      <c r="AA7" s="1569" t="e">
        <f>D7/F7</f>
        <v>#DIV/0!</v>
      </c>
      <c r="AB7" s="1569" t="e">
        <f>D7/H7</f>
        <v>#DIV/0!</v>
      </c>
      <c r="AC7" s="1569" t="e">
        <f>D7/J7</f>
        <v>#DIV/0!</v>
      </c>
    </row>
    <row r="8" spans="1:29" s="1217"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34" si="3">D8/F8</f>
        <v>#DIV/0!</v>
      </c>
      <c r="AB8" s="1569" t="e">
        <f t="shared" ref="AB8:AB34" si="4">D8/H8</f>
        <v>#DIV/0!</v>
      </c>
      <c r="AC8" s="1569" t="e">
        <f t="shared" ref="AC8:AC34" si="5">D8/J8</f>
        <v>#DIV/0!</v>
      </c>
    </row>
    <row r="9" spans="1:29" s="1217" customFormat="1" ht="15">
      <c r="A9" s="2936"/>
      <c r="B9" s="2943" t="s">
        <v>2757</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92" t="s">
        <v>535</v>
      </c>
      <c r="Q9" s="1148" t="str">
        <f t="shared" ref="Q9:Q14" si="6">B9</f>
        <v>用途</v>
      </c>
      <c r="R9" s="1566" t="s">
        <v>8</v>
      </c>
      <c r="S9" s="1567">
        <f t="shared" si="0"/>
        <v>100</v>
      </c>
      <c r="T9" s="1566" t="s">
        <v>8</v>
      </c>
      <c r="U9" s="1567">
        <f t="shared" si="1"/>
        <v>100</v>
      </c>
      <c r="V9" s="1566" t="s">
        <v>8</v>
      </c>
      <c r="W9" s="1567">
        <f t="shared" si="2"/>
        <v>100</v>
      </c>
      <c r="X9" s="1568"/>
      <c r="Y9" s="3349" t="s">
        <v>536</v>
      </c>
      <c r="Z9" s="1147" t="str">
        <f t="shared" ref="Z9:Z14" si="7">Q9</f>
        <v>用途</v>
      </c>
      <c r="AA9" s="1569">
        <f t="shared" si="3"/>
        <v>1</v>
      </c>
      <c r="AB9" s="1569">
        <f t="shared" si="4"/>
        <v>1</v>
      </c>
      <c r="AC9" s="1569">
        <f t="shared" si="5"/>
        <v>1</v>
      </c>
    </row>
    <row r="10" spans="1:29" s="1335" customFormat="1" ht="27">
      <c r="A10" s="2937"/>
      <c r="B10" s="2942" t="s">
        <v>2758</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92"/>
      <c r="Q10" s="1148" t="str">
        <f t="shared" si="6"/>
        <v>土地使用年限（年）</v>
      </c>
      <c r="R10" s="1566" t="s">
        <v>8</v>
      </c>
      <c r="S10" s="1567">
        <f t="shared" si="0"/>
        <v>100</v>
      </c>
      <c r="T10" s="1566" t="s">
        <v>8</v>
      </c>
      <c r="U10" s="1567">
        <f t="shared" si="1"/>
        <v>100</v>
      </c>
      <c r="V10" s="1566" t="s">
        <v>8</v>
      </c>
      <c r="W10" s="1567">
        <f t="shared" si="2"/>
        <v>100</v>
      </c>
      <c r="X10" s="1568"/>
      <c r="Y10" s="3349"/>
      <c r="Z10" s="1147" t="str">
        <f t="shared" si="7"/>
        <v>土地使用年限（年）</v>
      </c>
      <c r="AA10" s="1569">
        <f t="shared" si="3"/>
        <v>1</v>
      </c>
      <c r="AB10" s="1569">
        <f t="shared" si="4"/>
        <v>1</v>
      </c>
      <c r="AC10" s="1569">
        <f t="shared" si="5"/>
        <v>1</v>
      </c>
    </row>
    <row r="11" spans="1:29" ht="15">
      <c r="A11" s="2939"/>
      <c r="B11" s="2945">
        <v>111</v>
      </c>
      <c r="C11" s="526"/>
      <c r="D11" s="253">
        <v>100</v>
      </c>
      <c r="E11" s="877"/>
      <c r="F11" s="253">
        <f>SUMIF(55:55,E11,56:56)-SUMIF(55:55,C11,56:56)+100</f>
        <v>100</v>
      </c>
      <c r="G11" s="877"/>
      <c r="H11" s="253">
        <f>SUMIF(55:55,G11,56:56)-SUMIF(55:55,C11,56:56)+100</f>
        <v>100</v>
      </c>
      <c r="I11" s="877"/>
      <c r="J11" s="253">
        <f>SUMIF(55:55,I11,56:56)-SUMIF(55:55,C11,56:56)+100</f>
        <v>100</v>
      </c>
      <c r="K11" s="579"/>
      <c r="L11" s="2138"/>
      <c r="M11" s="2132"/>
      <c r="N11" s="2132"/>
      <c r="O11" s="2139"/>
      <c r="P11" s="3392"/>
      <c r="Q11" s="1148">
        <f t="shared" si="6"/>
        <v>111</v>
      </c>
      <c r="R11" s="1566" t="s">
        <v>8</v>
      </c>
      <c r="S11" s="1567">
        <f t="shared" si="0"/>
        <v>100</v>
      </c>
      <c r="T11" s="1566" t="s">
        <v>8</v>
      </c>
      <c r="U11" s="1567">
        <f t="shared" si="1"/>
        <v>100</v>
      </c>
      <c r="V11" s="1566" t="s">
        <v>8</v>
      </c>
      <c r="W11" s="1567">
        <f t="shared" si="2"/>
        <v>100</v>
      </c>
      <c r="X11" s="1568"/>
      <c r="Y11" s="3349"/>
      <c r="Z11" s="1147">
        <f t="shared" si="7"/>
        <v>111</v>
      </c>
      <c r="AA11" s="1569">
        <f t="shared" si="3"/>
        <v>1</v>
      </c>
      <c r="AB11" s="1569">
        <f t="shared" si="4"/>
        <v>1</v>
      </c>
      <c r="AC11" s="1569">
        <f t="shared" si="5"/>
        <v>1</v>
      </c>
    </row>
    <row r="12" spans="1:29" s="1217" customFormat="1" ht="15">
      <c r="A12" s="2939"/>
      <c r="B12" s="2945">
        <v>111</v>
      </c>
      <c r="C12" s="526"/>
      <c r="D12" s="536">
        <v>100</v>
      </c>
      <c r="E12" s="877"/>
      <c r="F12" s="253">
        <f>SUMIF(57:57,E12,58:58)-SUMIF(57:57,C12,58:58)+100</f>
        <v>100</v>
      </c>
      <c r="G12" s="877"/>
      <c r="H12" s="253">
        <f>SUMIF(57:57,G12,58:58)-SUMIF(57:57,C12,58:58)+100</f>
        <v>100</v>
      </c>
      <c r="I12" s="877"/>
      <c r="J12" s="253">
        <f>SUMIF(57:57,I12,58:58)-SUMIF(57:57,C12,58:58)+100</f>
        <v>100</v>
      </c>
      <c r="K12" s="579"/>
      <c r="L12" s="2133"/>
      <c r="M12" s="2134"/>
      <c r="N12" s="2134"/>
      <c r="O12" s="2135"/>
      <c r="P12" s="3392"/>
      <c r="Q12" s="1148">
        <f t="shared" si="6"/>
        <v>111</v>
      </c>
      <c r="R12" s="1566" t="s">
        <v>8</v>
      </c>
      <c r="S12" s="1567">
        <f t="shared" si="0"/>
        <v>100</v>
      </c>
      <c r="T12" s="1566" t="s">
        <v>8</v>
      </c>
      <c r="U12" s="1567">
        <f t="shared" si="1"/>
        <v>100</v>
      </c>
      <c r="V12" s="1566" t="s">
        <v>8</v>
      </c>
      <c r="W12" s="1567">
        <f t="shared" si="2"/>
        <v>100</v>
      </c>
      <c r="X12" s="1568"/>
      <c r="Y12" s="3349"/>
      <c r="Z12" s="1147">
        <f t="shared" si="7"/>
        <v>111</v>
      </c>
      <c r="AA12" s="1569">
        <f>D12/F12</f>
        <v>1</v>
      </c>
      <c r="AB12" s="1569">
        <f>D12/H12</f>
        <v>1</v>
      </c>
      <c r="AC12" s="1569">
        <f>D12/J12</f>
        <v>1</v>
      </c>
    </row>
    <row r="13" spans="1:29" ht="15.75" thickBot="1">
      <c r="A13" s="2940"/>
      <c r="B13" s="2946">
        <v>111</v>
      </c>
      <c r="C13" s="537"/>
      <c r="D13" s="538">
        <v>100</v>
      </c>
      <c r="E13" s="877"/>
      <c r="F13" s="253">
        <f>SUMIF(59:59,E13,60:60)-SUMIF(59:59,C13,60:60)+100</f>
        <v>100</v>
      </c>
      <c r="G13" s="877"/>
      <c r="H13" s="538">
        <f>SUMIF(59:59,G13,60:60)-SUMIF(59:59,C13,60:60)+100</f>
        <v>100</v>
      </c>
      <c r="I13" s="877"/>
      <c r="J13" s="538">
        <f>SUMIF(59:59,I13,60:60)-SUMIF(59:59,C13,60:60)+100</f>
        <v>100</v>
      </c>
      <c r="K13" s="579"/>
      <c r="L13" s="2140"/>
      <c r="M13" s="2132"/>
      <c r="N13" s="2132"/>
      <c r="O13" s="2139"/>
      <c r="P13" s="3392"/>
      <c r="Q13" s="1148">
        <f t="shared" si="6"/>
        <v>111</v>
      </c>
      <c r="R13" s="1566" t="s">
        <v>8</v>
      </c>
      <c r="S13" s="1567">
        <f t="shared" si="0"/>
        <v>100</v>
      </c>
      <c r="T13" s="1566" t="s">
        <v>8</v>
      </c>
      <c r="U13" s="1567">
        <f t="shared" si="1"/>
        <v>100</v>
      </c>
      <c r="V13" s="1566" t="s">
        <v>8</v>
      </c>
      <c r="W13" s="1567">
        <f t="shared" si="2"/>
        <v>100</v>
      </c>
      <c r="X13" s="1568"/>
      <c r="Y13" s="3349"/>
      <c r="Z13" s="1147">
        <f t="shared" si="7"/>
        <v>111</v>
      </c>
      <c r="AA13" s="1569">
        <f t="shared" si="3"/>
        <v>1</v>
      </c>
      <c r="AB13" s="1569">
        <f t="shared" si="4"/>
        <v>1</v>
      </c>
      <c r="AC13" s="1569">
        <f t="shared" si="5"/>
        <v>1</v>
      </c>
    </row>
    <row r="14" spans="1:29" ht="85.5">
      <c r="A14" s="2932" t="s">
        <v>2755</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40"/>
      <c r="M14" s="2132"/>
      <c r="N14" s="2132"/>
      <c r="O14" s="2139"/>
      <c r="P14" s="3394" t="s">
        <v>540</v>
      </c>
      <c r="Q14" s="1570" t="str">
        <f t="shared" si="6"/>
        <v>交通便捷度</v>
      </c>
      <c r="R14" s="1571" t="s">
        <v>8</v>
      </c>
      <c r="S14" s="1572">
        <f t="shared" si="0"/>
        <v>100</v>
      </c>
      <c r="T14" s="1571" t="s">
        <v>8</v>
      </c>
      <c r="U14" s="1572">
        <f t="shared" si="1"/>
        <v>100</v>
      </c>
      <c r="V14" s="1571" t="s">
        <v>8</v>
      </c>
      <c r="W14" s="1572">
        <f t="shared" si="2"/>
        <v>100</v>
      </c>
      <c r="X14" s="1565"/>
      <c r="Y14" s="3394"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6"/>
      <c r="L15" s="2140"/>
      <c r="M15" s="2132"/>
      <c r="N15" s="2132"/>
      <c r="O15" s="2139"/>
      <c r="P15" s="3395"/>
      <c r="Q15" s="1570"/>
      <c r="R15" s="1571"/>
      <c r="S15" s="1572"/>
      <c r="T15" s="1571"/>
      <c r="U15" s="1572"/>
      <c r="V15" s="1571"/>
      <c r="W15" s="1572"/>
      <c r="X15" s="1565"/>
      <c r="Y15" s="3395"/>
      <c r="Z15" s="1573"/>
      <c r="AA15" s="1574">
        <v>1</v>
      </c>
      <c r="AB15" s="1574">
        <v>1</v>
      </c>
      <c r="AC15" s="1574">
        <v>1</v>
      </c>
    </row>
    <row r="16" spans="1:29" ht="42.75">
      <c r="A16" s="530"/>
      <c r="B16" s="2625" t="s">
        <v>2547</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40"/>
      <c r="M16" s="2132"/>
      <c r="N16" s="2132"/>
      <c r="O16" s="2139"/>
      <c r="P16" s="3395"/>
      <c r="Q16" s="1570" t="str">
        <f>B16</f>
        <v>公共配套设施</v>
      </c>
      <c r="R16" s="1571" t="s">
        <v>8</v>
      </c>
      <c r="S16" s="1572">
        <f>F16</f>
        <v>100</v>
      </c>
      <c r="T16" s="1571" t="s">
        <v>8</v>
      </c>
      <c r="U16" s="1572">
        <f>H16</f>
        <v>100</v>
      </c>
      <c r="V16" s="1571" t="s">
        <v>8</v>
      </c>
      <c r="W16" s="1572">
        <f>J16</f>
        <v>100</v>
      </c>
      <c r="X16" s="1565"/>
      <c r="Y16" s="3395"/>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6"/>
      <c r="L17" s="2140"/>
      <c r="M17" s="2132"/>
      <c r="N17" s="2132"/>
      <c r="O17" s="2139"/>
      <c r="P17" s="3395"/>
      <c r="Q17" s="1570"/>
      <c r="R17" s="1571"/>
      <c r="S17" s="1572"/>
      <c r="T17" s="1571"/>
      <c r="U17" s="1572"/>
      <c r="V17" s="1571"/>
      <c r="W17" s="1572"/>
      <c r="X17" s="1565"/>
      <c r="Y17" s="3395"/>
      <c r="Z17" s="1573"/>
      <c r="AA17" s="1574">
        <v>1</v>
      </c>
      <c r="AB17" s="1574">
        <v>1</v>
      </c>
      <c r="AC17" s="1574">
        <v>1</v>
      </c>
    </row>
    <row r="18" spans="1:29" ht="28.5">
      <c r="A18" s="530"/>
      <c r="B18" s="2613" t="s">
        <v>2559</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40"/>
      <c r="M18" s="2132"/>
      <c r="N18" s="2132"/>
      <c r="O18" s="2139"/>
      <c r="P18" s="3395"/>
      <c r="Q18" s="2601" t="str">
        <f>B18</f>
        <v>基础设施水平</v>
      </c>
      <c r="R18" s="1571" t="s">
        <v>8</v>
      </c>
      <c r="S18" s="1572">
        <f>F18</f>
        <v>100</v>
      </c>
      <c r="T18" s="1571" t="s">
        <v>8</v>
      </c>
      <c r="U18" s="1572">
        <f>H18</f>
        <v>100</v>
      </c>
      <c r="V18" s="1571" t="s">
        <v>8</v>
      </c>
      <c r="W18" s="1572">
        <f>J18</f>
        <v>100</v>
      </c>
      <c r="X18" s="2603"/>
      <c r="Y18" s="3395"/>
      <c r="Z18" s="2602"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4"/>
      <c r="L19" s="2140"/>
      <c r="M19" s="2132"/>
      <c r="N19" s="2132"/>
      <c r="O19" s="2139"/>
      <c r="P19" s="3395"/>
      <c r="Q19" s="2601"/>
      <c r="R19" s="1571"/>
      <c r="S19" s="1572"/>
      <c r="T19" s="1571"/>
      <c r="U19" s="1572"/>
      <c r="V19" s="1571"/>
      <c r="W19" s="1572"/>
      <c r="X19" s="2603"/>
      <c r="Y19" s="3395"/>
      <c r="Z19" s="2602"/>
      <c r="AA19" s="1574">
        <v>1</v>
      </c>
      <c r="AB19" s="1574">
        <v>1</v>
      </c>
      <c r="AC19" s="1574">
        <v>1</v>
      </c>
    </row>
    <row r="20" spans="1:29" ht="57">
      <c r="A20" s="530"/>
      <c r="B20" s="869" t="s">
        <v>803</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40"/>
      <c r="M20" s="2132"/>
      <c r="N20" s="2132"/>
      <c r="O20" s="2139"/>
      <c r="P20" s="3395"/>
      <c r="Q20" s="1570" t="str">
        <f>B20</f>
        <v>自然及人文环境</v>
      </c>
      <c r="R20" s="1571" t="s">
        <v>8</v>
      </c>
      <c r="S20" s="1572">
        <f>F20</f>
        <v>100</v>
      </c>
      <c r="T20" s="1571" t="s">
        <v>8</v>
      </c>
      <c r="U20" s="1572">
        <f>H20</f>
        <v>100</v>
      </c>
      <c r="V20" s="1571" t="s">
        <v>8</v>
      </c>
      <c r="W20" s="1572">
        <f>J20</f>
        <v>100</v>
      </c>
      <c r="X20" s="1565"/>
      <c r="Y20" s="3395"/>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6"/>
      <c r="L21" s="2140"/>
      <c r="M21" s="2132"/>
      <c r="N21" s="2132"/>
      <c r="O21" s="2139"/>
      <c r="P21" s="3395"/>
      <c r="Q21" s="1570"/>
      <c r="R21" s="1571"/>
      <c r="S21" s="1572"/>
      <c r="T21" s="1571"/>
      <c r="U21" s="1572"/>
      <c r="V21" s="1571"/>
      <c r="W21" s="1572"/>
      <c r="X21" s="1565"/>
      <c r="Y21" s="3395"/>
      <c r="Z21" s="1573"/>
      <c r="AA21" s="1574">
        <v>1</v>
      </c>
      <c r="AB21" s="1574">
        <v>1</v>
      </c>
      <c r="AC21" s="1574">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395"/>
      <c r="Q22" s="1570" t="str">
        <f>B22</f>
        <v>楼层</v>
      </c>
      <c r="R22" s="1571" t="s">
        <v>8</v>
      </c>
      <c r="S22" s="1572">
        <f>F22</f>
        <v>100</v>
      </c>
      <c r="T22" s="1571" t="s">
        <v>8</v>
      </c>
      <c r="U22" s="1572">
        <f>H22</f>
        <v>100</v>
      </c>
      <c r="V22" s="1571" t="s">
        <v>8</v>
      </c>
      <c r="W22" s="1572">
        <f>J22</f>
        <v>100</v>
      </c>
      <c r="X22" s="1565"/>
      <c r="Y22" s="3395"/>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395"/>
      <c r="Q23" s="1570">
        <f>B23</f>
        <v>111</v>
      </c>
      <c r="R23" s="1571" t="s">
        <v>8</v>
      </c>
      <c r="S23" s="1572">
        <f>F23</f>
        <v>100</v>
      </c>
      <c r="T23" s="1571" t="s">
        <v>8</v>
      </c>
      <c r="U23" s="1572">
        <f>H23</f>
        <v>100</v>
      </c>
      <c r="V23" s="1571" t="s">
        <v>8</v>
      </c>
      <c r="W23" s="1572">
        <f>J23</f>
        <v>100</v>
      </c>
      <c r="X23" s="1565"/>
      <c r="Y23" s="3395"/>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395"/>
      <c r="Q24" s="1570">
        <f t="shared" ref="Q24:Q34" si="11">B24</f>
        <v>111</v>
      </c>
      <c r="R24" s="1571" t="s">
        <v>8</v>
      </c>
      <c r="S24" s="1572">
        <f>F24</f>
        <v>100</v>
      </c>
      <c r="T24" s="1571" t="s">
        <v>8</v>
      </c>
      <c r="U24" s="1572">
        <f>H24</f>
        <v>100</v>
      </c>
      <c r="V24" s="1571" t="s">
        <v>8</v>
      </c>
      <c r="W24" s="1572">
        <f>J24</f>
        <v>100</v>
      </c>
      <c r="X24" s="1565"/>
      <c r="Y24" s="3395"/>
      <c r="Z24" s="1573">
        <f>Q24</f>
        <v>111</v>
      </c>
      <c r="AA24" s="1574">
        <f t="shared" si="3"/>
        <v>1</v>
      </c>
      <c r="AB24" s="1574">
        <f t="shared" si="4"/>
        <v>1</v>
      </c>
      <c r="AC24" s="1574">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3"/>
      <c r="M25" s="2134"/>
      <c r="N25" s="2134"/>
      <c r="O25" s="2135"/>
      <c r="P25" s="3395"/>
      <c r="Q25" s="1148">
        <f t="shared" si="11"/>
        <v>111</v>
      </c>
      <c r="R25" s="1566" t="s">
        <v>8</v>
      </c>
      <c r="S25" s="1567">
        <f>F25</f>
        <v>100</v>
      </c>
      <c r="T25" s="1566" t="s">
        <v>8</v>
      </c>
      <c r="U25" s="1567">
        <f>H25</f>
        <v>100</v>
      </c>
      <c r="V25" s="1566" t="s">
        <v>8</v>
      </c>
      <c r="W25" s="1567">
        <f>J25</f>
        <v>100</v>
      </c>
      <c r="X25" s="1568"/>
      <c r="Y25" s="3395"/>
      <c r="Z25" s="1147">
        <f>Q25</f>
        <v>111</v>
      </c>
      <c r="AA25" s="1574">
        <f>D25/F25</f>
        <v>1</v>
      </c>
      <c r="AB25" s="1574">
        <f>D25/H25</f>
        <v>1</v>
      </c>
      <c r="AC25" s="1574">
        <f>D25/J25</f>
        <v>1</v>
      </c>
    </row>
    <row r="26" spans="1:29" ht="15">
      <c r="A26" s="2929" t="s">
        <v>2756</v>
      </c>
      <c r="B26" s="172" t="s">
        <v>807</v>
      </c>
      <c r="C26" s="913"/>
      <c r="D26" s="595">
        <v>100</v>
      </c>
      <c r="E26" s="913"/>
      <c r="F26" s="940">
        <f>SUMIF(77:77,E26,78:78)-SUMIF(77:77,C26,78:78)+100</f>
        <v>100</v>
      </c>
      <c r="G26" s="913"/>
      <c r="H26" s="595">
        <f>SUMIF(77:77,G26,78:78)-SUMIF(77:77,C26,78:78)+100</f>
        <v>100</v>
      </c>
      <c r="I26" s="913"/>
      <c r="J26" s="595">
        <f>SUMIF(77:77,I26,78:78)-SUMIF(77:77,C26,78:78)+100</f>
        <v>100</v>
      </c>
      <c r="K26" s="582"/>
      <c r="L26" s="2140"/>
      <c r="M26" s="2132"/>
      <c r="N26" s="2132"/>
      <c r="O26" s="2139"/>
      <c r="P26" s="3396"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97" t="s">
        <v>820</v>
      </c>
      <c r="Z26" s="1573" t="str">
        <f t="shared" ref="Z26:Z34" si="15">Q26</f>
        <v>公共部分装修</v>
      </c>
      <c r="AA26" s="1574">
        <f t="shared" si="3"/>
        <v>1</v>
      </c>
      <c r="AB26" s="1574">
        <f t="shared" si="4"/>
        <v>1</v>
      </c>
      <c r="AC26" s="1574">
        <f t="shared" si="5"/>
        <v>1</v>
      </c>
    </row>
    <row r="27" spans="1:29" s="1336" customFormat="1" ht="15">
      <c r="A27" s="601"/>
      <c r="B27" s="525" t="s">
        <v>808</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8"/>
      <c r="M27" s="2169"/>
      <c r="N27" s="2169"/>
      <c r="O27" s="2141"/>
      <c r="P27" s="3397"/>
      <c r="Q27" s="1603" t="str">
        <f t="shared" si="11"/>
        <v>成新率</v>
      </c>
      <c r="R27" s="1575" t="s">
        <v>8</v>
      </c>
      <c r="S27" s="1576" t="e">
        <f t="shared" si="12"/>
        <v>#N/A</v>
      </c>
      <c r="T27" s="1575" t="s">
        <v>8</v>
      </c>
      <c r="U27" s="1576" t="e">
        <f t="shared" si="13"/>
        <v>#N/A</v>
      </c>
      <c r="V27" s="1575" t="s">
        <v>8</v>
      </c>
      <c r="W27" s="1576" t="e">
        <f t="shared" si="14"/>
        <v>#N/A</v>
      </c>
      <c r="X27" s="1577"/>
      <c r="Y27" s="3397"/>
      <c r="Z27" s="1578" t="str">
        <f t="shared" si="15"/>
        <v>成新率</v>
      </c>
      <c r="AA27" s="1574" t="e">
        <f t="shared" si="3"/>
        <v>#N/A</v>
      </c>
      <c r="AB27" s="1574" t="e">
        <f t="shared" si="4"/>
        <v>#N/A</v>
      </c>
      <c r="AC27" s="1574"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397"/>
      <c r="Q28" s="1570" t="str">
        <f t="shared" si="11"/>
        <v>物业等级</v>
      </c>
      <c r="R28" s="1571" t="s">
        <v>8</v>
      </c>
      <c r="S28" s="1572">
        <f t="shared" si="12"/>
        <v>100</v>
      </c>
      <c r="T28" s="1571" t="s">
        <v>8</v>
      </c>
      <c r="U28" s="1572">
        <f t="shared" si="13"/>
        <v>100</v>
      </c>
      <c r="V28" s="1571" t="s">
        <v>8</v>
      </c>
      <c r="W28" s="1572">
        <f t="shared" si="14"/>
        <v>100</v>
      </c>
      <c r="X28" s="1565"/>
      <c r="Y28" s="3397"/>
      <c r="Z28" s="1573" t="str">
        <f t="shared" si="15"/>
        <v>物业等级</v>
      </c>
      <c r="AA28" s="1574">
        <f t="shared" si="3"/>
        <v>1</v>
      </c>
      <c r="AB28" s="1574">
        <f t="shared" si="4"/>
        <v>1</v>
      </c>
      <c r="AC28" s="1574">
        <f t="shared" si="5"/>
        <v>1</v>
      </c>
    </row>
    <row r="29" spans="1:29" ht="15">
      <c r="A29" s="592"/>
      <c r="B29" s="525" t="s">
        <v>821</v>
      </c>
      <c r="C29" s="929"/>
      <c r="D29" s="538">
        <v>100</v>
      </c>
      <c r="E29" s="929"/>
      <c r="F29" s="573">
        <f>SUMIF(84:84,E29,85:85)-SUMIF(84:84,C29,85:85)+100</f>
        <v>100</v>
      </c>
      <c r="G29" s="929"/>
      <c r="H29" s="538">
        <f>SUMIF(84:84,G29,85:85)-SUMIF(84:84,C29,85:85)+100</f>
        <v>100</v>
      </c>
      <c r="I29" s="929"/>
      <c r="J29" s="538">
        <f>SUMIF(84:84,I29,85:85)-SUMIF(84:84,C29,85:85)+100</f>
        <v>100</v>
      </c>
      <c r="K29" s="582"/>
      <c r="L29" s="2140"/>
      <c r="M29" s="2132"/>
      <c r="N29" s="2132"/>
      <c r="O29" s="2139"/>
      <c r="P29" s="3397"/>
      <c r="Q29" s="1570" t="str">
        <f t="shared" si="11"/>
        <v>有无电梯</v>
      </c>
      <c r="R29" s="1571" t="s">
        <v>8</v>
      </c>
      <c r="S29" s="1572">
        <f t="shared" si="12"/>
        <v>100</v>
      </c>
      <c r="T29" s="1571" t="s">
        <v>8</v>
      </c>
      <c r="U29" s="1572">
        <f t="shared" si="13"/>
        <v>100</v>
      </c>
      <c r="V29" s="1571" t="s">
        <v>8</v>
      </c>
      <c r="W29" s="1572">
        <f t="shared" si="14"/>
        <v>100</v>
      </c>
      <c r="X29" s="1565"/>
      <c r="Y29" s="3397"/>
      <c r="Z29" s="1573" t="str">
        <f t="shared" si="15"/>
        <v>有无电梯</v>
      </c>
      <c r="AA29" s="1574">
        <f t="shared" si="3"/>
        <v>1</v>
      </c>
      <c r="AB29" s="1574">
        <f t="shared" si="4"/>
        <v>1</v>
      </c>
      <c r="AC29" s="1574">
        <f t="shared" si="5"/>
        <v>1</v>
      </c>
    </row>
    <row r="30" spans="1:29" ht="15">
      <c r="A30" s="592"/>
      <c r="B30" s="525" t="s">
        <v>822</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40"/>
      <c r="M30" s="2132"/>
      <c r="N30" s="2132"/>
      <c r="O30" s="2139"/>
      <c r="P30" s="3397"/>
      <c r="Q30" s="1570" t="str">
        <f t="shared" si="11"/>
        <v>建筑面积</v>
      </c>
      <c r="R30" s="1571" t="s">
        <v>8</v>
      </c>
      <c r="S30" s="1572" t="e">
        <f t="shared" si="12"/>
        <v>#N/A</v>
      </c>
      <c r="T30" s="1571" t="s">
        <v>8</v>
      </c>
      <c r="U30" s="1572" t="e">
        <f t="shared" si="13"/>
        <v>#N/A</v>
      </c>
      <c r="V30" s="1571" t="s">
        <v>8</v>
      </c>
      <c r="W30" s="1572" t="e">
        <f t="shared" si="14"/>
        <v>#N/A</v>
      </c>
      <c r="X30" s="1565"/>
      <c r="Y30" s="3397"/>
      <c r="Z30" s="1573" t="str">
        <f t="shared" si="15"/>
        <v>建筑面积</v>
      </c>
      <c r="AA30" s="1574" t="e">
        <f t="shared" si="3"/>
        <v>#N/A</v>
      </c>
      <c r="AB30" s="1574" t="e">
        <f t="shared" si="4"/>
        <v>#N/A</v>
      </c>
      <c r="AC30" s="1574" t="e">
        <f t="shared" si="5"/>
        <v>#N/A</v>
      </c>
    </row>
    <row r="31" spans="1:29" s="1217" customFormat="1" ht="15">
      <c r="A31" s="598"/>
      <c r="B31" s="525" t="s">
        <v>823</v>
      </c>
      <c r="C31" s="929"/>
      <c r="D31" s="253">
        <v>100</v>
      </c>
      <c r="E31" s="929"/>
      <c r="F31" s="573">
        <f>SUMIF(89:89,E31,90:90)-SUMIF(89:89,C31,90:90)+100</f>
        <v>100</v>
      </c>
      <c r="G31" s="929"/>
      <c r="H31" s="538">
        <f>SUMIF(89:89,G31,90:90)-SUMIF(89:89,C31,90:90)+100</f>
        <v>100</v>
      </c>
      <c r="I31" s="929"/>
      <c r="J31" s="538">
        <f>SUMIF(89:89,I31,90:90)-SUMIF(89:89,C31,90:90)+100</f>
        <v>100</v>
      </c>
      <c r="K31" s="582"/>
      <c r="L31" s="2133"/>
      <c r="M31" s="2134"/>
      <c r="N31" s="2134"/>
      <c r="O31" s="2135"/>
      <c r="P31" s="3397"/>
      <c r="Q31" s="1148" t="str">
        <f t="shared" si="11"/>
        <v>是否封闭</v>
      </c>
      <c r="R31" s="1566" t="s">
        <v>8</v>
      </c>
      <c r="S31" s="1567">
        <f t="shared" si="12"/>
        <v>100</v>
      </c>
      <c r="T31" s="1566" t="s">
        <v>8</v>
      </c>
      <c r="U31" s="1567">
        <f t="shared" si="13"/>
        <v>100</v>
      </c>
      <c r="V31" s="1566" t="s">
        <v>8</v>
      </c>
      <c r="W31" s="1567">
        <f t="shared" si="14"/>
        <v>100</v>
      </c>
      <c r="X31" s="1568"/>
      <c r="Y31" s="3397"/>
      <c r="Z31" s="1147" t="str">
        <f t="shared" si="15"/>
        <v>是否封闭</v>
      </c>
      <c r="AA31" s="1569">
        <f t="shared" si="3"/>
        <v>1</v>
      </c>
      <c r="AB31" s="1569">
        <f t="shared" si="4"/>
        <v>1</v>
      </c>
      <c r="AC31" s="1569">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40"/>
      <c r="M32" s="2132"/>
      <c r="N32" s="2132"/>
      <c r="O32" s="2139"/>
      <c r="P32" s="3397" t="s">
        <v>550</v>
      </c>
      <c r="Q32" s="1570">
        <f t="shared" si="11"/>
        <v>111</v>
      </c>
      <c r="R32" s="1571" t="s">
        <v>8</v>
      </c>
      <c r="S32" s="1572">
        <f t="shared" si="12"/>
        <v>100</v>
      </c>
      <c r="T32" s="1571" t="s">
        <v>8</v>
      </c>
      <c r="U32" s="1572">
        <f t="shared" si="13"/>
        <v>100</v>
      </c>
      <c r="V32" s="1571" t="s">
        <v>8</v>
      </c>
      <c r="W32" s="1572">
        <f t="shared" si="14"/>
        <v>100</v>
      </c>
      <c r="X32" s="1565"/>
      <c r="Y32" s="3397" t="s">
        <v>550</v>
      </c>
      <c r="Z32" s="1573">
        <f t="shared" si="15"/>
        <v>111</v>
      </c>
      <c r="AA32" s="1574">
        <f t="shared" si="3"/>
        <v>1</v>
      </c>
      <c r="AB32" s="1574">
        <f t="shared" si="4"/>
        <v>1</v>
      </c>
      <c r="AC32" s="1574">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40"/>
      <c r="M33" s="2132"/>
      <c r="N33" s="2132"/>
      <c r="O33" s="2139"/>
      <c r="P33" s="3397"/>
      <c r="Q33" s="1570">
        <f t="shared" si="11"/>
        <v>111</v>
      </c>
      <c r="R33" s="1571" t="s">
        <v>8</v>
      </c>
      <c r="S33" s="1572">
        <f t="shared" si="12"/>
        <v>100</v>
      </c>
      <c r="T33" s="1571" t="s">
        <v>8</v>
      </c>
      <c r="U33" s="1572">
        <f t="shared" si="13"/>
        <v>100</v>
      </c>
      <c r="V33" s="1571" t="s">
        <v>8</v>
      </c>
      <c r="W33" s="1572">
        <f t="shared" si="14"/>
        <v>100</v>
      </c>
      <c r="X33" s="1565"/>
      <c r="Y33" s="3397"/>
      <c r="Z33" s="1573">
        <f t="shared" si="15"/>
        <v>111</v>
      </c>
      <c r="AA33" s="1574">
        <f t="shared" si="3"/>
        <v>1</v>
      </c>
      <c r="AB33" s="1574">
        <f t="shared" si="4"/>
        <v>1</v>
      </c>
      <c r="AC33" s="1574">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40"/>
      <c r="M34" s="2132"/>
      <c r="N34" s="2132"/>
      <c r="O34" s="2139"/>
      <c r="P34" s="3397"/>
      <c r="Q34" s="1570">
        <f t="shared" si="11"/>
        <v>111</v>
      </c>
      <c r="R34" s="1571" t="s">
        <v>8</v>
      </c>
      <c r="S34" s="1572">
        <f t="shared" si="12"/>
        <v>100</v>
      </c>
      <c r="T34" s="1571" t="s">
        <v>8</v>
      </c>
      <c r="U34" s="1572">
        <f t="shared" si="13"/>
        <v>100</v>
      </c>
      <c r="V34" s="1571" t="s">
        <v>8</v>
      </c>
      <c r="W34" s="1572">
        <f t="shared" si="14"/>
        <v>100</v>
      </c>
      <c r="X34" s="1565"/>
      <c r="Y34" s="3397"/>
      <c r="Z34" s="1573">
        <f t="shared" si="15"/>
        <v>111</v>
      </c>
      <c r="AA34" s="1574">
        <f t="shared" si="3"/>
        <v>1</v>
      </c>
      <c r="AB34" s="1574">
        <f t="shared" si="4"/>
        <v>1</v>
      </c>
      <c r="AC34" s="1574">
        <f t="shared" si="5"/>
        <v>1</v>
      </c>
    </row>
    <row r="35" spans="1:29" ht="15">
      <c r="A35" s="605" t="s">
        <v>735</v>
      </c>
      <c r="B35" s="884"/>
      <c r="C35" s="2649" t="s">
        <v>1</v>
      </c>
      <c r="D35" s="2650"/>
      <c r="E35" s="2651"/>
      <c r="F35" s="2652"/>
      <c r="G35" s="2653"/>
      <c r="H35" s="2654"/>
      <c r="I35" s="2651"/>
      <c r="J35" s="2654"/>
      <c r="K35" s="1609"/>
      <c r="L35" s="2142"/>
      <c r="M35" s="2143"/>
      <c r="N35" s="2132"/>
      <c r="O35" s="2143"/>
      <c r="P35" s="3392" t="str">
        <f>A35</f>
        <v>成交单价（元/平方米）</v>
      </c>
      <c r="Q35" s="3392"/>
      <c r="R35" s="3472">
        <f>E35</f>
        <v>0</v>
      </c>
      <c r="S35" s="3472"/>
      <c r="T35" s="3472">
        <f>G35</f>
        <v>0</v>
      </c>
      <c r="U35" s="3472"/>
      <c r="V35" s="3472">
        <f>I35</f>
        <v>0</v>
      </c>
      <c r="W35" s="3472"/>
      <c r="X35" s="1557"/>
      <c r="Y35" s="1579"/>
      <c r="Z35" s="1557"/>
      <c r="AA35" s="1557"/>
      <c r="AB35" s="1557"/>
      <c r="AC35" s="1557"/>
    </row>
    <row r="36" spans="1:29" ht="15.75" thickBot="1">
      <c r="A36" s="613" t="s">
        <v>2761</v>
      </c>
      <c r="B36" s="885"/>
      <c r="C36" s="2655" t="e">
        <f>R37</f>
        <v>#DIV/0!</v>
      </c>
      <c r="D36" s="2656"/>
      <c r="E36" s="2657" t="e">
        <f>R36</f>
        <v>#DIV/0!</v>
      </c>
      <c r="F36" s="2657"/>
      <c r="G36" s="2655" t="e">
        <f>T36</f>
        <v>#DIV/0!</v>
      </c>
      <c r="H36" s="2656"/>
      <c r="I36" s="2657" t="e">
        <f>V36</f>
        <v>#DIV/0!</v>
      </c>
      <c r="J36" s="2656"/>
      <c r="K36" s="1610"/>
      <c r="L36" s="2142"/>
      <c r="M36" s="2143"/>
      <c r="N36" s="2132"/>
      <c r="O36" s="2143"/>
      <c r="P36" s="3392" t="str">
        <f>A36</f>
        <v>比较价格（元/平方米）</v>
      </c>
      <c r="Q36" s="3392"/>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57"/>
      <c r="Y36" s="1557"/>
      <c r="Z36" s="1557"/>
      <c r="AA36" s="1557"/>
      <c r="AB36" s="1557"/>
      <c r="AC36" s="1557"/>
    </row>
    <row r="37" spans="1:29" ht="15.75" thickBot="1">
      <c r="A37" s="619" t="s">
        <v>2935</v>
      </c>
      <c r="B37" s="620"/>
      <c r="C37" s="2658" t="e">
        <f>R37</f>
        <v>#DIV/0!</v>
      </c>
      <c r="D37" s="2658"/>
      <c r="E37" s="2658"/>
      <c r="F37" s="2658"/>
      <c r="G37" s="2658"/>
      <c r="H37" s="2658"/>
      <c r="I37" s="2658"/>
      <c r="J37" s="2658"/>
      <c r="K37" s="1611"/>
      <c r="L37" s="2142"/>
      <c r="M37" s="2143"/>
      <c r="N37" s="2143"/>
      <c r="O37" s="2143"/>
      <c r="P37" s="3414" t="str">
        <f>A37</f>
        <v>估价对象XX用房的比较价格（楼面单价，元/平方米）</v>
      </c>
      <c r="Q37" s="3415"/>
      <c r="R37" s="3471" t="e">
        <f>IF(F1="售价",ROUND(AVERAGE(R36:V36),0),ROUND(AVERAGE(R36:V36),1))</f>
        <v>#DIV/0!</v>
      </c>
      <c r="S37" s="3471"/>
      <c r="T37" s="3471"/>
      <c r="U37" s="3471"/>
      <c r="V37" s="3471"/>
      <c r="W37" s="3471"/>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7"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7"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7"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736</v>
      </c>
      <c r="D53" s="672" t="s">
        <v>737</v>
      </c>
      <c r="E53" s="672" t="s">
        <v>738</v>
      </c>
      <c r="F53" s="672" t="s">
        <v>739</v>
      </c>
      <c r="G53" s="672" t="s">
        <v>740</v>
      </c>
      <c r="H53" s="672" t="s">
        <v>741</v>
      </c>
      <c r="I53" s="672" t="s">
        <v>742</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2">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2558</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9" t="s">
        <v>2559</v>
      </c>
      <c r="C65" s="2620" t="s">
        <v>2560</v>
      </c>
      <c r="D65" s="2620" t="s">
        <v>2561</v>
      </c>
      <c r="E65" s="2620" t="s">
        <v>2562</v>
      </c>
      <c r="F65" s="2620" t="s">
        <v>2563</v>
      </c>
      <c r="G65" s="2620" t="s">
        <v>2564</v>
      </c>
      <c r="H65" s="672"/>
      <c r="I65" s="672"/>
      <c r="J65" s="672"/>
      <c r="K65" s="672"/>
      <c r="L65" s="672"/>
      <c r="M65" s="2623"/>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743</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7"/>
      <c r="B71" s="671">
        <f>B23</f>
        <v>111</v>
      </c>
      <c r="C71" s="539"/>
      <c r="D71" s="539"/>
      <c r="E71" s="539"/>
      <c r="F71" s="539"/>
      <c r="G71" s="686"/>
      <c r="H71" s="686"/>
      <c r="I71" s="686"/>
      <c r="J71" s="686"/>
      <c r="K71" s="686"/>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7"/>
      <c r="B73" s="671">
        <f>B24</f>
        <v>111</v>
      </c>
      <c r="C73" s="539"/>
      <c r="D73" s="539"/>
      <c r="E73" s="539"/>
      <c r="F73" s="539"/>
      <c r="G73" s="686"/>
      <c r="H73" s="686"/>
      <c r="I73" s="686"/>
      <c r="J73" s="686"/>
      <c r="K73" s="686"/>
      <c r="L73" s="686"/>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750</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816</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824</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6" customFormat="1" ht="15" thickTop="1">
      <c r="A89" s="726"/>
      <c r="B89" s="671" t="s">
        <v>826</v>
      </c>
      <c r="C89" s="686"/>
      <c r="D89" s="686"/>
      <c r="E89" s="686"/>
      <c r="F89" s="686"/>
      <c r="G89" s="686"/>
      <c r="H89" s="686"/>
      <c r="I89" s="686"/>
      <c r="J89" s="686"/>
      <c r="K89" s="686"/>
      <c r="L89" s="686"/>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4">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44" sqref="R44"/>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5"/>
    <col min="36" max="16384" width="9" style="1247"/>
  </cols>
  <sheetData>
    <row r="1" spans="1:45" s="255" customFormat="1" ht="14.25" customHeight="1" thickBot="1">
      <c r="A1" s="363"/>
      <c r="B1" s="2232" t="s">
        <v>2303</v>
      </c>
      <c r="C1" s="3504" t="s">
        <v>2304</v>
      </c>
      <c r="D1" s="3505"/>
      <c r="E1" s="3505"/>
      <c r="F1" s="3505"/>
      <c r="G1" s="3505"/>
      <c r="H1" s="3505"/>
      <c r="I1" s="3505"/>
      <c r="J1" s="3505"/>
      <c r="K1" s="3505"/>
      <c r="L1" s="3505"/>
      <c r="M1" s="3505"/>
      <c r="N1" s="3505"/>
      <c r="O1" s="3505"/>
      <c r="P1" s="3505"/>
      <c r="Q1" s="3505"/>
      <c r="R1" s="3505"/>
      <c r="S1" s="3506"/>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1" t="s">
        <v>2928</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3" t="s">
        <v>2927</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3" t="s">
        <v>2926</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2"/>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1" t="s">
        <v>2941</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1" t="s">
        <v>2925</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1" t="s">
        <v>2924</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827</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7" t="s">
        <v>828</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829</v>
      </c>
      <c r="B22" s="53">
        <f>SUM(B24:B10000)</f>
        <v>0</v>
      </c>
      <c r="C22" s="3501" t="s">
        <v>20</v>
      </c>
      <c r="D22" s="3502"/>
      <c r="E22" s="3502"/>
      <c r="F22" s="3502"/>
      <c r="G22" s="3502"/>
      <c r="H22" s="3502"/>
      <c r="I22" s="3502"/>
      <c r="J22" s="3502"/>
      <c r="K22" s="3502"/>
      <c r="L22" s="3502"/>
      <c r="M22" s="3502"/>
      <c r="N22" s="3502"/>
      <c r="O22" s="3502"/>
      <c r="P22" s="3502"/>
      <c r="Q22" s="3503"/>
      <c r="R22" s="488" t="e">
        <f>ROUND(S22*10000/B22,0)</f>
        <v>#DIV/0!</v>
      </c>
      <c r="S22" s="53">
        <f>SUM(S24:S10000)</f>
        <v>0</v>
      </c>
    </row>
    <row r="23" spans="1:45" s="161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3"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2789</v>
      </c>
      <c r="C1" s="3026">
        <f>项目基本情况!D3</f>
        <v>43239</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2820</v>
      </c>
      <c r="C2" s="3027">
        <f>'数据-取费表'!B22</f>
        <v>2.5</v>
      </c>
      <c r="D2" s="3022" t="s">
        <v>2790</v>
      </c>
      <c r="E2" s="3025">
        <f ca="1">INDIRECT("I"&amp;$I$1)/100</f>
        <v>4.7500000000000001E-2</v>
      </c>
      <c r="G2" s="2962"/>
      <c r="H2" s="2962"/>
      <c r="I2" s="2962" t="s">
        <v>2791</v>
      </c>
      <c r="K2" s="2962"/>
      <c r="L2" s="2962"/>
      <c r="M2" s="2962"/>
      <c r="N2" s="2962" t="s">
        <v>2792</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2822</v>
      </c>
      <c r="C3" s="3024">
        <f>'数据-取费表'!B19</f>
        <v>0</v>
      </c>
      <c r="D3" s="3022" t="s">
        <v>2790</v>
      </c>
      <c r="E3" s="3025">
        <f ca="1">INDIRECT("J"&amp;$J$1)/100</f>
        <v>0</v>
      </c>
      <c r="G3" s="2964" t="s">
        <v>2793</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2821</v>
      </c>
      <c r="C4" s="3025">
        <f ca="1">N4/100</f>
        <v>1.4999999999999999E-2</v>
      </c>
      <c r="G4" s="2970" t="s">
        <v>2794</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2795</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2796</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2797</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2798</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2799</v>
      </c>
      <c r="C10" s="2989"/>
      <c r="D10" s="2989"/>
      <c r="E10" s="2989"/>
      <c r="F10" s="2989"/>
      <c r="G10" s="2989"/>
      <c r="H10" s="2989"/>
      <c r="I10" s="2963"/>
      <c r="J10" s="2963"/>
      <c r="K10" s="2989"/>
      <c r="L10" s="2990" t="s">
        <v>2800</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2801</v>
      </c>
      <c r="C11" s="2994" t="s">
        <v>2802</v>
      </c>
      <c r="D11" s="2995" t="s">
        <v>2803</v>
      </c>
      <c r="E11" s="2996"/>
      <c r="F11" s="2995" t="s">
        <v>2804</v>
      </c>
      <c r="G11" s="2997"/>
      <c r="H11" s="2996"/>
      <c r="I11" s="2995" t="s">
        <v>2805</v>
      </c>
      <c r="J11" s="2996"/>
      <c r="K11" s="2992"/>
      <c r="L11" s="2993" t="s">
        <v>2801</v>
      </c>
      <c r="M11" s="2994" t="s">
        <v>2802</v>
      </c>
      <c r="N11" s="2993" t="s">
        <v>2806</v>
      </c>
      <c r="O11" s="2995" t="s">
        <v>2807</v>
      </c>
      <c r="P11" s="2997"/>
      <c r="Q11" s="2997"/>
      <c r="R11" s="2997"/>
      <c r="S11" s="2997"/>
      <c r="T11" s="2996"/>
      <c r="U11" s="2995" t="s">
        <v>2808</v>
      </c>
      <c r="V11" s="2997"/>
      <c r="W11" s="2996"/>
      <c r="X11" s="2993" t="s">
        <v>2809</v>
      </c>
      <c r="Y11" s="2993" t="s">
        <v>2810</v>
      </c>
      <c r="Z11" s="2993" t="s">
        <v>2811</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2812</v>
      </c>
      <c r="E12" s="3002" t="s">
        <v>2813</v>
      </c>
      <c r="F12" s="3002" t="s">
        <v>2814</v>
      </c>
      <c r="G12" s="3002" t="s">
        <v>2815</v>
      </c>
      <c r="H12" s="3002" t="s">
        <v>2797</v>
      </c>
      <c r="I12" s="3003" t="s">
        <v>2816</v>
      </c>
      <c r="J12" s="3003" t="s">
        <v>2816</v>
      </c>
      <c r="K12" s="2999"/>
      <c r="L12" s="3000"/>
      <c r="M12" s="3001"/>
      <c r="N12" s="3000"/>
      <c r="O12" s="3003" t="s">
        <v>2817</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2818</v>
      </c>
      <c r="C13" s="3007">
        <v>42301</v>
      </c>
      <c r="D13" s="3008">
        <v>4.3499999999999996</v>
      </c>
      <c r="E13" s="3008">
        <v>4.3499999999999996</v>
      </c>
      <c r="F13" s="3008">
        <v>4.75</v>
      </c>
      <c r="G13" s="3008">
        <v>4.75</v>
      </c>
      <c r="H13" s="3008">
        <v>4.9000000000000004</v>
      </c>
      <c r="I13" s="3008">
        <v>2.75</v>
      </c>
      <c r="J13" s="3008">
        <v>3.25</v>
      </c>
      <c r="K13" s="3005"/>
      <c r="L13" s="3006" t="s">
        <v>2818</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2819</v>
      </c>
      <c r="Y42" s="3012" t="s">
        <v>2819</v>
      </c>
      <c r="Z42" s="3012" t="s">
        <v>2819</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2819</v>
      </c>
      <c r="Y43" s="3012" t="s">
        <v>2819</v>
      </c>
      <c r="Z43" s="3012" t="s">
        <v>2819</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2819</v>
      </c>
      <c r="Y44" s="3012" t="s">
        <v>2819</v>
      </c>
      <c r="Z44" s="3012" t="s">
        <v>2819</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2819</v>
      </c>
      <c r="Y45" s="3012" t="s">
        <v>2819</v>
      </c>
      <c r="Z45" s="3012" t="s">
        <v>2819</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2819</v>
      </c>
      <c r="Y46" s="3012" t="s">
        <v>2819</v>
      </c>
      <c r="Z46" s="3012" t="s">
        <v>2819</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2819</v>
      </c>
      <c r="Y47" s="3012" t="s">
        <v>2819</v>
      </c>
      <c r="Z47" s="3012" t="s">
        <v>2819</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2819</v>
      </c>
      <c r="Y48" s="3012" t="s">
        <v>2819</v>
      </c>
      <c r="Z48" s="3012" t="s">
        <v>2819</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2819</v>
      </c>
      <c r="Y49" s="3012" t="s">
        <v>2819</v>
      </c>
      <c r="Z49" s="3012" t="s">
        <v>2819</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2819</v>
      </c>
      <c r="Y50" s="3012" t="s">
        <v>2819</v>
      </c>
      <c r="Z50" s="3012" t="s">
        <v>2819</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2819</v>
      </c>
      <c r="V51" s="3012" t="s">
        <v>2819</v>
      </c>
      <c r="W51" s="3012" t="s">
        <v>2819</v>
      </c>
      <c r="X51" s="3012" t="s">
        <v>2819</v>
      </c>
      <c r="Y51" s="3012" t="s">
        <v>2819</v>
      </c>
      <c r="Z51" s="3012" t="s">
        <v>2819</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2819</v>
      </c>
      <c r="J55" s="3012" t="s">
        <v>2819</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41" sqref="C41"/>
    </sheetView>
  </sheetViews>
  <sheetFormatPr defaultRowHeight="13.5"/>
  <cols>
    <col min="1" max="1" width="11.625" bestFit="1" customWidth="1"/>
  </cols>
  <sheetData>
    <row r="1" spans="1:1">
      <c r="A1">
        <v>552806000</v>
      </c>
    </row>
    <row r="2" spans="1:1">
      <c r="A2">
        <v>793311000</v>
      </c>
    </row>
    <row r="3" spans="1:1">
      <c r="A3">
        <v>361689000</v>
      </c>
    </row>
    <row r="4" spans="1:1">
      <c r="A4">
        <v>995368000</v>
      </c>
    </row>
    <row r="5" spans="1:1">
      <c r="A5">
        <v>1514632000</v>
      </c>
    </row>
    <row r="6" spans="1:1">
      <c r="A6">
        <v>1117194000</v>
      </c>
    </row>
  </sheetData>
  <phoneticPr fontId="233" type="noConversion"/>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9"/>
  <sheetViews>
    <sheetView topLeftCell="A121" zoomScale="85" zoomScaleNormal="85" workbookViewId="0">
      <selection activeCell="K152" sqref="K152"/>
    </sheetView>
  </sheetViews>
  <sheetFormatPr defaultRowHeight="13.5"/>
  <sheetData>
    <row r="159" spans="1:1">
      <c r="A159" t="s">
        <v>3047</v>
      </c>
    </row>
  </sheetData>
  <phoneticPr fontId="233"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P42" sqref="P42"/>
    </sheetView>
  </sheetViews>
  <sheetFormatPr defaultRowHeight="13.5"/>
  <sheetData/>
  <phoneticPr fontId="233"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2038</v>
      </c>
      <c r="B1" s="3208"/>
      <c r="C1" s="3208"/>
      <c r="D1" s="3208"/>
      <c r="E1" s="3208"/>
      <c r="F1" s="3208"/>
      <c r="G1" s="3208"/>
      <c r="H1" s="3208"/>
      <c r="I1" s="3208"/>
      <c r="J1" s="3208"/>
      <c r="K1" s="3208"/>
      <c r="L1" s="3208"/>
      <c r="M1" s="3208"/>
      <c r="N1" s="3208"/>
      <c r="O1" s="3208"/>
      <c r="P1" s="3208"/>
      <c r="Q1" s="3208"/>
      <c r="R1" s="3208"/>
    </row>
    <row r="2" spans="1:18">
      <c r="A2" s="1805" t="s">
        <v>2040</v>
      </c>
      <c r="B2" s="1805"/>
      <c r="C2" s="1805"/>
      <c r="D2" s="1805"/>
      <c r="E2" s="1805"/>
      <c r="F2" s="1805"/>
      <c r="G2" s="1805"/>
      <c r="H2" s="1805"/>
      <c r="I2" s="1806"/>
      <c r="J2" s="1806"/>
      <c r="K2" s="1807" t="str">
        <f>"估价期日："&amp;TEXT(项目基本情况!D3,"yyyy年m月d日;;")</f>
        <v>估价期日：2018年5月19日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9" t="s">
        <v>2029</v>
      </c>
      <c r="B3" s="3209" t="s">
        <v>2732</v>
      </c>
      <c r="C3" s="3210" t="s">
        <v>2030</v>
      </c>
      <c r="D3" s="3209" t="s">
        <v>2736</v>
      </c>
      <c r="E3" s="3212" t="s">
        <v>2031</v>
      </c>
      <c r="F3" s="3212"/>
      <c r="G3" s="3212"/>
      <c r="H3" s="3212" t="s">
        <v>2032</v>
      </c>
      <c r="I3" s="3212"/>
      <c r="J3" s="3212"/>
      <c r="K3" s="3210" t="s">
        <v>2033</v>
      </c>
      <c r="L3" s="3210" t="s">
        <v>2034</v>
      </c>
      <c r="M3" s="3209" t="s">
        <v>2733</v>
      </c>
      <c r="N3" s="3211" t="str">
        <f>"（分摊）"&amp;项目基本情况!B16&amp;"国有建设用地使用权面积/㎡"</f>
        <v>（分摊）出让国有建设用地使用权面积/㎡</v>
      </c>
      <c r="O3" s="3209" t="s">
        <v>2063</v>
      </c>
      <c r="P3" s="3210" t="s">
        <v>2043</v>
      </c>
      <c r="Q3" s="3210" t="s">
        <v>2064</v>
      </c>
      <c r="R3" s="3210" t="s">
        <v>2035</v>
      </c>
    </row>
    <row r="4" spans="1:18" ht="36.75" customHeight="1">
      <c r="A4" s="3209"/>
      <c r="B4" s="3209"/>
      <c r="C4" s="3210"/>
      <c r="D4" s="3209"/>
      <c r="E4" s="2671" t="s">
        <v>2042</v>
      </c>
      <c r="F4" s="2671" t="s">
        <v>2745</v>
      </c>
      <c r="G4" s="2671" t="s">
        <v>2036</v>
      </c>
      <c r="H4" s="2671" t="s">
        <v>2037</v>
      </c>
      <c r="I4" s="2671" t="s">
        <v>2746</v>
      </c>
      <c r="J4" s="2671" t="s">
        <v>2036</v>
      </c>
      <c r="K4" s="3210"/>
      <c r="L4" s="3210"/>
      <c r="M4" s="3209"/>
      <c r="N4" s="3211"/>
      <c r="O4" s="3209"/>
      <c r="P4" s="3210"/>
      <c r="Q4" s="3210"/>
      <c r="R4" s="3210"/>
    </row>
    <row r="5" spans="1:18" ht="135" customHeight="1">
      <c r="A5" s="1941" t="s">
        <v>2656</v>
      </c>
      <c r="B5" s="2889" t="s">
        <v>2654</v>
      </c>
      <c r="C5" s="2670">
        <v>22</v>
      </c>
      <c r="D5" s="2669" t="s">
        <v>2655</v>
      </c>
      <c r="E5" s="1808" t="str">
        <f>项目基本情况!B12</f>
        <v>住宅、商业</v>
      </c>
      <c r="F5" s="2669">
        <v>258</v>
      </c>
      <c r="G5" s="1808" t="str">
        <f>项目基本情况!B13</f>
        <v>住宅、商业</v>
      </c>
      <c r="H5" s="2669">
        <v>1.5</v>
      </c>
      <c r="I5" s="2669">
        <v>1.5</v>
      </c>
      <c r="J5" s="2669">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74959</v>
      </c>
      <c r="O5" s="1808">
        <f>项目基本情况!C21</f>
        <v>191725</v>
      </c>
      <c r="P5" s="1808">
        <f ca="1">结果表!E42</f>
        <v>11170</v>
      </c>
      <c r="Q5" s="1808">
        <f ca="1">结果表!D42</f>
        <v>4367</v>
      </c>
      <c r="R5" s="1809">
        <f ca="1">结果表!C42</f>
        <v>83729</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0">
        <f ca="1">结果表!O39</f>
        <v>83729</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0" t="str">
        <f>结果表!O40</f>
        <v>——</v>
      </c>
    </row>
    <row r="8" spans="1:18">
      <c r="A8" s="3213" t="str">
        <f>IF(项目基本情况!B9="市场价格","——",项目基本情况!E9)</f>
        <v>——</v>
      </c>
      <c r="B8" s="3214"/>
      <c r="C8" s="3214"/>
      <c r="D8" s="3214"/>
      <c r="E8" s="3214"/>
      <c r="F8" s="3214"/>
      <c r="G8" s="3214"/>
      <c r="H8" s="3214"/>
      <c r="I8" s="3214"/>
      <c r="J8" s="3214"/>
      <c r="K8" s="3214"/>
      <c r="L8" s="3214"/>
      <c r="M8" s="3214"/>
      <c r="N8" s="3214"/>
      <c r="O8" s="3214"/>
      <c r="P8" s="3214"/>
      <c r="Q8" s="3215"/>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16" t="s">
        <v>2065</v>
      </c>
      <c r="B1" s="3216"/>
      <c r="C1" s="3216"/>
      <c r="D1" s="3216"/>
    </row>
    <row r="2" spans="1:4" ht="47.25" customHeight="1">
      <c r="A2" s="3220" t="str">
        <f>"1.权利限制："&amp;项目基本情况!L24&amp;"未设定租赁等其他他项权利。"</f>
        <v>1.权利限制：根据估价对象《不动产权证书》复印件、，截至估价期日，估价对象抵押权未见登记。未设定租赁等其他他项权利。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9" t="s">
        <v>2066</v>
      </c>
      <c r="B5" s="3219"/>
      <c r="C5" s="3219"/>
      <c r="D5" s="3219"/>
    </row>
    <row r="6" spans="1:4">
      <c r="A6" s="3216" t="s">
        <v>2044</v>
      </c>
      <c r="B6" s="3216"/>
      <c r="C6" s="3216"/>
      <c r="D6" s="3216"/>
    </row>
    <row r="7" spans="1:4" ht="33" customHeight="1">
      <c r="A7" s="3216" t="s">
        <v>2576</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（1）根据估价对象《不动产权证书》复印件、，截至估价期日，估价对象抵押权未见登记。</v>
      </c>
      <c r="B11" s="3218"/>
      <c r="C11" s="3218"/>
      <c r="D11" s="3218"/>
    </row>
    <row r="12" spans="1:4" ht="168" customHeight="1">
      <c r="A12" s="3219" t="s">
        <v>2068</v>
      </c>
      <c r="B12" s="3219"/>
      <c r="C12" s="3219"/>
      <c r="D12" s="3219"/>
    </row>
    <row r="13" spans="1:4">
      <c r="A13" s="3217" t="s">
        <v>2747</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2703</v>
      </c>
      <c r="B17" s="3216"/>
      <c r="C17" s="3216"/>
      <c r="D17" s="3216"/>
    </row>
    <row r="18" spans="1:4">
      <c r="A18" s="3216" t="s">
        <v>2695</v>
      </c>
      <c r="B18" s="3216"/>
      <c r="C18" s="3216"/>
      <c r="D18" s="3216"/>
    </row>
    <row r="19" spans="1:4">
      <c r="A19" s="2890" t="s">
        <v>2696</v>
      </c>
      <c r="B19" s="2890" t="s">
        <v>2697</v>
      </c>
      <c r="C19" s="2890" t="s">
        <v>2698</v>
      </c>
      <c r="D19" s="2890" t="s">
        <v>2699</v>
      </c>
    </row>
    <row r="20" spans="1:4">
      <c r="A20" s="2890" t="str">
        <f>项目基本情况!B4</f>
        <v>王鹏</v>
      </c>
      <c r="B20" s="2890">
        <f ca="1">项目基本情况!C4</f>
        <v>2002110030</v>
      </c>
      <c r="C20" s="2892"/>
      <c r="D20" s="1798" t="s">
        <v>2704</v>
      </c>
    </row>
    <row r="21" spans="1:4">
      <c r="A21" s="2890" t="str">
        <f>项目基本情况!D4</f>
        <v>郑燚</v>
      </c>
      <c r="B21" s="2890">
        <f>项目基本情况!E4</f>
        <v>2014110011</v>
      </c>
      <c r="C21" s="2892"/>
      <c r="D21" s="1798" t="s">
        <v>2705</v>
      </c>
    </row>
    <row r="23" spans="1:4">
      <c r="A23" s="3216" t="s">
        <v>2700</v>
      </c>
      <c r="B23" s="3216"/>
      <c r="C23" s="3216"/>
      <c r="D23" s="3216"/>
    </row>
    <row r="24" spans="1:4">
      <c r="A24" s="2890" t="s">
        <v>2696</v>
      </c>
      <c r="B24" s="2890" t="s">
        <v>2701</v>
      </c>
      <c r="C24" s="2890" t="s">
        <v>2698</v>
      </c>
      <c r="D24" s="2890" t="s">
        <v>2699</v>
      </c>
    </row>
    <row r="25" spans="1:4">
      <c r="A25" s="2893" t="s">
        <v>2702</v>
      </c>
      <c r="B25" s="2890" t="s">
        <v>951</v>
      </c>
      <c r="C25" s="2892"/>
      <c r="D25" s="1798" t="s">
        <v>2705</v>
      </c>
    </row>
    <row r="29" spans="1:4">
      <c r="D29" s="2891" t="s">
        <v>2039</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28" t="s">
        <v>53</v>
      </c>
      <c r="B15" s="3229" t="s">
        <v>845</v>
      </c>
      <c r="C15" s="3225"/>
    </row>
    <row r="16" spans="1:7" ht="14.25">
      <c r="A16" s="3228"/>
      <c r="B16" s="3226" t="s">
        <v>54</v>
      </c>
      <c r="C16" s="1169" t="s">
        <v>53</v>
      </c>
    </row>
    <row r="17" spans="1:3" ht="14.25">
      <c r="A17" s="3228"/>
      <c r="B17" s="3226"/>
      <c r="C17" s="1169" t="s">
        <v>55</v>
      </c>
    </row>
    <row r="18" spans="1:3" ht="14.25">
      <c r="A18" s="3228"/>
      <c r="B18" s="3226"/>
      <c r="C18" s="1169" t="s">
        <v>56</v>
      </c>
    </row>
    <row r="19" spans="1:3" ht="14.25">
      <c r="A19" s="3228"/>
      <c r="B19" s="3224" t="s">
        <v>57</v>
      </c>
      <c r="C19" s="3225"/>
    </row>
    <row r="20" spans="1:3" ht="14.25">
      <c r="A20" s="1170" t="s">
        <v>58</v>
      </c>
      <c r="B20" s="1171"/>
      <c r="C20" s="1172"/>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3" t="s">
        <v>836</v>
      </c>
    </row>
    <row r="25" spans="1:3" ht="14.25">
      <c r="A25" s="3227"/>
      <c r="B25" s="3231"/>
      <c r="C25" s="1173" t="s">
        <v>837</v>
      </c>
    </row>
    <row r="26" spans="1:3" ht="14.25">
      <c r="A26" s="3227"/>
      <c r="B26" s="3231"/>
      <c r="C26" s="1173" t="s">
        <v>838</v>
      </c>
    </row>
    <row r="27" spans="1:3" ht="14.25">
      <c r="A27" s="3227"/>
      <c r="B27" s="3231"/>
      <c r="C27" s="1173" t="s">
        <v>839</v>
      </c>
    </row>
    <row r="28" spans="1:3" ht="14.25">
      <c r="A28" s="3227"/>
      <c r="B28" s="3231"/>
      <c r="C28" s="1173" t="s">
        <v>840</v>
      </c>
    </row>
    <row r="29" spans="1:3" ht="14.25">
      <c r="A29" s="3227"/>
      <c r="B29" s="3231"/>
      <c r="C29" s="1173" t="s">
        <v>841</v>
      </c>
    </row>
    <row r="30" spans="1:3" ht="14.25">
      <c r="A30" s="3227"/>
      <c r="B30" s="3231"/>
      <c r="C30" s="1173" t="s">
        <v>842</v>
      </c>
    </row>
    <row r="31" spans="1:3" ht="14.25">
      <c r="A31" s="3227"/>
      <c r="B31" s="3231"/>
      <c r="C31" s="1173" t="s">
        <v>843</v>
      </c>
    </row>
    <row r="32" spans="1:3" ht="14.25">
      <c r="A32" s="3227"/>
      <c r="B32" s="3231"/>
      <c r="C32" s="1173" t="s">
        <v>1646</v>
      </c>
    </row>
    <row r="33" spans="1:3" ht="14.25">
      <c r="A33" s="3227"/>
      <c r="B33" s="3221" t="s">
        <v>1652</v>
      </c>
      <c r="C33" s="1173" t="s">
        <v>1647</v>
      </c>
    </row>
    <row r="34" spans="1:3" ht="14.25">
      <c r="A34" s="3227"/>
      <c r="B34" s="3222"/>
      <c r="C34" s="1178" t="s">
        <v>1648</v>
      </c>
    </row>
    <row r="35" spans="1:3" ht="14.25">
      <c r="A35" s="3227"/>
      <c r="B35" s="3222"/>
      <c r="C35" s="1179" t="s">
        <v>1649</v>
      </c>
    </row>
    <row r="36" spans="1:3" ht="14.25">
      <c r="A36" s="3227"/>
      <c r="B36" s="3222"/>
      <c r="C36" s="1179" t="s">
        <v>1650</v>
      </c>
    </row>
    <row r="37" spans="1:3" ht="14.25">
      <c r="A37" s="3227"/>
      <c r="B37" s="3223"/>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5">
        <f ca="1">TODAY()</f>
        <v>43257</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28">
        <v>43849</v>
      </c>
      <c r="D4" s="2341" t="s">
        <v>1914</v>
      </c>
      <c r="E4" s="2341">
        <f ca="1">IF(F4&lt;B2,"已过期",96010014)</f>
        <v>96010014</v>
      </c>
      <c r="F4" s="3029">
        <v>47118</v>
      </c>
    </row>
    <row r="5" spans="1:6" ht="20.25" customHeight="1">
      <c r="A5" s="2341" t="s">
        <v>1915</v>
      </c>
      <c r="B5" s="2341">
        <f ca="1">IF(C5&lt;B2,"已过期",1119970074)</f>
        <v>1119970074</v>
      </c>
      <c r="C5" s="3028">
        <v>43849</v>
      </c>
      <c r="D5" s="2341" t="s">
        <v>1915</v>
      </c>
      <c r="E5" s="2341">
        <f ca="1">IF(F5&lt;B2,"已过期",2002110027)</f>
        <v>2002110027</v>
      </c>
      <c r="F5" s="3029">
        <v>46752</v>
      </c>
    </row>
    <row r="6" spans="1:6" ht="20.25" customHeight="1">
      <c r="A6" s="2341" t="s">
        <v>1916</v>
      </c>
      <c r="B6" s="2341">
        <f ca="1">IF(C6&lt;B2,"已过期",1119970111)</f>
        <v>1119970111</v>
      </c>
      <c r="C6" s="3028">
        <v>43849</v>
      </c>
      <c r="D6" s="2341" t="s">
        <v>1916</v>
      </c>
      <c r="E6" s="2341">
        <f ca="1">IF(F6&lt;B2,"已过期",94010078)</f>
        <v>94010078</v>
      </c>
      <c r="F6" s="3029">
        <v>46387</v>
      </c>
    </row>
    <row r="7" spans="1:6" ht="20.25" customHeight="1">
      <c r="A7" s="2341" t="s">
        <v>1917</v>
      </c>
      <c r="B7" s="2341">
        <f ca="1">IF(C7&lt;B2,"已过期",1120050019)</f>
        <v>1120050019</v>
      </c>
      <c r="C7" s="3028">
        <v>43359</v>
      </c>
      <c r="D7" s="2341" t="s">
        <v>1917</v>
      </c>
      <c r="E7" s="2341">
        <f ca="1">IF(F7&lt;B2,"已过期",2002110030)</f>
        <v>2002110030</v>
      </c>
      <c r="F7" s="3029">
        <v>46387</v>
      </c>
    </row>
    <row r="8" spans="1:6" ht="20.25" customHeight="1">
      <c r="A8" s="2341" t="s">
        <v>1918</v>
      </c>
      <c r="B8" s="2341">
        <f ca="1">IF(C8&lt;B2,"已过期",1120000080)</f>
        <v>1120000080</v>
      </c>
      <c r="C8" s="3028">
        <v>43849</v>
      </c>
      <c r="D8" s="2341" t="s">
        <v>1918</v>
      </c>
      <c r="E8" s="2341">
        <f ca="1">IF(F8&lt;B2,"已过期",2000110082)</f>
        <v>2000110082</v>
      </c>
      <c r="F8" s="3029">
        <v>46387</v>
      </c>
    </row>
    <row r="9" spans="1:6" ht="20.25" customHeight="1">
      <c r="A9" s="2341" t="s">
        <v>1919</v>
      </c>
      <c r="B9" s="2341">
        <f ca="1">IF(C9&lt;B2,"已过期",1419970001)</f>
        <v>1419970001</v>
      </c>
      <c r="C9" s="3028">
        <v>43867</v>
      </c>
      <c r="D9" s="2341" t="s">
        <v>1919</v>
      </c>
      <c r="E9" s="2341">
        <f ca="1">IF(F9&lt;B2,"已过期",2002110125)</f>
        <v>2002110125</v>
      </c>
      <c r="F9" s="3029">
        <v>47118</v>
      </c>
    </row>
    <row r="10" spans="1:6" ht="20.25" customHeight="1">
      <c r="A10" s="2341" t="s">
        <v>1920</v>
      </c>
      <c r="B10" s="2341">
        <f ca="1">IF(C10&lt;B2,"已过期",1120060040)</f>
        <v>1120060040</v>
      </c>
      <c r="C10" s="3028">
        <v>43483</v>
      </c>
      <c r="D10" s="2341" t="s">
        <v>1920</v>
      </c>
      <c r="E10" s="2341">
        <f ca="1">IF(F10&lt;B2,"已过期",2004110096)</f>
        <v>2004110096</v>
      </c>
      <c r="F10" s="3029">
        <v>47118</v>
      </c>
    </row>
    <row r="11" spans="1:6" ht="20.25" customHeight="1">
      <c r="A11" s="2341" t="s">
        <v>1921</v>
      </c>
      <c r="B11" s="2341">
        <f ca="1">IF(C11&lt;B2,"已过期",1120100036)</f>
        <v>1120100036</v>
      </c>
      <c r="C11" s="3028">
        <v>43622</v>
      </c>
      <c r="D11" s="2341" t="s">
        <v>1921</v>
      </c>
      <c r="E11" s="2341">
        <f ca="1">IF(F11&lt;B2,"已过期",2010110070)</f>
        <v>2010110070</v>
      </c>
      <c r="F11" s="3029">
        <v>47907</v>
      </c>
    </row>
    <row r="12" spans="1:6" ht="20.25" customHeight="1">
      <c r="A12" s="2341" t="s">
        <v>2980</v>
      </c>
      <c r="B12" s="2341">
        <v>1120110054</v>
      </c>
      <c r="C12" s="3028">
        <v>43937</v>
      </c>
      <c r="D12" s="2341" t="s">
        <v>2980</v>
      </c>
      <c r="E12" s="2341">
        <v>2008110060</v>
      </c>
      <c r="F12" s="3029">
        <v>47177</v>
      </c>
    </row>
    <row r="13" spans="1:6" ht="20.25" customHeight="1">
      <c r="A13" s="2341" t="s">
        <v>1922</v>
      </c>
      <c r="B13" s="2341">
        <f ca="1">IF(C13&lt;B2,"已过期",1120070131)</f>
        <v>1120070131</v>
      </c>
      <c r="C13" s="3028">
        <v>43814</v>
      </c>
      <c r="D13" s="2341" t="s">
        <v>1922</v>
      </c>
      <c r="E13" s="2341">
        <v>2014110011</v>
      </c>
      <c r="F13" s="3029">
        <v>49302</v>
      </c>
    </row>
    <row r="14" spans="1:6" ht="20.25" customHeight="1">
      <c r="A14" s="2341" t="s">
        <v>1923</v>
      </c>
      <c r="B14" s="2341">
        <f ca="1">IF(C14&lt;B2,"已过期",1120130020)</f>
        <v>1120130020</v>
      </c>
      <c r="C14" s="3028">
        <v>43622</v>
      </c>
      <c r="D14" s="2341"/>
      <c r="E14" s="2341"/>
      <c r="F14" s="2341"/>
    </row>
    <row r="15" spans="1:6" ht="20.25" customHeight="1">
      <c r="A15" s="2341" t="s">
        <v>2575</v>
      </c>
      <c r="B15" s="2341">
        <v>1120070085</v>
      </c>
      <c r="C15" s="3028">
        <v>43814</v>
      </c>
      <c r="D15" s="2341" t="s">
        <v>2575</v>
      </c>
      <c r="E15" s="2341">
        <v>2004110128</v>
      </c>
      <c r="F15" s="3029">
        <v>47118</v>
      </c>
    </row>
    <row r="16" spans="1:6" ht="20.25" customHeight="1">
      <c r="A16" s="2341" t="s">
        <v>1924</v>
      </c>
      <c r="B16" s="2341">
        <f ca="1">IF(C16&lt;B2,"已过期",1120140022)</f>
        <v>1120140022</v>
      </c>
      <c r="C16" s="3028">
        <v>44029</v>
      </c>
      <c r="D16" s="2341" t="s">
        <v>1924</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1925</v>
      </c>
      <c r="E21" s="2341">
        <f ca="1">IF(F21&lt;B2,"已过期",2011110090)</f>
        <v>2011110090</v>
      </c>
      <c r="F21" s="3029">
        <v>48302</v>
      </c>
    </row>
    <row r="22" spans="1:7" ht="20.25" customHeight="1">
      <c r="A22" s="2341" t="s">
        <v>1926</v>
      </c>
      <c r="B22" s="2341">
        <f ca="1">IF(C22&lt;B2,"已过期",1120020033)</f>
        <v>1120020033</v>
      </c>
      <c r="C22" s="3028">
        <v>43304</v>
      </c>
      <c r="D22" s="2341" t="s">
        <v>1926</v>
      </c>
      <c r="E22" s="2341">
        <f ca="1">IF(F22&lt;B2,"已过期",2000110137)</f>
        <v>2000110137</v>
      </c>
      <c r="F22" s="3029">
        <v>46387</v>
      </c>
    </row>
    <row r="23" spans="1:7" ht="20.25" customHeight="1">
      <c r="A23" s="2341" t="s">
        <v>1927</v>
      </c>
      <c r="B23" s="2341">
        <f ca="1">IF(C23&lt;B2,"已过期",1120130048)</f>
        <v>1120130048</v>
      </c>
      <c r="C23" s="3028">
        <v>43686</v>
      </c>
      <c r="D23" s="2341"/>
      <c r="E23" s="2341"/>
      <c r="F23" s="2341"/>
    </row>
    <row r="24" spans="1:7" s="2345" customFormat="1" ht="20.25" customHeight="1">
      <c r="A24" s="2343" t="s">
        <v>2053</v>
      </c>
      <c r="B24" s="2343" t="s">
        <v>2053</v>
      </c>
      <c r="C24" s="3028"/>
      <c r="D24" s="3030" t="s">
        <v>2053</v>
      </c>
      <c r="E24" s="2343" t="s">
        <v>2053</v>
      </c>
      <c r="F24" s="2344"/>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2945</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1" sqref="X11"/>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2546</v>
      </c>
      <c r="R1" s="2604" t="s">
        <v>2540</v>
      </c>
      <c r="S1" s="6" t="s">
        <v>146</v>
      </c>
      <c r="T1" s="7" t="s">
        <v>147</v>
      </c>
      <c r="U1" s="6" t="s">
        <v>148</v>
      </c>
      <c r="V1" s="6" t="s">
        <v>149</v>
      </c>
      <c r="W1" s="1001"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2541</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2542</v>
      </c>
      <c r="S3" s="9" t="s">
        <v>84</v>
      </c>
      <c r="T3" s="9" t="s">
        <v>85</v>
      </c>
      <c r="U3" s="9" t="s">
        <v>84</v>
      </c>
      <c r="V3" s="9" t="s">
        <v>86</v>
      </c>
      <c r="W3" s="9" t="s">
        <v>875</v>
      </c>
    </row>
    <row r="4" spans="1:23">
      <c r="A4" s="8" t="s">
        <v>87</v>
      </c>
      <c r="B4" s="8" t="s">
        <v>152</v>
      </c>
      <c r="C4" s="1549" t="s">
        <v>1711</v>
      </c>
      <c r="D4" s="9" t="s">
        <v>1994</v>
      </c>
      <c r="E4" s="9" t="s">
        <v>88</v>
      </c>
      <c r="F4" s="9" t="s">
        <v>89</v>
      </c>
      <c r="G4" s="9">
        <v>70</v>
      </c>
      <c r="H4" s="9" t="s">
        <v>90</v>
      </c>
      <c r="I4" s="9" t="s">
        <v>91</v>
      </c>
      <c r="K4" s="9" t="s">
        <v>92</v>
      </c>
      <c r="L4" s="9" t="s">
        <v>92</v>
      </c>
      <c r="M4" s="9" t="s">
        <v>92</v>
      </c>
      <c r="N4" s="9" t="s">
        <v>92</v>
      </c>
      <c r="O4" s="9" t="s">
        <v>92</v>
      </c>
      <c r="P4" s="1003" t="s">
        <v>759</v>
      </c>
      <c r="Q4" s="9" t="s">
        <v>92</v>
      </c>
      <c r="R4" s="1003" t="s">
        <v>2543</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3" t="s">
        <v>546</v>
      </c>
      <c r="Q5" s="9" t="s">
        <v>97</v>
      </c>
      <c r="R5" s="1003" t="s">
        <v>2544</v>
      </c>
      <c r="S5" s="9" t="s">
        <v>97</v>
      </c>
      <c r="T5" s="9" t="s">
        <v>98</v>
      </c>
      <c r="U5" s="9" t="s">
        <v>97</v>
      </c>
      <c r="W5" s="9" t="s">
        <v>877</v>
      </c>
    </row>
    <row r="6" spans="1:23">
      <c r="A6" s="8" t="s">
        <v>99</v>
      </c>
      <c r="B6" s="1146" t="s">
        <v>1640</v>
      </c>
      <c r="C6" s="1551" t="s">
        <v>1713</v>
      </c>
      <c r="F6" s="9" t="s">
        <v>71</v>
      </c>
      <c r="H6" s="9" t="s">
        <v>72</v>
      </c>
      <c r="I6" s="9" t="s">
        <v>100</v>
      </c>
      <c r="K6" s="9" t="s">
        <v>101</v>
      </c>
      <c r="L6" s="9" t="s">
        <v>101</v>
      </c>
      <c r="M6" s="9" t="s">
        <v>101</v>
      </c>
      <c r="N6" s="9" t="s">
        <v>101</v>
      </c>
      <c r="O6" s="9" t="s">
        <v>101</v>
      </c>
      <c r="P6" s="1003" t="s">
        <v>880</v>
      </c>
      <c r="Q6" s="9" t="s">
        <v>101</v>
      </c>
      <c r="R6" s="1003" t="s">
        <v>2545</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138" t="s">
        <v>2957</v>
      </c>
      <c r="C18" s="1552"/>
    </row>
    <row r="19" spans="1:3">
      <c r="A19" s="8" t="s">
        <v>120</v>
      </c>
      <c r="B19" s="3138" t="s">
        <v>2965</v>
      </c>
      <c r="C19" s="1552"/>
    </row>
    <row r="20" spans="1:3">
      <c r="A20" s="8" t="s">
        <v>121</v>
      </c>
      <c r="B20" s="8" t="s">
        <v>1641</v>
      </c>
      <c r="C20" s="1552"/>
    </row>
    <row r="21" spans="1:3">
      <c r="A21" s="8" t="s">
        <v>122</v>
      </c>
      <c r="B21" s="8" t="s">
        <v>1641</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来安裕泰房地产开发有限公司拟使用安徽省来安县汊河新区长江大街西侧、明发北站新城北侧及黄高路东侧、明发北站新城北侧两宗住宅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34"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19日，在规划利用条件下、设定土地开发程度为红线外“七通”、宗地内场地平整，设定用途为住宅、商业，剩余土地使用年限为的出让国有建设用地使用权价格。</v>
      </c>
      <c r="D53" s="1765"/>
      <c r="E53" s="1765"/>
    </row>
    <row r="54" spans="1:5">
      <c r="A54" s="3234"/>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4"/>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4"/>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4"/>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146</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不动产比较法-高层住宅</vt:lpstr>
      <vt:lpstr>不动产比较法-合院</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别墅案例</vt:lpstr>
      <vt:lpstr>商业</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'不动产比较法-合院'!住宅朝向</vt:lpstr>
      <vt:lpstr>住宅朝向</vt:lpstr>
      <vt:lpstr>'不动产比较法-合院'!住宅房型</vt:lpstr>
      <vt:lpstr>住宅房型</vt:lpstr>
      <vt:lpstr>'不动产比较法-合院'!住宅公共部分装修</vt:lpstr>
      <vt:lpstr>住宅公共部分装修</vt:lpstr>
      <vt:lpstr>'不动产比较法-合院'!住宅基础设施水平</vt:lpstr>
      <vt:lpstr>住宅基础设施水平</vt:lpstr>
      <vt:lpstr>'不动产比较法-合院'!住宅建筑结构</vt:lpstr>
      <vt:lpstr>住宅建筑结构</vt:lpstr>
      <vt:lpstr>'不动产比较法-合院'!住宅建筑类型</vt:lpstr>
      <vt:lpstr>住宅建筑类型</vt:lpstr>
      <vt:lpstr>'不动产比较法-合院'!住宅建筑品质</vt:lpstr>
      <vt:lpstr>住宅建筑品质</vt:lpstr>
      <vt:lpstr>'不动产比较法-合院'!住宅交易情况</vt:lpstr>
      <vt:lpstr>住宅交易情况</vt:lpstr>
      <vt:lpstr>'不动产比较法-合院'!住宅楼层</vt:lpstr>
      <vt:lpstr>住宅楼层</vt:lpstr>
      <vt:lpstr>'不动产比较法-合院'!住宅内部装修</vt:lpstr>
      <vt:lpstr>住宅内部装修</vt:lpstr>
      <vt:lpstr>'不动产比较法-合院'!住宅物业管理</vt:lpstr>
      <vt:lpstr>住宅物业管理</vt:lpstr>
      <vt:lpstr>'不动产比较法-合院'!住宅用途</vt:lpstr>
      <vt:lpstr>住宅用途</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2017-03-09T08:11:21Z</cp:lastPrinted>
  <dcterms:created xsi:type="dcterms:W3CDTF">2015-07-13T07:17:23Z</dcterms:created>
  <dcterms:modified xsi:type="dcterms:W3CDTF">2018-06-06T08:49:59Z</dcterms:modified>
</cp:coreProperties>
</file>