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9005" windowHeight="11760" tabRatio="941" firstSheet="1" activeTab="3"/>
  </bookViews>
  <sheets>
    <sheet name="权属依据" sheetId="29" state="hidden" r:id="rId1"/>
    <sheet name="系统读取表" sheetId="69" r:id="rId2"/>
    <sheet name="面积" sheetId="68" r:id="rId3"/>
    <sheet name="结果汇总" sheetId="27" r:id="rId4"/>
    <sheet name="住租约" sheetId="55" state="hidden" r:id="rId5"/>
    <sheet name="市（住）" sheetId="41" state="hidden" r:id="rId6"/>
    <sheet name="收（住租约）" sheetId="53" state="hidden" r:id="rId7"/>
    <sheet name="建筑（住）" sheetId="47" state="hidden" r:id="rId8"/>
    <sheet name="商租约" sheetId="56" state="hidden" r:id="rId9"/>
    <sheet name="收（商租约）" sheetId="58" state="hidden" r:id="rId10"/>
    <sheet name="建筑（商）" sheetId="48" state="hidden" r:id="rId11"/>
    <sheet name="办租约" sheetId="54" state="hidden" r:id="rId12"/>
    <sheet name="市（商业）" sheetId="63" r:id="rId13"/>
    <sheet name="收（办租约）" sheetId="57" state="hidden" r:id="rId14"/>
    <sheet name="建筑（办）" sheetId="44" state="hidden" r:id="rId15"/>
    <sheet name="收益法 (商)" sheetId="60" r:id="rId16"/>
    <sheet name="市（车）" sheetId="64" r:id="rId17"/>
    <sheet name="收（车）" sheetId="45" r:id="rId18"/>
    <sheet name="案例" sheetId="65" r:id="rId19"/>
    <sheet name="市（停车楼）" sheetId="51" state="hidden" r:id="rId20"/>
    <sheet name="收（停车楼）" sheetId="49" state="hidden" r:id="rId21"/>
    <sheet name="税费" sheetId="62" state="hidden" r:id="rId22"/>
  </sheets>
  <externalReferences>
    <externalReference r:id="rId23"/>
    <externalReference r:id="rId24"/>
    <externalReference r:id="rId25"/>
    <externalReference r:id="rId26"/>
    <externalReference r:id="rId27"/>
    <externalReference r:id="rId28"/>
  </externalReferences>
  <definedNames>
    <definedName name="_xlnm.Print_Area" localSheetId="3">结果汇总!$A$1:$P$29</definedName>
    <definedName name="_xlnm.Print_Area" localSheetId="16">'市（车）'!$A$1:$U$45</definedName>
    <definedName name="_xlnm.Print_Area" localSheetId="12">'市（商业）'!$A$1:$U$44</definedName>
    <definedName name="_xlnm.Print_Area" localSheetId="13">'收（办租约）'!$A$1:$R$46</definedName>
    <definedName name="_xlnm.Print_Area" localSheetId="17">'收（车）'!$A$1:$H$51</definedName>
    <definedName name="_xlnm.Print_Area" localSheetId="9">'收（商租约）'!$A$1:$V$47</definedName>
    <definedName name="_xlnm.Print_Area" localSheetId="6">'收（住租约）'!$A$1:$R$46</definedName>
    <definedName name="_xlnm.Print_Area" localSheetId="15">'收益法 (商)'!$A$1:$N$44</definedName>
    <definedName name="_xlnm.Print_Area" localSheetId="21">税费!$A$15:$M$45</definedName>
    <definedName name="办公层高">'[1]不动产比较法-办公'!$B$119:$M$119</definedName>
    <definedName name="办公朝向">'[1]不动产比较法-办公'!$B$91:$M$91</definedName>
    <definedName name="办公道路级别">'[1]不动产比较法-办公'!$B$87:$M$87</definedName>
    <definedName name="办公公共部分装修">'[1]不动产比较法-办公'!$B$108:$M$108</definedName>
    <definedName name="办公基础设施水平">'[1]不动产比较法-办公'!$B$117:$M$117</definedName>
    <definedName name="办公集聚程度">[1]定义!$M$1:$M$6</definedName>
    <definedName name="办公建筑结构">'[1]不动产比较法-办公'!$B$106:$M$106</definedName>
    <definedName name="办公建筑类型">'[1]不动产比较法-办公'!$B$101:$M$101</definedName>
    <definedName name="办公交易情况">'[1]不动产比较法-办公'!$A$62:$M$62</definedName>
    <definedName name="办公楼层">'[1]不动产比较法-办公'!$B$89:$M$89</definedName>
    <definedName name="办公内部装修">'[1]不动产比较法-办公'!$B$123:$M$123</definedName>
    <definedName name="办公物业管理">'[1]不动产比较法-办公'!$B$115:$M$115</definedName>
    <definedName name="办公用途">'[1]不动产比较法-办公'!$B$64:$M$64</definedName>
    <definedName name="仓储公共部分装修">'[1]不动产比较法-仓储'!$B$77:$M$77</definedName>
    <definedName name="仓储交易情况">'[1]不动产比较法-仓储'!$A$49:$M$49</definedName>
    <definedName name="仓储楼层">'[1]不动产比较法-仓储'!$B$69:$M$69</definedName>
    <definedName name="仓储物业等级">'[1]不动产比较法-仓储'!$B$82:$M$82</definedName>
    <definedName name="仓储用途">'[1]不动产比较法-仓储'!$B$51:$M$51</definedName>
    <definedName name="产业集聚程度">[1]定义!$N$1:$N$6</definedName>
    <definedName name="车位公共部分装修">'[1]不动产比较法-车位'!$B$83:$M$83</definedName>
    <definedName name="车位交易情况">'[1]不动产比较法-车位'!$A$51:$M$51</definedName>
    <definedName name="车位类型">'[1]不动产比较法-车位'!$B$93:$M$93</definedName>
    <definedName name="车位楼层">'[1]不动产比较法-车位'!$B$71:$M$71</definedName>
    <definedName name="车位配套类型">'[1]不动产比较法-车位'!$B$79:$M$79</definedName>
    <definedName name="车位物业等级">'[1]不动产比较法-车位'!$B$88:$M$88</definedName>
    <definedName name="车位用途">'[1]不动产比较法-车位'!$B$53:$M$53</definedName>
    <definedName name="城镇土地纳税等级分级范围">'[1]数据-取费表'!$A$53:$A$63</definedName>
    <definedName name="单价内涵">[1]定义!$V$1:$V$3</definedName>
    <definedName name="地类判定">[1]定义!$H$1:$H$9</definedName>
    <definedName name="二级分类">[1]修正!$C$17:$C$39</definedName>
    <definedName name="法定最高年限">[1]定义!$G$2:$G$4</definedName>
    <definedName name="工业公共部分装修">'[1]不动产比较法-工业'!$B$95:$M$95</definedName>
    <definedName name="工业基础设施水平">'[1]不动产比较法-工业'!$B$102:$M$102</definedName>
    <definedName name="工业建筑结构">'[1]不动产比较法-工业'!$B$93:$M$93</definedName>
    <definedName name="工业建筑类型">'[1]不动产比较法-工业'!$B$88:$M$88</definedName>
    <definedName name="工业交易情况">'[1]不动产比较法-工业'!$A$55:$M$55</definedName>
    <definedName name="工业内部装修">'[1]不动产比较法-工业'!$B$104:$M$104</definedName>
    <definedName name="工业物业管理">'[1]不动产比较法-工业'!$B$100:$M$100</definedName>
    <definedName name="工业用途">'[1]不动产比较法-工业'!$B$57:$M$57</definedName>
    <definedName name="公共配套设施">[1]定义!$Q$1:$Q$6</definedName>
    <definedName name="估价方法">[1]定义!$B$1:$B$50</definedName>
    <definedName name="环境">[1]定义!$S$1:$S$6</definedName>
    <definedName name="基础设施水平">[1]定义!$R$1:$R$6</definedName>
    <definedName name="价值类型2">[1]定义!$B$54:$B$56</definedName>
    <definedName name="交通便捷度">[1]定义!$O$1:$O$6</definedName>
    <definedName name="居住社区成熟度">[1]定义!$K$1:$K$6</definedName>
    <definedName name="类别">[1]定义!$J$1:$J$3</definedName>
    <definedName name="临街状况">[1]定义!$T$1:$T$5</definedName>
    <definedName name="内部装修维护情况">[1]定义!$U$1:$U$6</definedName>
    <definedName name="判定">[1]定义!$D$1:$D$4</definedName>
    <definedName name="七通一平">[1]修正!$A$6:$A$14</definedName>
    <definedName name="区域土地利用方向">[1]定义!$P$1:$P$6</definedName>
    <definedName name="商业层高">'[1]不动产比较法-商业'!$B$116:$M$116</definedName>
    <definedName name="商业繁华度">[1]定义!$L$1:$L$6</definedName>
    <definedName name="商业公共部分装修">'[1]不动产比较法-商业'!$B$107:$M$107</definedName>
    <definedName name="商业基础设施水平">'[1]不动产比较法-商业'!$B$112:$M$112</definedName>
    <definedName name="商业建筑结构">'[1]不动产比较法-商业'!$B$105:$M$105</definedName>
    <definedName name="商业交易情况">'[1]不动产比较法-商业'!$A$61:$M$61</definedName>
    <definedName name="商业街名称">[1]修正!$C$59:$C$119</definedName>
    <definedName name="商业进深比">'[1]不动产比较法-商业'!$B$120:$M$120</definedName>
    <definedName name="商业类型">'[1]不动产比较法-商业'!$B$100:$M$100</definedName>
    <definedName name="商业临街状况">'[1]不动产比较法-商业'!$B$86:$M$86</definedName>
    <definedName name="商业楼层">'[1]不动产比较法-商业'!$B$92:$M$92</definedName>
    <definedName name="商业内部装修">'[1]不动产比较法-商业'!$B$122:$M$122</definedName>
    <definedName name="商业人流量">'[1]不动产比较法-商业'!$B$90:$M$90</definedName>
    <definedName name="商业业态">'[1]不动产比较法-商业'!$B$114:$M$114</definedName>
    <definedName name="商业用途">'[1]不动产比较法-商业'!$B$63:$M$63</definedName>
    <definedName name="是否封闭">'[1]不动产比较法-仓储'!$B$89:$M$89</definedName>
    <definedName name="是否直接入户">'[1]不动产比较法-车位'!$B$95:$M$95</definedName>
    <definedName name="套工工程地质条件">'[1]比较法-工业'!$B$116:$M$116</definedName>
    <definedName name="套工交易情况">'[1]比较法-住宅、综合'!$A$75:$M$75</definedName>
    <definedName name="套工开发程度">'[1]比较法-工业'!$B$114:$M$114</definedName>
    <definedName name="套工临街等级">'[1]比较法-工业'!$B$99:$M$99</definedName>
    <definedName name="套工土地级别">'[1]比较法-工业'!$B$101:$M$101</definedName>
    <definedName name="套工用途">'[1]比较法-工业'!$B$72:$M$72</definedName>
    <definedName name="套工宗地形状">'[1]比较法-工业'!$B$112:$M$112</definedName>
    <definedName name="套综道路等级">'[1]比较法-住宅、综合'!$B$108:$M$108</definedName>
    <definedName name="套综工程地质条件">'[1]比较法-住宅、综合'!$B$127:$M$127</definedName>
    <definedName name="套综交易情况">'[1]比较法-住宅、综合'!$A$75:$M$75</definedName>
    <definedName name="套综临街宽度及深度">'[1]比较法-住宅、综合'!$B$123:$M$123</definedName>
    <definedName name="套综土地级别">'[1]比较法-住宅、综合'!$B$110:$M$110</definedName>
    <definedName name="套综用途">'[1]比较法-住宅、综合'!$B$77:$M$77</definedName>
    <definedName name="套综宗地内开发程度">'[1]比较法-住宅、综合'!$B$125:$M$125</definedName>
    <definedName name="套综宗地形状">'[1]比较法-住宅、综合'!$B$121:$M$121</definedName>
    <definedName name="土地估价师">[1]估价师及机构信息!$D$3:$D$24</definedName>
    <definedName name="土地级别">[1]定义!$C$1:$C$14</definedName>
    <definedName name="土地年限区间">[1]定义!$I$1:$I$8</definedName>
    <definedName name="位置">[1]定义!$E$2:$E$4</definedName>
    <definedName name="五等判定">[1]定义!$W$1:$W$6</definedName>
    <definedName name="项目类型">'[1]数据-汇总表'!$C$17:$C$26</definedName>
    <definedName name="写字楼等级">'[1]不动产比较法-办公'!$B$113:$M$113</definedName>
    <definedName name="一修多修正项2">[1]典型户型修正!$5:$5</definedName>
    <definedName name="一修多修正项3">[1]典型户型修正!$7:$7</definedName>
    <definedName name="一修多修正项4">[1]典型户型修正!$9:$9</definedName>
    <definedName name="一修多修正项5">[1]典型户型修正!$11:$11</definedName>
    <definedName name="一修多修正项6">[1]典型户型修正!$13:$13</definedName>
    <definedName name="一修多修正项7">[1]典型户型修正!$15:$15</definedName>
    <definedName name="一修多修正项8">[1]典型户型修正!$17:$17</definedName>
    <definedName name="用途类型">[1]定义!$A$1:$A$50</definedName>
    <definedName name="有无电梯">'[1]不动产比较法-仓储'!$B$84:$M$84</definedName>
    <definedName name="主用途">[1]定义!$F$1:$F$10</definedName>
    <definedName name="住宅朝向">'[1]不动产比较法-住宅'!$B$88:$M$88</definedName>
    <definedName name="住宅房型">'[1]不动产比较法-住宅'!$B$118:$M$118</definedName>
    <definedName name="住宅公共部分装修">'[1]不动产比较法-住宅'!$B$109:$M$109</definedName>
    <definedName name="住宅基础设施水平">'[1]不动产比较法-住宅'!$B$116:$M$116</definedName>
    <definedName name="住宅建筑结构">'[1]不动产比较法-住宅'!$B$105:$M$105</definedName>
    <definedName name="住宅建筑类型">'[1]不动产比较法-住宅'!$B$100:$M$100</definedName>
    <definedName name="住宅建筑品质">'[1]不动产比较法-住宅'!$B$107:$M$107</definedName>
    <definedName name="住宅交易情况">'[1]不动产比较法-住宅'!$A$61:$M$61</definedName>
    <definedName name="住宅楼层">'[1]不动产比较法-住宅'!$B$86:$M$86</definedName>
    <definedName name="住宅内部装修">'[1]不动产比较法-住宅'!$B$122:$M$122</definedName>
    <definedName name="住宅物业管理">'[1]不动产比较法-住宅'!$B$114:$M$114</definedName>
    <definedName name="住宅用途">'[1]不动产比较法-住宅'!$B$63:$M$63</definedName>
  </definedNames>
  <calcPr calcId="145621" concurrentCalc="0"/>
</workbook>
</file>

<file path=xl/calcChain.xml><?xml version="1.0" encoding="utf-8"?>
<calcChain xmlns="http://schemas.openxmlformats.org/spreadsheetml/2006/main">
  <c r="E33" i="64" l="1"/>
  <c r="E34" i="64"/>
  <c r="E35" i="64"/>
  <c r="E36" i="64"/>
  <c r="O26" i="64"/>
  <c r="G5" i="64"/>
  <c r="X5" i="64"/>
  <c r="X6" i="64"/>
  <c r="X7" i="64"/>
  <c r="X8" i="64"/>
  <c r="X9" i="64"/>
  <c r="X10" i="64"/>
  <c r="X11" i="64"/>
  <c r="X12" i="64"/>
  <c r="X13" i="64"/>
  <c r="X14" i="64"/>
  <c r="X15" i="64"/>
  <c r="X16" i="64"/>
  <c r="X17" i="64"/>
  <c r="X18" i="64"/>
  <c r="X19" i="64"/>
  <c r="X20" i="64"/>
  <c r="X21" i="64"/>
  <c r="X22" i="64"/>
  <c r="X23" i="64"/>
  <c r="X24" i="64"/>
  <c r="X25" i="64"/>
  <c r="O27" i="64"/>
  <c r="G33" i="64"/>
  <c r="G34" i="64"/>
  <c r="G35" i="64"/>
  <c r="G36" i="64"/>
  <c r="Q26" i="64"/>
  <c r="I5" i="64"/>
  <c r="Y5" i="64"/>
  <c r="Y6" i="64"/>
  <c r="Y7" i="64"/>
  <c r="I8" i="64"/>
  <c r="Y8" i="64"/>
  <c r="Y9" i="64"/>
  <c r="Y10" i="64"/>
  <c r="Y11" i="64"/>
  <c r="Y12" i="64"/>
  <c r="Y13" i="64"/>
  <c r="Y14" i="64"/>
  <c r="Y15" i="64"/>
  <c r="Y16" i="64"/>
  <c r="Y17" i="64"/>
  <c r="I18" i="64"/>
  <c r="Y18" i="64"/>
  <c r="Y19" i="64"/>
  <c r="Y20" i="64"/>
  <c r="Y21" i="64"/>
  <c r="Y22" i="64"/>
  <c r="Y23" i="64"/>
  <c r="Y24" i="64"/>
  <c r="Y25" i="64"/>
  <c r="Q27" i="64"/>
  <c r="I33" i="64"/>
  <c r="I34" i="64"/>
  <c r="I35" i="64"/>
  <c r="I36" i="64"/>
  <c r="S26" i="64"/>
  <c r="K5" i="64"/>
  <c r="Z5" i="64"/>
  <c r="Z6" i="64"/>
  <c r="Z7" i="64"/>
  <c r="Z8" i="64"/>
  <c r="Z9" i="64"/>
  <c r="Z10" i="64"/>
  <c r="K11" i="64"/>
  <c r="Z11" i="64"/>
  <c r="Z12" i="64"/>
  <c r="Z13" i="64"/>
  <c r="K14" i="64"/>
  <c r="Z14" i="64"/>
  <c r="Z15" i="64"/>
  <c r="Z16" i="64"/>
  <c r="Z17" i="64"/>
  <c r="K18" i="64"/>
  <c r="Z18" i="64"/>
  <c r="Z19" i="64"/>
  <c r="Z20" i="64"/>
  <c r="K21" i="64"/>
  <c r="Z21" i="64"/>
  <c r="Z22" i="64"/>
  <c r="Z23" i="64"/>
  <c r="Z24" i="64"/>
  <c r="Z25" i="64"/>
  <c r="S27" i="64"/>
  <c r="O28" i="64"/>
  <c r="O30" i="64"/>
  <c r="D7" i="27"/>
  <c r="E5" i="45"/>
  <c r="E8" i="45"/>
  <c r="D8" i="45"/>
  <c r="G25" i="45"/>
  <c r="G32" i="45"/>
  <c r="D32" i="45"/>
  <c r="B3" i="68"/>
  <c r="H4" i="45"/>
  <c r="E11" i="45"/>
  <c r="D11" i="45"/>
  <c r="G12" i="45"/>
  <c r="D12" i="45"/>
  <c r="D13" i="45"/>
  <c r="E14" i="45"/>
  <c r="D14" i="45"/>
  <c r="G15" i="45"/>
  <c r="D15" i="45"/>
  <c r="D16" i="45"/>
  <c r="G17" i="45"/>
  <c r="D17" i="45"/>
  <c r="G20" i="45"/>
  <c r="G21" i="45"/>
  <c r="D20" i="45"/>
  <c r="D23" i="45"/>
  <c r="G18" i="45"/>
  <c r="D21" i="45"/>
  <c r="D24" i="45"/>
  <c r="D26" i="45"/>
  <c r="E33" i="45"/>
  <c r="D33" i="45"/>
  <c r="C14" i="27"/>
  <c r="C13" i="27"/>
  <c r="C15" i="27"/>
  <c r="D14" i="27"/>
  <c r="E34" i="45"/>
  <c r="F34" i="45"/>
  <c r="D34" i="45"/>
  <c r="D31" i="45"/>
  <c r="D35" i="45"/>
  <c r="G27" i="60"/>
  <c r="G27" i="45"/>
  <c r="D28" i="45"/>
  <c r="D36" i="45"/>
  <c r="D37" i="45"/>
  <c r="D38" i="45"/>
  <c r="D40" i="45"/>
  <c r="D42" i="45"/>
  <c r="D43" i="45"/>
  <c r="D8" i="27"/>
  <c r="F8" i="27"/>
  <c r="G7" i="27"/>
  <c r="I14" i="27"/>
  <c r="D15" i="69"/>
  <c r="G15" i="69"/>
  <c r="X5" i="63"/>
  <c r="X6" i="63"/>
  <c r="X7" i="63"/>
  <c r="X8" i="63"/>
  <c r="X9" i="63"/>
  <c r="X10" i="63"/>
  <c r="X11" i="63"/>
  <c r="X12" i="63"/>
  <c r="X13" i="63"/>
  <c r="X14" i="63"/>
  <c r="X15" i="63"/>
  <c r="X16" i="63"/>
  <c r="G17" i="63"/>
  <c r="X17" i="63"/>
  <c r="X18" i="63"/>
  <c r="X19" i="63"/>
  <c r="X20" i="63"/>
  <c r="X21" i="63"/>
  <c r="G22" i="63"/>
  <c r="X22" i="63"/>
  <c r="X23" i="63"/>
  <c r="X24" i="63"/>
  <c r="X25" i="63"/>
  <c r="O27" i="63"/>
  <c r="Y5" i="63"/>
  <c r="Y6" i="63"/>
  <c r="Y7" i="63"/>
  <c r="Y8" i="63"/>
  <c r="Y9" i="63"/>
  <c r="Y10" i="63"/>
  <c r="Y11" i="63"/>
  <c r="Y12" i="63"/>
  <c r="Y13" i="63"/>
  <c r="Y14" i="63"/>
  <c r="Y15" i="63"/>
  <c r="Y16" i="63"/>
  <c r="I17" i="63"/>
  <c r="Y17" i="63"/>
  <c r="Y18" i="63"/>
  <c r="Y19" i="63"/>
  <c r="Y20" i="63"/>
  <c r="Y21" i="63"/>
  <c r="I22" i="63"/>
  <c r="Y22" i="63"/>
  <c r="Y23" i="63"/>
  <c r="Y24" i="63"/>
  <c r="Y25" i="63"/>
  <c r="Q27" i="63"/>
  <c r="Z5" i="63"/>
  <c r="Z6" i="63"/>
  <c r="Z7" i="63"/>
  <c r="Z8" i="63"/>
  <c r="Z9" i="63"/>
  <c r="Z10" i="63"/>
  <c r="Z11" i="63"/>
  <c r="Z12" i="63"/>
  <c r="Z13" i="63"/>
  <c r="Z14" i="63"/>
  <c r="Z15" i="63"/>
  <c r="Z16" i="63"/>
  <c r="K17" i="63"/>
  <c r="Z17" i="63"/>
  <c r="Z18" i="63"/>
  <c r="Z19" i="63"/>
  <c r="Z20" i="63"/>
  <c r="K21" i="63"/>
  <c r="Z21" i="63"/>
  <c r="K22" i="63"/>
  <c r="Z22" i="63"/>
  <c r="Z23" i="63"/>
  <c r="Z24" i="63"/>
  <c r="Z25" i="63"/>
  <c r="S27" i="63"/>
  <c r="O28" i="63"/>
  <c r="O37" i="63"/>
  <c r="O38" i="63"/>
  <c r="O39" i="63"/>
  <c r="O40" i="63"/>
  <c r="O41" i="63"/>
  <c r="O42" i="63"/>
  <c r="O29" i="63"/>
  <c r="O30" i="63"/>
  <c r="D4" i="27"/>
  <c r="E5" i="60"/>
  <c r="E8" i="60"/>
  <c r="D8" i="60"/>
  <c r="G32" i="60"/>
  <c r="D32" i="60"/>
  <c r="E11" i="60"/>
  <c r="D11" i="60"/>
  <c r="D12" i="60"/>
  <c r="D13" i="60"/>
  <c r="E14" i="60"/>
  <c r="D14" i="60"/>
  <c r="D15" i="60"/>
  <c r="D16" i="60"/>
  <c r="D17" i="60"/>
  <c r="D20" i="60"/>
  <c r="D23" i="60"/>
  <c r="D21" i="60"/>
  <c r="D24" i="60"/>
  <c r="D26" i="60"/>
  <c r="E33" i="60"/>
  <c r="D33" i="60"/>
  <c r="D13" i="27"/>
  <c r="E34" i="60"/>
  <c r="D34" i="60"/>
  <c r="D31" i="60"/>
  <c r="D35" i="60"/>
  <c r="D28" i="60"/>
  <c r="D36" i="60"/>
  <c r="D37" i="60"/>
  <c r="D38" i="60"/>
  <c r="D40" i="60"/>
  <c r="D43" i="60"/>
  <c r="D5" i="27"/>
  <c r="F5" i="27"/>
  <c r="G4" i="27"/>
  <c r="I13" i="27"/>
  <c r="D14" i="69"/>
  <c r="G14" i="69"/>
  <c r="B6" i="69"/>
  <c r="B14" i="69"/>
  <c r="B15" i="69"/>
  <c r="B1" i="69"/>
  <c r="C15" i="69"/>
  <c r="F15" i="69"/>
  <c r="E15" i="69"/>
  <c r="C14" i="69"/>
  <c r="F23" i="69"/>
  <c r="E23" i="69"/>
  <c r="F22" i="69"/>
  <c r="E22" i="69"/>
  <c r="F21" i="69"/>
  <c r="E21" i="69"/>
  <c r="F20" i="69"/>
  <c r="E20" i="69"/>
  <c r="F19" i="69"/>
  <c r="E19" i="69"/>
  <c r="F18" i="69"/>
  <c r="E18" i="69"/>
  <c r="F17" i="69"/>
  <c r="E17" i="69"/>
  <c r="F16" i="69"/>
  <c r="E16" i="69"/>
  <c r="I14" i="69"/>
  <c r="H14" i="69"/>
  <c r="B8" i="69"/>
  <c r="B7" i="69"/>
  <c r="B3" i="69"/>
  <c r="B2" i="69"/>
  <c r="D6" i="69"/>
  <c r="D8" i="69"/>
  <c r="C7" i="69"/>
  <c r="C8" i="69"/>
  <c r="C6" i="69"/>
  <c r="D7" i="69"/>
  <c r="E14" i="69"/>
  <c r="F14" i="69"/>
  <c r="B5" i="69"/>
  <c r="C5" i="69"/>
  <c r="D5" i="69"/>
  <c r="D8" i="64"/>
  <c r="J4" i="64"/>
  <c r="H4" i="64"/>
  <c r="F4" i="64"/>
  <c r="N21" i="64"/>
  <c r="N22" i="64"/>
  <c r="N23" i="64"/>
  <c r="N24" i="64"/>
  <c r="N25" i="64"/>
  <c r="D14" i="64"/>
  <c r="D13" i="64"/>
  <c r="D11" i="64"/>
  <c r="D10" i="64"/>
  <c r="D5" i="64"/>
  <c r="D4" i="64"/>
  <c r="L8" i="60"/>
  <c r="L6" i="60"/>
  <c r="L7" i="60"/>
  <c r="L5" i="60"/>
  <c r="L9" i="60"/>
  <c r="S34" i="63"/>
  <c r="Q34" i="63"/>
  <c r="O34" i="63"/>
  <c r="S33" i="63"/>
  <c r="Q33" i="63"/>
  <c r="O33" i="63"/>
  <c r="T21" i="63"/>
  <c r="D17" i="63"/>
  <c r="B7" i="68"/>
  <c r="D9" i="63"/>
  <c r="D5" i="54"/>
  <c r="K5" i="54"/>
  <c r="G5" i="54"/>
  <c r="J5" i="54"/>
  <c r="P5" i="54"/>
  <c r="D6" i="54"/>
  <c r="G6" i="54"/>
  <c r="J6" i="54"/>
  <c r="P6" i="54"/>
  <c r="L6" i="54"/>
  <c r="M6" i="54"/>
  <c r="H6" i="54"/>
  <c r="C7" i="54"/>
  <c r="D7" i="54"/>
  <c r="G7" i="54"/>
  <c r="J7" i="54"/>
  <c r="D8" i="54"/>
  <c r="K8" i="54"/>
  <c r="G8" i="54"/>
  <c r="J8" i="54"/>
  <c r="D9" i="54"/>
  <c r="K9" i="54"/>
  <c r="G9" i="54"/>
  <c r="J9" i="54"/>
  <c r="D10" i="54"/>
  <c r="G10" i="54"/>
  <c r="K10" i="54"/>
  <c r="P10" i="54"/>
  <c r="C11" i="54"/>
  <c r="D11" i="54"/>
  <c r="K11" i="54"/>
  <c r="G11" i="54"/>
  <c r="J11" i="54"/>
  <c r="P11" i="54"/>
  <c r="C12" i="54"/>
  <c r="D12" i="54"/>
  <c r="K12" i="54"/>
  <c r="G12" i="54"/>
  <c r="J12" i="54"/>
  <c r="P12" i="54"/>
  <c r="D13" i="54"/>
  <c r="G13" i="54"/>
  <c r="L13" i="54"/>
  <c r="M13" i="54"/>
  <c r="J13" i="54"/>
  <c r="K13" i="54"/>
  <c r="P13" i="54"/>
  <c r="G14" i="54"/>
  <c r="L14" i="54"/>
  <c r="J14" i="54"/>
  <c r="P14" i="54"/>
  <c r="K14" i="54"/>
  <c r="M14" i="54"/>
  <c r="D15" i="54"/>
  <c r="K15" i="54"/>
  <c r="G15" i="54"/>
  <c r="J15" i="54"/>
  <c r="P15" i="54"/>
  <c r="D16" i="54"/>
  <c r="G16" i="54"/>
  <c r="K16" i="54"/>
  <c r="L16" i="54"/>
  <c r="M16" i="54"/>
  <c r="P16" i="54"/>
  <c r="D17" i="54"/>
  <c r="K17" i="54"/>
  <c r="G17" i="54"/>
  <c r="J17" i="54"/>
  <c r="P17" i="54"/>
  <c r="D18" i="54"/>
  <c r="G18" i="54"/>
  <c r="K18" i="54"/>
  <c r="G19" i="54"/>
  <c r="L19" i="54"/>
  <c r="M19" i="54"/>
  <c r="J19" i="54"/>
  <c r="K19" i="54"/>
  <c r="P19" i="54"/>
  <c r="D20" i="54"/>
  <c r="K20" i="54"/>
  <c r="G20" i="54"/>
  <c r="J20" i="54"/>
  <c r="L20" i="54"/>
  <c r="M20" i="54"/>
  <c r="N20" i="54"/>
  <c r="D21" i="54"/>
  <c r="G21" i="54"/>
  <c r="L21" i="54"/>
  <c r="M21" i="54"/>
  <c r="J21" i="54"/>
  <c r="K21" i="54"/>
  <c r="P21" i="54"/>
  <c r="D22" i="54"/>
  <c r="K22" i="54"/>
  <c r="G22" i="54"/>
  <c r="J22" i="54"/>
  <c r="P22" i="54"/>
  <c r="L22" i="54"/>
  <c r="M22" i="54"/>
  <c r="H22" i="54"/>
  <c r="D24" i="54"/>
  <c r="K24" i="54"/>
  <c r="G24" i="54"/>
  <c r="J24" i="54"/>
  <c r="P24" i="54"/>
  <c r="D25" i="54"/>
  <c r="G25" i="54"/>
  <c r="L25" i="54"/>
  <c r="M25" i="54"/>
  <c r="J25" i="54"/>
  <c r="K25" i="54"/>
  <c r="P25" i="54"/>
  <c r="D26" i="54"/>
  <c r="K26" i="54"/>
  <c r="G26" i="54"/>
  <c r="J26" i="54"/>
  <c r="L26" i="54"/>
  <c r="M26" i="54"/>
  <c r="N26" i="54"/>
  <c r="P26" i="54"/>
  <c r="D27" i="54"/>
  <c r="K27" i="54"/>
  <c r="G27" i="54"/>
  <c r="J27" i="54"/>
  <c r="P27" i="54"/>
  <c r="D28" i="54"/>
  <c r="G28" i="54"/>
  <c r="L28" i="54"/>
  <c r="M28" i="54"/>
  <c r="J28" i="54"/>
  <c r="K28" i="54"/>
  <c r="P28" i="54"/>
  <c r="D29" i="54"/>
  <c r="K29" i="54"/>
  <c r="G29" i="54"/>
  <c r="J29" i="54"/>
  <c r="P29" i="54"/>
  <c r="L29" i="54"/>
  <c r="M29" i="54"/>
  <c r="H29" i="54"/>
  <c r="G30" i="54"/>
  <c r="L30" i="54"/>
  <c r="M30" i="54"/>
  <c r="H30" i="54"/>
  <c r="J30" i="54"/>
  <c r="K30" i="54"/>
  <c r="P30" i="54"/>
  <c r="D31" i="54"/>
  <c r="G31" i="54"/>
  <c r="L31" i="54"/>
  <c r="M31" i="54"/>
  <c r="J31" i="54"/>
  <c r="K31" i="54"/>
  <c r="P31" i="54"/>
  <c r="D32" i="54"/>
  <c r="K32" i="54"/>
  <c r="G32" i="54"/>
  <c r="J32" i="54"/>
  <c r="P32" i="54"/>
  <c r="L32" i="54"/>
  <c r="M32" i="54"/>
  <c r="H32" i="54"/>
  <c r="C33" i="54"/>
  <c r="D33" i="54"/>
  <c r="G33" i="54"/>
  <c r="J33" i="54"/>
  <c r="D34" i="54"/>
  <c r="K34" i="54"/>
  <c r="G34" i="54"/>
  <c r="J34" i="54"/>
  <c r="D35" i="54"/>
  <c r="K35" i="54"/>
  <c r="G35" i="54"/>
  <c r="J35" i="54"/>
  <c r="P35" i="54"/>
  <c r="D36" i="54"/>
  <c r="G36" i="54"/>
  <c r="L36" i="54"/>
  <c r="M36" i="54"/>
  <c r="J36" i="54"/>
  <c r="K36" i="54"/>
  <c r="P36" i="54"/>
  <c r="D37" i="54"/>
  <c r="K37" i="54"/>
  <c r="G37" i="54"/>
  <c r="J37" i="54"/>
  <c r="P37" i="54"/>
  <c r="L37" i="54"/>
  <c r="M37" i="54"/>
  <c r="H37" i="54"/>
  <c r="D38" i="54"/>
  <c r="K38" i="54"/>
  <c r="G38" i="54"/>
  <c r="J38" i="54"/>
  <c r="P38" i="54"/>
  <c r="D39" i="54"/>
  <c r="K39" i="54"/>
  <c r="G39" i="54"/>
  <c r="J39" i="54"/>
  <c r="L39" i="54"/>
  <c r="M39" i="54"/>
  <c r="N39" i="54"/>
  <c r="P39" i="54"/>
  <c r="D40" i="54"/>
  <c r="K40" i="54"/>
  <c r="G40" i="54"/>
  <c r="J40" i="54"/>
  <c r="D41" i="54"/>
  <c r="K41" i="54"/>
  <c r="G41" i="54"/>
  <c r="J41" i="54"/>
  <c r="P41" i="54"/>
  <c r="D42" i="54"/>
  <c r="G42" i="54"/>
  <c r="L42" i="54"/>
  <c r="M42" i="54"/>
  <c r="J42" i="54"/>
  <c r="K42" i="54"/>
  <c r="P42" i="54"/>
  <c r="D43" i="54"/>
  <c r="K43" i="54"/>
  <c r="G43" i="54"/>
  <c r="J43" i="54"/>
  <c r="L43" i="54"/>
  <c r="M43" i="54"/>
  <c r="N43" i="54"/>
  <c r="P43" i="54"/>
  <c r="D44" i="54"/>
  <c r="K44" i="54"/>
  <c r="G44" i="54"/>
  <c r="J44" i="54"/>
  <c r="D45" i="54"/>
  <c r="K45" i="54"/>
  <c r="G45" i="54"/>
  <c r="J45" i="54"/>
  <c r="P45" i="54"/>
  <c r="C46" i="54"/>
  <c r="D46" i="54"/>
  <c r="K46" i="54"/>
  <c r="G46" i="54"/>
  <c r="H46" i="54"/>
  <c r="J46" i="54"/>
  <c r="L46" i="54"/>
  <c r="M46" i="54"/>
  <c r="N46" i="54"/>
  <c r="C47" i="54"/>
  <c r="D47" i="54"/>
  <c r="G47" i="54"/>
  <c r="J47" i="54"/>
  <c r="D48" i="54"/>
  <c r="K48" i="54"/>
  <c r="G48" i="54"/>
  <c r="J48" i="54"/>
  <c r="D50" i="54"/>
  <c r="G50" i="54"/>
  <c r="L50" i="54"/>
  <c r="M50" i="54"/>
  <c r="J50" i="54"/>
  <c r="K50" i="54"/>
  <c r="P50" i="54"/>
  <c r="D51" i="54"/>
  <c r="K51" i="54"/>
  <c r="G51" i="54"/>
  <c r="J51" i="54"/>
  <c r="L51" i="54"/>
  <c r="M51" i="54"/>
  <c r="N51" i="54"/>
  <c r="P51" i="54"/>
  <c r="D52" i="54"/>
  <c r="K52" i="54"/>
  <c r="G52" i="54"/>
  <c r="J52" i="54"/>
  <c r="C54" i="54"/>
  <c r="D54" i="54"/>
  <c r="P54" i="54"/>
  <c r="G54" i="54"/>
  <c r="L54" i="54"/>
  <c r="M54" i="54"/>
  <c r="H54" i="54"/>
  <c r="D55" i="54"/>
  <c r="P55" i="54"/>
  <c r="G55" i="54"/>
  <c r="K55" i="54"/>
  <c r="D56" i="54"/>
  <c r="G56" i="54"/>
  <c r="L56" i="54"/>
  <c r="M56" i="54"/>
  <c r="H56" i="54"/>
  <c r="K56" i="54"/>
  <c r="P56" i="54"/>
  <c r="D58" i="54"/>
  <c r="G58" i="54"/>
  <c r="L58" i="54"/>
  <c r="M58" i="54"/>
  <c r="J58" i="54"/>
  <c r="K58" i="54"/>
  <c r="P58" i="54"/>
  <c r="D59" i="54"/>
  <c r="E8" i="44"/>
  <c r="D8" i="44"/>
  <c r="B12" i="44"/>
  <c r="E12" i="44"/>
  <c r="F12" i="44"/>
  <c r="B13" i="44"/>
  <c r="C13" i="44"/>
  <c r="E13" i="44"/>
  <c r="F13" i="44"/>
  <c r="B14" i="44"/>
  <c r="C14" i="44"/>
  <c r="E14" i="44"/>
  <c r="F14" i="44"/>
  <c r="G15" i="44"/>
  <c r="G18" i="44"/>
  <c r="G20" i="44"/>
  <c r="G21" i="44"/>
  <c r="D27" i="44"/>
  <c r="G23" i="44"/>
  <c r="D24" i="44"/>
  <c r="G28" i="44"/>
  <c r="G35" i="44"/>
  <c r="K33" i="44"/>
  <c r="G30" i="44"/>
  <c r="F37" i="44"/>
  <c r="D40" i="44"/>
  <c r="B5" i="48"/>
  <c r="D5" i="48"/>
  <c r="K5" i="48"/>
  <c r="B6" i="48"/>
  <c r="C6" i="48"/>
  <c r="E6" i="48"/>
  <c r="F6" i="48"/>
  <c r="B7" i="48"/>
  <c r="C7" i="48"/>
  <c r="E7" i="48"/>
  <c r="F7" i="48"/>
  <c r="G8" i="48"/>
  <c r="G11" i="48"/>
  <c r="G13" i="48"/>
  <c r="G14" i="48"/>
  <c r="G16" i="48"/>
  <c r="J19" i="48"/>
  <c r="D20" i="48"/>
  <c r="G21" i="48"/>
  <c r="G23" i="48"/>
  <c r="B5" i="47"/>
  <c r="D5" i="47"/>
  <c r="B6" i="47"/>
  <c r="C6" i="47"/>
  <c r="E6" i="47"/>
  <c r="F6" i="47"/>
  <c r="B7" i="47"/>
  <c r="C7" i="47"/>
  <c r="E7" i="47"/>
  <c r="F7" i="47"/>
  <c r="G16" i="47"/>
  <c r="D17" i="47"/>
  <c r="K18" i="47"/>
  <c r="D20" i="47"/>
  <c r="G23" i="47"/>
  <c r="H5" i="27"/>
  <c r="H8" i="27"/>
  <c r="E18" i="27"/>
  <c r="O21" i="27"/>
  <c r="P21" i="27"/>
  <c r="B10" i="29"/>
  <c r="D7" i="56"/>
  <c r="E7" i="56"/>
  <c r="H7" i="56"/>
  <c r="J7" i="56"/>
  <c r="K7" i="56"/>
  <c r="T7" i="56"/>
  <c r="Z7" i="56"/>
  <c r="D8" i="56"/>
  <c r="E8" i="56"/>
  <c r="H8" i="56"/>
  <c r="J8" i="56"/>
  <c r="T8" i="56"/>
  <c r="Z8" i="56"/>
  <c r="K8" i="56"/>
  <c r="L8" i="56"/>
  <c r="M8" i="56"/>
  <c r="Q8" i="56"/>
  <c r="N8" i="56"/>
  <c r="O8" i="56"/>
  <c r="R8" i="56"/>
  <c r="S8" i="56"/>
  <c r="Y8" i="56"/>
  <c r="S9" i="56"/>
  <c r="S10" i="56"/>
  <c r="S11" i="56"/>
  <c r="S12" i="56"/>
  <c r="S13" i="56"/>
  <c r="S14" i="56"/>
  <c r="H15" i="56"/>
  <c r="J15" i="56"/>
  <c r="K15" i="56"/>
  <c r="Q15" i="56"/>
  <c r="L15" i="56"/>
  <c r="M15" i="56"/>
  <c r="T15" i="56"/>
  <c r="Y15" i="56"/>
  <c r="Z15" i="56"/>
  <c r="AF15" i="56"/>
  <c r="AG15" i="56"/>
  <c r="D16" i="56"/>
  <c r="E16" i="56"/>
  <c r="H16" i="56"/>
  <c r="J16" i="56"/>
  <c r="K16" i="56"/>
  <c r="Y16" i="56"/>
  <c r="L16" i="56"/>
  <c r="M16" i="56"/>
  <c r="Q16" i="56"/>
  <c r="O16" i="56"/>
  <c r="T16" i="56"/>
  <c r="Z16" i="56"/>
  <c r="F18" i="56"/>
  <c r="H18" i="56"/>
  <c r="I18" i="56"/>
  <c r="L18" i="56"/>
  <c r="J18" i="56"/>
  <c r="K18" i="56"/>
  <c r="Y18" i="56"/>
  <c r="Q18" i="56"/>
  <c r="O18" i="56"/>
  <c r="T18" i="56"/>
  <c r="Z18" i="56"/>
  <c r="H19" i="56"/>
  <c r="I19" i="56"/>
  <c r="K19" i="56"/>
  <c r="L19" i="56"/>
  <c r="H20" i="56"/>
  <c r="I20" i="56"/>
  <c r="K20" i="56"/>
  <c r="L20" i="56"/>
  <c r="H21" i="56"/>
  <c r="I21" i="56"/>
  <c r="K21" i="56"/>
  <c r="L21" i="56"/>
  <c r="H22" i="56"/>
  <c r="I22" i="56"/>
  <c r="K22" i="56"/>
  <c r="L22" i="56"/>
  <c r="H23" i="56"/>
  <c r="I23" i="56"/>
  <c r="K23" i="56"/>
  <c r="M18" i="56"/>
  <c r="L23" i="56"/>
  <c r="D24" i="56"/>
  <c r="H24" i="56"/>
  <c r="K24" i="56"/>
  <c r="L24" i="56"/>
  <c r="T24" i="56"/>
  <c r="Z24" i="56"/>
  <c r="AF24" i="56"/>
  <c r="AG24" i="56"/>
  <c r="H25" i="56"/>
  <c r="K25" i="56"/>
  <c r="L25" i="56"/>
  <c r="H26" i="56"/>
  <c r="K26" i="56"/>
  <c r="L26" i="56"/>
  <c r="S27" i="56"/>
  <c r="S28" i="56"/>
  <c r="S29" i="56"/>
  <c r="S30" i="56"/>
  <c r="S31" i="56"/>
  <c r="C32" i="56"/>
  <c r="E32" i="56"/>
  <c r="F32" i="56"/>
  <c r="H32" i="56"/>
  <c r="J32" i="56"/>
  <c r="K32" i="56"/>
  <c r="T32" i="56"/>
  <c r="Z32" i="56"/>
  <c r="D33" i="56"/>
  <c r="F33" i="56"/>
  <c r="H33" i="56"/>
  <c r="K33" i="56"/>
  <c r="M33" i="56"/>
  <c r="I33" i="56"/>
  <c r="L33" i="56"/>
  <c r="J33" i="56"/>
  <c r="T33" i="56"/>
  <c r="Z33" i="56"/>
  <c r="Y33" i="56"/>
  <c r="H34" i="56"/>
  <c r="I34" i="56"/>
  <c r="K34" i="56"/>
  <c r="L34" i="56"/>
  <c r="H35" i="56"/>
  <c r="I35" i="56"/>
  <c r="K35" i="56"/>
  <c r="L35" i="56"/>
  <c r="E36" i="56"/>
  <c r="D38" i="56"/>
  <c r="E38" i="56"/>
  <c r="H38" i="56"/>
  <c r="J38" i="56"/>
  <c r="T38" i="56"/>
  <c r="Z38" i="56"/>
  <c r="K38" i="56"/>
  <c r="L38" i="56"/>
  <c r="M38" i="56"/>
  <c r="Q38" i="56"/>
  <c r="N38" i="56"/>
  <c r="O38" i="56"/>
  <c r="R38" i="56"/>
  <c r="P38" i="56"/>
  <c r="Y38" i="56"/>
  <c r="AA38" i="56"/>
  <c r="AF38" i="56"/>
  <c r="AG38" i="56"/>
  <c r="S39" i="56"/>
  <c r="S40" i="56"/>
  <c r="S41" i="56"/>
  <c r="S42" i="56"/>
  <c r="S43" i="56"/>
  <c r="S44" i="56"/>
  <c r="S45" i="56"/>
  <c r="S46" i="56"/>
  <c r="S47" i="56"/>
  <c r="S48" i="56"/>
  <c r="S49" i="56"/>
  <c r="S50" i="56"/>
  <c r="S51" i="56"/>
  <c r="S52" i="56"/>
  <c r="S53" i="56"/>
  <c r="S54" i="56"/>
  <c r="S55" i="56"/>
  <c r="S56" i="56"/>
  <c r="S57" i="56"/>
  <c r="S58" i="56"/>
  <c r="S59" i="56"/>
  <c r="D61" i="56"/>
  <c r="F61" i="56"/>
  <c r="H61" i="56"/>
  <c r="J61" i="56"/>
  <c r="K61" i="56"/>
  <c r="Y61" i="56"/>
  <c r="L61" i="56"/>
  <c r="M61" i="56"/>
  <c r="Q61" i="56"/>
  <c r="O61" i="56"/>
  <c r="T61" i="56"/>
  <c r="Z61" i="56"/>
  <c r="AA61" i="56"/>
  <c r="E62" i="56"/>
  <c r="C63" i="56"/>
  <c r="D63" i="56"/>
  <c r="E63" i="56"/>
  <c r="F63" i="56"/>
  <c r="H63" i="56"/>
  <c r="K63" i="56"/>
  <c r="L63" i="56"/>
  <c r="M63" i="56"/>
  <c r="T63" i="56"/>
  <c r="Z63" i="56"/>
  <c r="H64" i="56"/>
  <c r="K64" i="56"/>
  <c r="L64" i="56"/>
  <c r="H65" i="56"/>
  <c r="K65" i="56"/>
  <c r="Y63" i="56"/>
  <c r="L65" i="56"/>
  <c r="H66" i="56"/>
  <c r="K66" i="56"/>
  <c r="K81" i="56"/>
  <c r="L66" i="56"/>
  <c r="C67" i="56"/>
  <c r="D67" i="56"/>
  <c r="E67" i="56"/>
  <c r="F67" i="56"/>
  <c r="I67" i="56"/>
  <c r="H67" i="56"/>
  <c r="K67" i="56"/>
  <c r="J67" i="56"/>
  <c r="T67" i="56"/>
  <c r="Z67" i="56"/>
  <c r="AG67" i="56"/>
  <c r="AA67" i="56"/>
  <c r="AF67" i="56"/>
  <c r="C69" i="56"/>
  <c r="D69" i="56"/>
  <c r="F69" i="56"/>
  <c r="I69" i="56"/>
  <c r="H69" i="56"/>
  <c r="K69" i="56"/>
  <c r="J69" i="56"/>
  <c r="L69" i="56"/>
  <c r="T69" i="56"/>
  <c r="Z69" i="56"/>
  <c r="AG69" i="56"/>
  <c r="V69" i="56"/>
  <c r="AA69" i="56"/>
  <c r="AF69" i="56"/>
  <c r="C70" i="56"/>
  <c r="D70" i="56"/>
  <c r="F70" i="56"/>
  <c r="I70" i="56"/>
  <c r="H70" i="56"/>
  <c r="K70" i="56"/>
  <c r="J70" i="56"/>
  <c r="L70" i="56"/>
  <c r="V70" i="56"/>
  <c r="AA70" i="56"/>
  <c r="AF70" i="56"/>
  <c r="C71" i="56"/>
  <c r="D71" i="56"/>
  <c r="F71" i="56"/>
  <c r="I71" i="56"/>
  <c r="H71" i="56"/>
  <c r="K71" i="56"/>
  <c r="J71" i="56"/>
  <c r="L71" i="56"/>
  <c r="T71" i="56"/>
  <c r="Z71" i="56"/>
  <c r="AG71" i="56"/>
  <c r="V71" i="56"/>
  <c r="AA71" i="56"/>
  <c r="AF71" i="56"/>
  <c r="C72" i="56"/>
  <c r="D72" i="56"/>
  <c r="F72" i="56"/>
  <c r="I72" i="56"/>
  <c r="H72" i="56"/>
  <c r="K72" i="56"/>
  <c r="J72" i="56"/>
  <c r="L72" i="56"/>
  <c r="V72" i="56"/>
  <c r="AA72" i="56"/>
  <c r="AF72" i="56"/>
  <c r="C73" i="56"/>
  <c r="D73" i="56"/>
  <c r="F73" i="56"/>
  <c r="I73" i="56"/>
  <c r="H73" i="56"/>
  <c r="K73" i="56"/>
  <c r="J73" i="56"/>
  <c r="L73" i="56"/>
  <c r="T73" i="56"/>
  <c r="Z73" i="56"/>
  <c r="AG73" i="56"/>
  <c r="V73" i="56"/>
  <c r="AA73" i="56"/>
  <c r="AF73" i="56"/>
  <c r="C74" i="56"/>
  <c r="D74" i="56"/>
  <c r="F74" i="56"/>
  <c r="I74" i="56"/>
  <c r="H74" i="56"/>
  <c r="K74" i="56"/>
  <c r="J74" i="56"/>
  <c r="L74" i="56"/>
  <c r="V74" i="56"/>
  <c r="AA74" i="56"/>
  <c r="AF74" i="56"/>
  <c r="C75" i="56"/>
  <c r="D75" i="56"/>
  <c r="F75" i="56"/>
  <c r="I75" i="56"/>
  <c r="H75" i="56"/>
  <c r="K75" i="56"/>
  <c r="J75" i="56"/>
  <c r="L75" i="56"/>
  <c r="T75" i="56"/>
  <c r="Z75" i="56"/>
  <c r="AG75" i="56"/>
  <c r="V75" i="56"/>
  <c r="AA75" i="56"/>
  <c r="AF75" i="56"/>
  <c r="C76" i="56"/>
  <c r="D76" i="56"/>
  <c r="F76" i="56"/>
  <c r="I76" i="56"/>
  <c r="H76" i="56"/>
  <c r="K76" i="56"/>
  <c r="J76" i="56"/>
  <c r="L76" i="56"/>
  <c r="V76" i="56"/>
  <c r="AA76" i="56"/>
  <c r="AF76" i="56"/>
  <c r="H77" i="56"/>
  <c r="J77" i="56"/>
  <c r="T77" i="56"/>
  <c r="Z77" i="56"/>
  <c r="AG77" i="56"/>
  <c r="K77" i="56"/>
  <c r="L77" i="56"/>
  <c r="M77" i="56"/>
  <c r="Q77" i="56"/>
  <c r="N77" i="56"/>
  <c r="O77" i="56"/>
  <c r="R77" i="56"/>
  <c r="P77" i="56"/>
  <c r="Y77" i="56"/>
  <c r="AF77" i="56"/>
  <c r="E78" i="56"/>
  <c r="C79" i="56"/>
  <c r="L79" i="56"/>
  <c r="E79" i="56"/>
  <c r="F79" i="56"/>
  <c r="H79" i="56"/>
  <c r="K79" i="56"/>
  <c r="AF79" i="56"/>
  <c r="AG79" i="56"/>
  <c r="I80" i="56"/>
  <c r="H80" i="56"/>
  <c r="K80" i="56"/>
  <c r="J80" i="56"/>
  <c r="L80" i="56"/>
  <c r="T80" i="56"/>
  <c r="Y80" i="56"/>
  <c r="Z80" i="56"/>
  <c r="AF80" i="56"/>
  <c r="AG80" i="56"/>
  <c r="C81" i="56"/>
  <c r="E81" i="56"/>
  <c r="F81" i="56"/>
  <c r="G81" i="56"/>
  <c r="G93" i="56"/>
  <c r="I93" i="56"/>
  <c r="T81" i="56"/>
  <c r="J81" i="56"/>
  <c r="Z81" i="56"/>
  <c r="I86" i="56"/>
  <c r="J86" i="56"/>
  <c r="K86" i="56"/>
  <c r="H86" i="56"/>
  <c r="L86" i="56"/>
  <c r="O86" i="56"/>
  <c r="P86" i="56"/>
  <c r="T86" i="56"/>
  <c r="L87" i="56"/>
  <c r="L88" i="56"/>
  <c r="L89" i="56"/>
  <c r="L90" i="56"/>
  <c r="AQ93" i="56"/>
  <c r="AR93" i="56"/>
  <c r="C118" i="56"/>
  <c r="D118" i="56"/>
  <c r="E118" i="56"/>
  <c r="F118" i="56"/>
  <c r="G118" i="56"/>
  <c r="K118" i="56"/>
  <c r="L118" i="56"/>
  <c r="M118" i="56"/>
  <c r="Q118" i="56"/>
  <c r="R118" i="56"/>
  <c r="I118" i="56"/>
  <c r="T118" i="56"/>
  <c r="P5" i="63"/>
  <c r="R5" i="63"/>
  <c r="T5" i="63"/>
  <c r="P6" i="63"/>
  <c r="R6" i="63"/>
  <c r="T6" i="63"/>
  <c r="N7" i="63"/>
  <c r="P7" i="63"/>
  <c r="R7" i="63"/>
  <c r="T7" i="63"/>
  <c r="W7" i="63"/>
  <c r="N8" i="63"/>
  <c r="P8" i="63"/>
  <c r="R8" i="63"/>
  <c r="T8" i="63"/>
  <c r="W8" i="63"/>
  <c r="N9" i="63"/>
  <c r="P9" i="63"/>
  <c r="R9" i="63"/>
  <c r="T9" i="63"/>
  <c r="W9" i="63"/>
  <c r="N10" i="63"/>
  <c r="P10" i="63"/>
  <c r="R10" i="63"/>
  <c r="T10" i="63"/>
  <c r="W10" i="63"/>
  <c r="N11" i="63"/>
  <c r="P11" i="63"/>
  <c r="R11" i="63"/>
  <c r="T11" i="63"/>
  <c r="W11" i="63"/>
  <c r="N12" i="63"/>
  <c r="P12" i="63"/>
  <c r="R12" i="63"/>
  <c r="T12" i="63"/>
  <c r="W12" i="63"/>
  <c r="N13" i="63"/>
  <c r="P13" i="63"/>
  <c r="R13" i="63"/>
  <c r="T13" i="63"/>
  <c r="W13" i="63"/>
  <c r="N14" i="63"/>
  <c r="P14" i="63"/>
  <c r="R14" i="63"/>
  <c r="T14" i="63"/>
  <c r="W14" i="63"/>
  <c r="N15" i="63"/>
  <c r="P15" i="63"/>
  <c r="R15" i="63"/>
  <c r="T15" i="63"/>
  <c r="W15" i="63"/>
  <c r="Q32" i="63"/>
  <c r="N16" i="63"/>
  <c r="P16" i="63"/>
  <c r="R16" i="63"/>
  <c r="T16" i="63"/>
  <c r="W16" i="63"/>
  <c r="N17" i="63"/>
  <c r="P17" i="63"/>
  <c r="R17" i="63"/>
  <c r="T17" i="63"/>
  <c r="W17" i="63"/>
  <c r="N18" i="63"/>
  <c r="P18" i="63"/>
  <c r="R18" i="63"/>
  <c r="T18" i="63"/>
  <c r="W18" i="63"/>
  <c r="N19" i="63"/>
  <c r="P19" i="63"/>
  <c r="R19" i="63"/>
  <c r="T19" i="63"/>
  <c r="W19" i="63"/>
  <c r="N20" i="63"/>
  <c r="P20" i="63"/>
  <c r="R20" i="63"/>
  <c r="T20" i="63"/>
  <c r="W20" i="63"/>
  <c r="N21" i="63"/>
  <c r="W21" i="63"/>
  <c r="P21" i="63"/>
  <c r="R21" i="63"/>
  <c r="N22" i="63"/>
  <c r="P22" i="63"/>
  <c r="R22" i="63"/>
  <c r="T22" i="63"/>
  <c r="W22" i="63"/>
  <c r="N23" i="63"/>
  <c r="P23" i="63"/>
  <c r="R23" i="63"/>
  <c r="T23" i="63"/>
  <c r="W23" i="63"/>
  <c r="N24" i="63"/>
  <c r="P24" i="63"/>
  <c r="R24" i="63"/>
  <c r="T24" i="63"/>
  <c r="W24" i="63"/>
  <c r="N25" i="63"/>
  <c r="P25" i="63"/>
  <c r="R25" i="63"/>
  <c r="T25" i="63"/>
  <c r="W25" i="63"/>
  <c r="R5" i="64"/>
  <c r="T5" i="64"/>
  <c r="P6" i="64"/>
  <c r="R6" i="64"/>
  <c r="T6" i="64"/>
  <c r="N7" i="64"/>
  <c r="P7" i="64"/>
  <c r="R7" i="64"/>
  <c r="T7" i="64"/>
  <c r="W7" i="64"/>
  <c r="N8" i="64"/>
  <c r="P8" i="64"/>
  <c r="R8" i="64"/>
  <c r="T8" i="64"/>
  <c r="W8" i="64"/>
  <c r="N9" i="64"/>
  <c r="P9" i="64"/>
  <c r="R9" i="64"/>
  <c r="T9" i="64"/>
  <c r="W9" i="64"/>
  <c r="N10" i="64"/>
  <c r="P10" i="64"/>
  <c r="R10" i="64"/>
  <c r="T10" i="64"/>
  <c r="W10" i="64"/>
  <c r="N11" i="64"/>
  <c r="P11" i="64"/>
  <c r="R11" i="64"/>
  <c r="T11" i="64"/>
  <c r="W11" i="64"/>
  <c r="N12" i="64"/>
  <c r="P12" i="64"/>
  <c r="R12" i="64"/>
  <c r="T12" i="64"/>
  <c r="W12" i="64"/>
  <c r="N13" i="64"/>
  <c r="P13" i="64"/>
  <c r="R13" i="64"/>
  <c r="T13" i="64"/>
  <c r="W13" i="64"/>
  <c r="N14" i="64"/>
  <c r="P14" i="64"/>
  <c r="R14" i="64"/>
  <c r="T14" i="64"/>
  <c r="W14" i="64"/>
  <c r="N15" i="64"/>
  <c r="P15" i="64"/>
  <c r="R15" i="64"/>
  <c r="T15" i="64"/>
  <c r="W15" i="64"/>
  <c r="N16" i="64"/>
  <c r="P16" i="64"/>
  <c r="R16" i="64"/>
  <c r="T16" i="64"/>
  <c r="W16" i="64"/>
  <c r="N17" i="64"/>
  <c r="P17" i="64"/>
  <c r="R17" i="64"/>
  <c r="T17" i="64"/>
  <c r="W17" i="64"/>
  <c r="N18" i="64"/>
  <c r="P18" i="64"/>
  <c r="R18" i="64"/>
  <c r="T18" i="64"/>
  <c r="W18" i="64"/>
  <c r="N19" i="64"/>
  <c r="P19" i="64"/>
  <c r="R19" i="64"/>
  <c r="T19" i="64"/>
  <c r="W19" i="64"/>
  <c r="N20" i="64"/>
  <c r="P20" i="64"/>
  <c r="R20" i="64"/>
  <c r="T20" i="64"/>
  <c r="W20" i="64"/>
  <c r="P21" i="64"/>
  <c r="R21" i="64"/>
  <c r="T21" i="64"/>
  <c r="W21" i="64"/>
  <c r="P22" i="64"/>
  <c r="R22" i="64"/>
  <c r="T22" i="64"/>
  <c r="W22" i="64"/>
  <c r="P23" i="64"/>
  <c r="R23" i="64"/>
  <c r="T23" i="64"/>
  <c r="W23" i="64"/>
  <c r="P24" i="64"/>
  <c r="R24" i="64"/>
  <c r="T24" i="64"/>
  <c r="W24" i="64"/>
  <c r="P25" i="64"/>
  <c r="R25" i="64"/>
  <c r="T25" i="64"/>
  <c r="W25" i="64"/>
  <c r="N3" i="51"/>
  <c r="W3" i="51"/>
  <c r="P3" i="51"/>
  <c r="R3" i="51"/>
  <c r="Y3" i="51"/>
  <c r="X3" i="51"/>
  <c r="L5" i="51"/>
  <c r="O5" i="51"/>
  <c r="Q5" i="51"/>
  <c r="S5" i="51"/>
  <c r="U5" i="51"/>
  <c r="W5" i="51"/>
  <c r="X5" i="51"/>
  <c r="Y5" i="51"/>
  <c r="L6" i="51"/>
  <c r="O6" i="51"/>
  <c r="Q6" i="51"/>
  <c r="S6" i="51"/>
  <c r="U6" i="51"/>
  <c r="W6" i="51"/>
  <c r="X6" i="51"/>
  <c r="Y6" i="51"/>
  <c r="L7" i="51"/>
  <c r="U7" i="51"/>
  <c r="M7" i="51"/>
  <c r="O7" i="51"/>
  <c r="Q7" i="51"/>
  <c r="S7" i="51"/>
  <c r="V7" i="51"/>
  <c r="W7" i="51"/>
  <c r="X7" i="51"/>
  <c r="Y7" i="51"/>
  <c r="M8" i="51"/>
  <c r="O8" i="51"/>
  <c r="Q8" i="51"/>
  <c r="S8" i="51"/>
  <c r="V8" i="51"/>
  <c r="W8" i="51"/>
  <c r="X8" i="51"/>
  <c r="Y8" i="51"/>
  <c r="Y9" i="51"/>
  <c r="Y10" i="51"/>
  <c r="Y11" i="51"/>
  <c r="Y12" i="51"/>
  <c r="Y13" i="51"/>
  <c r="Y14" i="51"/>
  <c r="Y15" i="51"/>
  <c r="Y16" i="51"/>
  <c r="Y17" i="51"/>
  <c r="Y18" i="51"/>
  <c r="Y19" i="51"/>
  <c r="Y20" i="51"/>
  <c r="R22" i="51"/>
  <c r="L9" i="51"/>
  <c r="U9" i="51"/>
  <c r="M9" i="51"/>
  <c r="O9" i="51"/>
  <c r="Q9" i="51"/>
  <c r="S9" i="51"/>
  <c r="V9" i="51"/>
  <c r="W9" i="51"/>
  <c r="X9" i="51"/>
  <c r="M10" i="51"/>
  <c r="O10" i="51"/>
  <c r="Q10" i="51"/>
  <c r="S10" i="51"/>
  <c r="V10" i="51"/>
  <c r="W10" i="51"/>
  <c r="X10" i="51"/>
  <c r="M11" i="51"/>
  <c r="O11" i="51"/>
  <c r="Q11" i="51"/>
  <c r="S11" i="51"/>
  <c r="V11" i="51"/>
  <c r="W11" i="51"/>
  <c r="X11" i="51"/>
  <c r="M12" i="51"/>
  <c r="O12" i="51"/>
  <c r="Q12" i="51"/>
  <c r="S12" i="51"/>
  <c r="V12" i="51"/>
  <c r="W12" i="51"/>
  <c r="X12" i="51"/>
  <c r="M13" i="51"/>
  <c r="O13" i="51"/>
  <c r="Q13" i="51"/>
  <c r="S13" i="51"/>
  <c r="V13" i="51"/>
  <c r="W13" i="51"/>
  <c r="X13" i="51"/>
  <c r="L14" i="51"/>
  <c r="M14" i="51"/>
  <c r="O14" i="51"/>
  <c r="Q14" i="51"/>
  <c r="S14" i="51"/>
  <c r="U14" i="51"/>
  <c r="V14" i="51"/>
  <c r="W14" i="51"/>
  <c r="X14" i="51"/>
  <c r="M15" i="51"/>
  <c r="O15" i="51"/>
  <c r="Q15" i="51"/>
  <c r="S15" i="51"/>
  <c r="V15" i="51"/>
  <c r="W15" i="51"/>
  <c r="X15" i="51"/>
  <c r="M16" i="51"/>
  <c r="O16" i="51"/>
  <c r="Q16" i="51"/>
  <c r="S16" i="51"/>
  <c r="V16" i="51"/>
  <c r="W16" i="51"/>
  <c r="X16" i="51"/>
  <c r="M17" i="51"/>
  <c r="O17" i="51"/>
  <c r="Q17" i="51"/>
  <c r="S17" i="51"/>
  <c r="V17" i="51"/>
  <c r="W17" i="51"/>
  <c r="X17" i="51"/>
  <c r="M18" i="51"/>
  <c r="O18" i="51"/>
  <c r="Q18" i="51"/>
  <c r="S18" i="51"/>
  <c r="V18" i="51"/>
  <c r="W18" i="51"/>
  <c r="X18" i="51"/>
  <c r="M19" i="51"/>
  <c r="O19" i="51"/>
  <c r="Q19" i="51"/>
  <c r="S19" i="51"/>
  <c r="V19" i="51"/>
  <c r="W19" i="51"/>
  <c r="X19" i="51"/>
  <c r="M20" i="51"/>
  <c r="O20" i="51"/>
  <c r="Q20" i="51"/>
  <c r="S20" i="51"/>
  <c r="V20" i="51"/>
  <c r="W20" i="51"/>
  <c r="X20" i="51"/>
  <c r="N22" i="51"/>
  <c r="N3" i="41"/>
  <c r="W3" i="41"/>
  <c r="P3" i="41"/>
  <c r="X3" i="41"/>
  <c r="R3" i="41"/>
  <c r="Y3" i="41"/>
  <c r="L5" i="41"/>
  <c r="O5" i="41"/>
  <c r="Q5" i="41"/>
  <c r="S5" i="41"/>
  <c r="U5" i="41"/>
  <c r="W5" i="41"/>
  <c r="X5" i="41"/>
  <c r="Y5" i="41"/>
  <c r="Y6" i="41"/>
  <c r="Y7" i="41"/>
  <c r="Y8" i="41"/>
  <c r="Y9" i="41"/>
  <c r="Y10" i="41"/>
  <c r="Y11" i="41"/>
  <c r="Y12" i="41"/>
  <c r="Y13" i="41"/>
  <c r="Y14" i="41"/>
  <c r="Y15" i="41"/>
  <c r="Y16" i="41"/>
  <c r="Y17" i="41"/>
  <c r="Y18" i="41"/>
  <c r="Y19" i="41"/>
  <c r="Y20" i="41"/>
  <c r="Y21" i="41"/>
  <c r="R23" i="41"/>
  <c r="L6" i="41"/>
  <c r="O6" i="41"/>
  <c r="Q6" i="41"/>
  <c r="S6" i="41"/>
  <c r="U6" i="41"/>
  <c r="W6" i="41"/>
  <c r="X6" i="41"/>
  <c r="L7" i="41"/>
  <c r="M7" i="41"/>
  <c r="V7" i="41"/>
  <c r="O7" i="41"/>
  <c r="Q7" i="41"/>
  <c r="S7" i="41"/>
  <c r="U7" i="41"/>
  <c r="W7" i="41"/>
  <c r="X7" i="41"/>
  <c r="M8" i="41"/>
  <c r="O8" i="41"/>
  <c r="Q8" i="41"/>
  <c r="S8" i="41"/>
  <c r="V8" i="41"/>
  <c r="W8" i="41"/>
  <c r="X8" i="41"/>
  <c r="L9" i="41"/>
  <c r="M9" i="41"/>
  <c r="V9" i="41"/>
  <c r="O9" i="41"/>
  <c r="Q9" i="41"/>
  <c r="S9" i="41"/>
  <c r="U9" i="41"/>
  <c r="W9" i="41"/>
  <c r="X9" i="41"/>
  <c r="M10" i="41"/>
  <c r="O10" i="41"/>
  <c r="Q10" i="41"/>
  <c r="S10" i="41"/>
  <c r="V10" i="41"/>
  <c r="W10" i="41"/>
  <c r="X10" i="41"/>
  <c r="M11" i="41"/>
  <c r="O11" i="41"/>
  <c r="Q11" i="41"/>
  <c r="S11" i="41"/>
  <c r="V11" i="41"/>
  <c r="W11" i="41"/>
  <c r="X11" i="41"/>
  <c r="M12" i="41"/>
  <c r="O12" i="41"/>
  <c r="Q12" i="41"/>
  <c r="S12" i="41"/>
  <c r="V12" i="41"/>
  <c r="W12" i="41"/>
  <c r="X12" i="41"/>
  <c r="M13" i="41"/>
  <c r="O13" i="41"/>
  <c r="Q13" i="41"/>
  <c r="S13" i="41"/>
  <c r="V13" i="41"/>
  <c r="W13" i="41"/>
  <c r="X13" i="41"/>
  <c r="M14" i="41"/>
  <c r="O14" i="41"/>
  <c r="Q14" i="41"/>
  <c r="S14" i="41"/>
  <c r="V14" i="41"/>
  <c r="W14" i="41"/>
  <c r="X14" i="41"/>
  <c r="L15" i="41"/>
  <c r="M15" i="41"/>
  <c r="V15" i="41"/>
  <c r="O15" i="41"/>
  <c r="Q15" i="41"/>
  <c r="S15" i="41"/>
  <c r="U15" i="41"/>
  <c r="W15" i="41"/>
  <c r="X15" i="41"/>
  <c r="M16" i="41"/>
  <c r="O16" i="41"/>
  <c r="Q16" i="41"/>
  <c r="S16" i="41"/>
  <c r="V16" i="41"/>
  <c r="W16" i="41"/>
  <c r="X16" i="41"/>
  <c r="M17" i="41"/>
  <c r="O17" i="41"/>
  <c r="Q17" i="41"/>
  <c r="S17" i="41"/>
  <c r="V17" i="41"/>
  <c r="W17" i="41"/>
  <c r="X17" i="41"/>
  <c r="M18" i="41"/>
  <c r="O18" i="41"/>
  <c r="Q18" i="41"/>
  <c r="S18" i="41"/>
  <c r="V18" i="41"/>
  <c r="W18" i="41"/>
  <c r="X18" i="41"/>
  <c r="M19" i="41"/>
  <c r="O19" i="41"/>
  <c r="Q19" i="41"/>
  <c r="S19" i="41"/>
  <c r="V19" i="41"/>
  <c r="W19" i="41"/>
  <c r="X19" i="41"/>
  <c r="M20" i="41"/>
  <c r="O20" i="41"/>
  <c r="Q20" i="41"/>
  <c r="S20" i="41"/>
  <c r="V20" i="41"/>
  <c r="W20" i="41"/>
  <c r="X20" i="41"/>
  <c r="M21" i="41"/>
  <c r="O21" i="41"/>
  <c r="Q21" i="41"/>
  <c r="S21" i="41"/>
  <c r="V21" i="41"/>
  <c r="W21" i="41"/>
  <c r="X21" i="41"/>
  <c r="N22" i="41"/>
  <c r="N23" i="41"/>
  <c r="P23" i="41"/>
  <c r="N24" i="41"/>
  <c r="N25" i="41"/>
  <c r="K3" i="57"/>
  <c r="O4" i="57"/>
  <c r="O5" i="57"/>
  <c r="O6" i="57"/>
  <c r="O7" i="57"/>
  <c r="O8" i="57"/>
  <c r="C9" i="57"/>
  <c r="E7" i="57"/>
  <c r="E9" i="57"/>
  <c r="O9" i="57"/>
  <c r="J10" i="57"/>
  <c r="K10" i="57"/>
  <c r="L19" i="57"/>
  <c r="O10" i="57"/>
  <c r="O11" i="57"/>
  <c r="L12" i="57"/>
  <c r="E12" i="57"/>
  <c r="F34" i="57"/>
  <c r="O12" i="57"/>
  <c r="O13" i="57"/>
  <c r="O14" i="57"/>
  <c r="C18" i="57"/>
  <c r="D18" i="57"/>
  <c r="E18" i="57"/>
  <c r="F18" i="57"/>
  <c r="G18" i="57"/>
  <c r="H18" i="57"/>
  <c r="I18" i="57"/>
  <c r="J18" i="57"/>
  <c r="K18" i="57"/>
  <c r="L18" i="57"/>
  <c r="M18" i="57"/>
  <c r="K19" i="57"/>
  <c r="M20" i="57"/>
  <c r="F21" i="57"/>
  <c r="M21" i="57"/>
  <c r="G21" i="57"/>
  <c r="H21" i="57"/>
  <c r="I21" i="57"/>
  <c r="J21" i="57"/>
  <c r="K21" i="57"/>
  <c r="L21" i="57"/>
  <c r="D32" i="57"/>
  <c r="E32" i="57"/>
  <c r="F32" i="57"/>
  <c r="J33" i="57"/>
  <c r="L33" i="57"/>
  <c r="M33" i="57"/>
  <c r="C34" i="57"/>
  <c r="D36" i="57"/>
  <c r="E34" i="57"/>
  <c r="F36" i="57"/>
  <c r="G34" i="57"/>
  <c r="I34" i="57"/>
  <c r="J36" i="57"/>
  <c r="K34" i="57"/>
  <c r="L36" i="57"/>
  <c r="O34" i="57"/>
  <c r="H36" i="57"/>
  <c r="N37" i="57"/>
  <c r="I4" i="45"/>
  <c r="F8" i="45"/>
  <c r="D58" i="45"/>
  <c r="K3" i="58"/>
  <c r="S4" i="58"/>
  <c r="S5" i="58"/>
  <c r="S6" i="58"/>
  <c r="C7" i="58"/>
  <c r="C9" i="58"/>
  <c r="D20" i="58"/>
  <c r="S7" i="58"/>
  <c r="S8" i="58"/>
  <c r="S9" i="58"/>
  <c r="D10" i="58"/>
  <c r="E10" i="58"/>
  <c r="F19" i="58"/>
  <c r="F10" i="58"/>
  <c r="G10" i="58"/>
  <c r="H19" i="58"/>
  <c r="H10" i="58"/>
  <c r="I10" i="58"/>
  <c r="J19" i="58"/>
  <c r="J10" i="58"/>
  <c r="K10" i="58"/>
  <c r="L19" i="58"/>
  <c r="L10" i="58"/>
  <c r="M10" i="58"/>
  <c r="N19" i="58"/>
  <c r="N10" i="58"/>
  <c r="O10" i="58"/>
  <c r="P19" i="58"/>
  <c r="S10" i="58"/>
  <c r="S11" i="58"/>
  <c r="C12" i="58"/>
  <c r="D34" i="58"/>
  <c r="E12" i="58"/>
  <c r="G12" i="58"/>
  <c r="H34" i="58"/>
  <c r="I12" i="58"/>
  <c r="J34" i="58"/>
  <c r="K12" i="58"/>
  <c r="L34" i="58"/>
  <c r="M12" i="58"/>
  <c r="O12" i="58"/>
  <c r="P34" i="58"/>
  <c r="S12" i="58"/>
  <c r="F13" i="58"/>
  <c r="G13" i="58"/>
  <c r="H25" i="58"/>
  <c r="N13" i="58"/>
  <c r="O13" i="58"/>
  <c r="P25" i="58"/>
  <c r="S13" i="58"/>
  <c r="S14" i="58"/>
  <c r="S15" i="58"/>
  <c r="S16" i="58"/>
  <c r="C18" i="58"/>
  <c r="D18" i="58"/>
  <c r="E18" i="58"/>
  <c r="F18" i="58"/>
  <c r="G18" i="58"/>
  <c r="H18" i="58"/>
  <c r="I18" i="58"/>
  <c r="J18" i="58"/>
  <c r="K18" i="58"/>
  <c r="L18" i="58"/>
  <c r="M18" i="58"/>
  <c r="N18" i="58"/>
  <c r="O18" i="58"/>
  <c r="P18" i="58"/>
  <c r="Q18" i="58"/>
  <c r="E19" i="58"/>
  <c r="M19" i="58"/>
  <c r="Q20" i="58"/>
  <c r="F21" i="58"/>
  <c r="Q21" i="58"/>
  <c r="G21" i="58"/>
  <c r="H21" i="58"/>
  <c r="I21" i="58"/>
  <c r="J21" i="58"/>
  <c r="K21" i="58"/>
  <c r="L21" i="58"/>
  <c r="M21" i="58"/>
  <c r="N21" i="58"/>
  <c r="O21" i="58"/>
  <c r="P21" i="58"/>
  <c r="D25" i="58"/>
  <c r="G25" i="58"/>
  <c r="O25" i="58"/>
  <c r="D32" i="58"/>
  <c r="E32" i="58"/>
  <c r="F32" i="58"/>
  <c r="F33" i="58"/>
  <c r="H33" i="58"/>
  <c r="J33" i="58"/>
  <c r="L33" i="58"/>
  <c r="N33" i="58"/>
  <c r="P33" i="58"/>
  <c r="Q33" i="58"/>
  <c r="C34" i="58"/>
  <c r="E34" i="58"/>
  <c r="F36" i="58"/>
  <c r="F34" i="58"/>
  <c r="G34" i="58"/>
  <c r="I34" i="58"/>
  <c r="J36" i="58"/>
  <c r="K34" i="58"/>
  <c r="M34" i="58"/>
  <c r="N36" i="58"/>
  <c r="N34" i="58"/>
  <c r="O34" i="58"/>
  <c r="Q34" i="58"/>
  <c r="S34" i="58"/>
  <c r="D36" i="58"/>
  <c r="H36" i="58"/>
  <c r="L36" i="58"/>
  <c r="P36" i="58"/>
  <c r="R37" i="58"/>
  <c r="E5" i="49"/>
  <c r="I5" i="49"/>
  <c r="E8" i="49"/>
  <c r="D8" i="49"/>
  <c r="B12" i="49"/>
  <c r="E12" i="49"/>
  <c r="E11" i="49"/>
  <c r="E17" i="49"/>
  <c r="D17" i="49"/>
  <c r="B13" i="49"/>
  <c r="C13" i="49"/>
  <c r="E13" i="49"/>
  <c r="F13" i="49"/>
  <c r="B14" i="49"/>
  <c r="C14" i="49"/>
  <c r="E14" i="49"/>
  <c r="F14" i="49"/>
  <c r="G15" i="49"/>
  <c r="G18" i="49"/>
  <c r="G20" i="49"/>
  <c r="G21" i="49"/>
  <c r="D24" i="49"/>
  <c r="G28" i="49"/>
  <c r="G35" i="49"/>
  <c r="K33" i="49"/>
  <c r="G30" i="49"/>
  <c r="E37" i="49"/>
  <c r="D37" i="49"/>
  <c r="G43" i="49"/>
  <c r="D44" i="49"/>
  <c r="K3" i="53"/>
  <c r="O4" i="53"/>
  <c r="O5" i="53"/>
  <c r="O6" i="53"/>
  <c r="O7" i="53"/>
  <c r="O8" i="53"/>
  <c r="C9" i="53"/>
  <c r="E9" i="53"/>
  <c r="F20" i="53"/>
  <c r="O9" i="53"/>
  <c r="C12" i="53"/>
  <c r="D34" i="53"/>
  <c r="E12" i="53"/>
  <c r="P16" i="53"/>
  <c r="C18" i="53"/>
  <c r="D18" i="53"/>
  <c r="E18" i="53"/>
  <c r="F18" i="53"/>
  <c r="M18" i="53"/>
  <c r="D20" i="53"/>
  <c r="M20" i="53"/>
  <c r="F21" i="53"/>
  <c r="M21" i="53"/>
  <c r="D32" i="53"/>
  <c r="E32" i="53"/>
  <c r="F32" i="53"/>
  <c r="M32" i="53"/>
  <c r="F33" i="53"/>
  <c r="M33" i="53"/>
  <c r="C34" i="53"/>
  <c r="D36" i="53"/>
  <c r="E34" i="53"/>
  <c r="F34" i="53"/>
  <c r="M34" i="53"/>
  <c r="F36" i="53"/>
  <c r="N37" i="53"/>
  <c r="D58" i="60"/>
  <c r="C4" i="62"/>
  <c r="J4" i="62"/>
  <c r="K4" i="62"/>
  <c r="B5" i="62"/>
  <c r="C5" i="62"/>
  <c r="D5" i="62"/>
  <c r="D4" i="62"/>
  <c r="G4" i="62"/>
  <c r="E5" i="62"/>
  <c r="J5" i="62"/>
  <c r="B6" i="62"/>
  <c r="C6" i="62"/>
  <c r="C7" i="62"/>
  <c r="C8" i="62"/>
  <c r="B7" i="62"/>
  <c r="D7" i="62"/>
  <c r="G7" i="62"/>
  <c r="G22" i="62"/>
  <c r="F33" i="62"/>
  <c r="C33" i="62"/>
  <c r="F37" i="62"/>
  <c r="F35" i="62"/>
  <c r="G41" i="62"/>
  <c r="P4" i="55"/>
  <c r="M4" i="55"/>
  <c r="I4" i="55"/>
  <c r="E4" i="55"/>
  <c r="D4" i="55"/>
  <c r="F4" i="55"/>
  <c r="P5" i="55"/>
  <c r="M5" i="55"/>
  <c r="I5" i="55"/>
  <c r="P6" i="55"/>
  <c r="M6" i="55"/>
  <c r="I6" i="55"/>
  <c r="E6" i="55"/>
  <c r="D6" i="55"/>
  <c r="F6" i="55"/>
  <c r="P7" i="55"/>
  <c r="M7" i="55"/>
  <c r="I7" i="55"/>
  <c r="P8" i="55"/>
  <c r="M8" i="55"/>
  <c r="I8" i="55"/>
  <c r="P9" i="55"/>
  <c r="M9" i="55"/>
  <c r="I9" i="55"/>
  <c r="P10" i="55"/>
  <c r="M10" i="55"/>
  <c r="I10" i="55"/>
  <c r="P11" i="55"/>
  <c r="M11" i="55"/>
  <c r="I11" i="55"/>
  <c r="P12" i="55"/>
  <c r="M12" i="55"/>
  <c r="I12" i="55"/>
  <c r="P13" i="55"/>
  <c r="M13" i="55"/>
  <c r="I13" i="55"/>
  <c r="P14" i="55"/>
  <c r="M14" i="55"/>
  <c r="I14" i="55"/>
  <c r="P15" i="55"/>
  <c r="M15" i="55"/>
  <c r="I15" i="55"/>
  <c r="P16" i="55"/>
  <c r="M16" i="55"/>
  <c r="I16" i="55"/>
  <c r="P17" i="55"/>
  <c r="M17" i="55"/>
  <c r="I17" i="55"/>
  <c r="P18" i="55"/>
  <c r="M18" i="55"/>
  <c r="I18" i="55"/>
  <c r="P19" i="55"/>
  <c r="M19" i="55"/>
  <c r="I19" i="55"/>
  <c r="P20" i="55"/>
  <c r="M20" i="55"/>
  <c r="I20" i="55"/>
  <c r="P21" i="55"/>
  <c r="M21" i="55"/>
  <c r="I21" i="55"/>
  <c r="P22" i="55"/>
  <c r="M22" i="55"/>
  <c r="I22" i="55"/>
  <c r="P23" i="55"/>
  <c r="M23" i="55"/>
  <c r="I23" i="55"/>
  <c r="P24" i="55"/>
  <c r="M24" i="55"/>
  <c r="I24" i="55"/>
  <c r="P25" i="55"/>
  <c r="M25" i="55"/>
  <c r="I25" i="55"/>
  <c r="P26" i="55"/>
  <c r="M26" i="55"/>
  <c r="I26" i="55"/>
  <c r="P27" i="55"/>
  <c r="M27" i="55"/>
  <c r="I27" i="55"/>
  <c r="P28" i="55"/>
  <c r="M28" i="55"/>
  <c r="I28" i="55"/>
  <c r="P29" i="55"/>
  <c r="M29" i="55"/>
  <c r="I29" i="55"/>
  <c r="P30" i="55"/>
  <c r="M30" i="55"/>
  <c r="I30" i="55"/>
  <c r="P31" i="55"/>
  <c r="M31" i="55"/>
  <c r="I31" i="55"/>
  <c r="P32" i="55"/>
  <c r="M32" i="55"/>
  <c r="I32" i="55"/>
  <c r="P33" i="55"/>
  <c r="M33" i="55"/>
  <c r="I33" i="55"/>
  <c r="P34" i="55"/>
  <c r="M34" i="55"/>
  <c r="I34" i="55"/>
  <c r="P35" i="55"/>
  <c r="M35" i="55"/>
  <c r="I35" i="55"/>
  <c r="P36" i="55"/>
  <c r="M36" i="55"/>
  <c r="I36" i="55"/>
  <c r="P37" i="55"/>
  <c r="M37" i="55"/>
  <c r="I37" i="55"/>
  <c r="P38" i="55"/>
  <c r="M38" i="55"/>
  <c r="I38" i="55"/>
  <c r="P39" i="55"/>
  <c r="M39" i="55"/>
  <c r="I39" i="55"/>
  <c r="P40" i="55"/>
  <c r="M40" i="55"/>
  <c r="I40" i="55"/>
  <c r="P41" i="55"/>
  <c r="M41" i="55"/>
  <c r="I41" i="55"/>
  <c r="P42" i="55"/>
  <c r="M42" i="55"/>
  <c r="I42" i="55"/>
  <c r="P43" i="55"/>
  <c r="M43" i="55"/>
  <c r="I43" i="55"/>
  <c r="P44" i="55"/>
  <c r="M44" i="55"/>
  <c r="I44" i="55"/>
  <c r="P45" i="55"/>
  <c r="M45" i="55"/>
  <c r="I45" i="55"/>
  <c r="P46" i="55"/>
  <c r="M46" i="55"/>
  <c r="I46" i="55"/>
  <c r="P47" i="55"/>
  <c r="M47" i="55"/>
  <c r="I47" i="55"/>
  <c r="P48" i="55"/>
  <c r="M48" i="55"/>
  <c r="I48" i="55"/>
  <c r="P49" i="55"/>
  <c r="M49" i="55"/>
  <c r="I49" i="55"/>
  <c r="P50" i="55"/>
  <c r="M50" i="55"/>
  <c r="I50" i="55"/>
  <c r="P51" i="55"/>
  <c r="M51" i="55"/>
  <c r="I51" i="55"/>
  <c r="P52" i="55"/>
  <c r="M52" i="55"/>
  <c r="I52" i="55"/>
  <c r="P53" i="55"/>
  <c r="M53" i="55"/>
  <c r="I53" i="55"/>
  <c r="P54" i="55"/>
  <c r="M54" i="55"/>
  <c r="I54" i="55"/>
  <c r="P55" i="55"/>
  <c r="M55" i="55"/>
  <c r="I55" i="55"/>
  <c r="P56" i="55"/>
  <c r="M56" i="55"/>
  <c r="I56" i="55"/>
  <c r="P57" i="55"/>
  <c r="M57" i="55"/>
  <c r="I57" i="55"/>
  <c r="P58" i="55"/>
  <c r="M58" i="55"/>
  <c r="I58" i="55"/>
  <c r="P59" i="55"/>
  <c r="M59" i="55"/>
  <c r="I59" i="55"/>
  <c r="P60" i="55"/>
  <c r="M60" i="55"/>
  <c r="I60" i="55"/>
  <c r="P61" i="55"/>
  <c r="M61" i="55"/>
  <c r="I61" i="55"/>
  <c r="P62" i="55"/>
  <c r="M62" i="55"/>
  <c r="I62" i="55"/>
  <c r="J62" i="55"/>
  <c r="P63" i="55"/>
  <c r="M63" i="55"/>
  <c r="P64" i="55"/>
  <c r="M64" i="55"/>
  <c r="I64" i="55"/>
  <c r="P65" i="55"/>
  <c r="M65" i="55"/>
  <c r="I65" i="55"/>
  <c r="P66" i="55"/>
  <c r="M66" i="55"/>
  <c r="I66" i="55"/>
  <c r="P67" i="55"/>
  <c r="M67" i="55"/>
  <c r="I67" i="55"/>
  <c r="P68" i="55"/>
  <c r="M68" i="55"/>
  <c r="I68" i="55"/>
  <c r="P69" i="55"/>
  <c r="M69" i="55"/>
  <c r="I69" i="55"/>
  <c r="P70" i="55"/>
  <c r="M70" i="55"/>
  <c r="I70" i="55"/>
  <c r="P71" i="55"/>
  <c r="M71" i="55"/>
  <c r="I71" i="55"/>
  <c r="P72" i="55"/>
  <c r="M72" i="55"/>
  <c r="I72" i="55"/>
  <c r="P73" i="55"/>
  <c r="M73" i="55"/>
  <c r="I73" i="55"/>
  <c r="P74" i="55"/>
  <c r="M74" i="55"/>
  <c r="I74" i="55"/>
  <c r="P75" i="55"/>
  <c r="M75" i="55"/>
  <c r="I75" i="55"/>
  <c r="P76" i="55"/>
  <c r="M76" i="55"/>
  <c r="I76" i="55"/>
  <c r="P77" i="55"/>
  <c r="M77" i="55"/>
  <c r="I77" i="55"/>
  <c r="P78" i="55"/>
  <c r="M78" i="55"/>
  <c r="I78" i="55"/>
  <c r="P79" i="55"/>
  <c r="M79" i="55"/>
  <c r="I79" i="55"/>
  <c r="P80" i="55"/>
  <c r="M80" i="55"/>
  <c r="I80" i="55"/>
  <c r="P81" i="55"/>
  <c r="M81" i="55"/>
  <c r="I81" i="55"/>
  <c r="P82" i="55"/>
  <c r="M82" i="55"/>
  <c r="I82" i="55"/>
  <c r="P83" i="55"/>
  <c r="M83" i="55"/>
  <c r="I83" i="55"/>
  <c r="P84" i="55"/>
  <c r="M84" i="55"/>
  <c r="I84" i="55"/>
  <c r="P85" i="55"/>
  <c r="M85" i="55"/>
  <c r="I85" i="55"/>
  <c r="P86" i="55"/>
  <c r="M86" i="55"/>
  <c r="I86" i="55"/>
  <c r="P87" i="55"/>
  <c r="M87" i="55"/>
  <c r="I87" i="55"/>
  <c r="P88" i="55"/>
  <c r="M88" i="55"/>
  <c r="I88" i="55"/>
  <c r="P89" i="55"/>
  <c r="M89" i="55"/>
  <c r="I89" i="55"/>
  <c r="P90" i="55"/>
  <c r="M90" i="55"/>
  <c r="I90" i="55"/>
  <c r="P91" i="55"/>
  <c r="M91" i="55"/>
  <c r="I91" i="55"/>
  <c r="P92" i="55"/>
  <c r="M92" i="55"/>
  <c r="I92" i="55"/>
  <c r="P93" i="55"/>
  <c r="M93" i="55"/>
  <c r="I93" i="55"/>
  <c r="P94" i="55"/>
  <c r="M94" i="55"/>
  <c r="I94" i="55"/>
  <c r="P95" i="55"/>
  <c r="M95" i="55"/>
  <c r="I95" i="55"/>
  <c r="P96" i="55"/>
  <c r="M96" i="55"/>
  <c r="I96" i="55"/>
  <c r="C97" i="55"/>
  <c r="P98" i="55"/>
  <c r="M98" i="55"/>
  <c r="I98" i="55"/>
  <c r="P99" i="55"/>
  <c r="M99" i="55"/>
  <c r="I99" i="55"/>
  <c r="C100" i="55"/>
  <c r="D10" i="53"/>
  <c r="Q79" i="56"/>
  <c r="O79" i="56"/>
  <c r="M79" i="56"/>
  <c r="Y79" i="56"/>
  <c r="K62" i="55"/>
  <c r="L62" i="55"/>
  <c r="Q62" i="55"/>
  <c r="P22" i="51"/>
  <c r="N23" i="51"/>
  <c r="N24" i="51"/>
  <c r="Q33" i="56"/>
  <c r="K47" i="54"/>
  <c r="L47" i="54"/>
  <c r="M47" i="54"/>
  <c r="K33" i="54"/>
  <c r="L33" i="54"/>
  <c r="M33" i="54"/>
  <c r="D49" i="54"/>
  <c r="D10" i="57"/>
  <c r="E62" i="55"/>
  <c r="D62" i="55"/>
  <c r="F62" i="55"/>
  <c r="D6" i="62"/>
  <c r="G6" i="62"/>
  <c r="L6" i="62"/>
  <c r="G5" i="62"/>
  <c r="D14" i="49"/>
  <c r="D13" i="49"/>
  <c r="I19" i="58"/>
  <c r="M34" i="57"/>
  <c r="D20" i="57"/>
  <c r="J13" i="57"/>
  <c r="K13" i="57"/>
  <c r="L25" i="57"/>
  <c r="H118" i="56"/>
  <c r="T76" i="56"/>
  <c r="Z76" i="56"/>
  <c r="AG76" i="56"/>
  <c r="T74" i="56"/>
  <c r="Z74" i="56"/>
  <c r="AG74" i="56"/>
  <c r="T72" i="56"/>
  <c r="Z72" i="56"/>
  <c r="AG72" i="56"/>
  <c r="T70" i="56"/>
  <c r="Z70" i="56"/>
  <c r="AG70" i="56"/>
  <c r="Q63" i="56"/>
  <c r="R61" i="56"/>
  <c r="P61" i="56"/>
  <c r="N61" i="56"/>
  <c r="O15" i="56"/>
  <c r="N15" i="56"/>
  <c r="R15" i="56"/>
  <c r="K7" i="54"/>
  <c r="L7" i="54"/>
  <c r="M7" i="54"/>
  <c r="R18" i="56"/>
  <c r="S18" i="56"/>
  <c r="N18" i="56"/>
  <c r="R16" i="56"/>
  <c r="N16" i="56"/>
  <c r="D35" i="44"/>
  <c r="L55" i="54"/>
  <c r="M55" i="54"/>
  <c r="H55" i="54"/>
  <c r="P52" i="54"/>
  <c r="L52" i="54"/>
  <c r="M52" i="54"/>
  <c r="H52" i="54"/>
  <c r="P48" i="54"/>
  <c r="L48" i="54"/>
  <c r="M48" i="54"/>
  <c r="N48" i="54"/>
  <c r="P47" i="54"/>
  <c r="P46" i="54"/>
  <c r="L45" i="54"/>
  <c r="M45" i="54"/>
  <c r="P44" i="54"/>
  <c r="L44" i="54"/>
  <c r="M44" i="54"/>
  <c r="L41" i="54"/>
  <c r="M41" i="54"/>
  <c r="P40" i="54"/>
  <c r="L40" i="54"/>
  <c r="M40" i="54"/>
  <c r="H40" i="54"/>
  <c r="N37" i="54"/>
  <c r="L35" i="54"/>
  <c r="M35" i="54"/>
  <c r="N35" i="54"/>
  <c r="I35" i="54"/>
  <c r="P34" i="54"/>
  <c r="L34" i="54"/>
  <c r="M34" i="54"/>
  <c r="N34" i="54"/>
  <c r="P33" i="54"/>
  <c r="N32" i="54"/>
  <c r="I32" i="54"/>
  <c r="N29" i="54"/>
  <c r="L27" i="54"/>
  <c r="M27" i="54"/>
  <c r="H27" i="54"/>
  <c r="L24" i="54"/>
  <c r="M24" i="54"/>
  <c r="N22" i="54"/>
  <c r="I22" i="54"/>
  <c r="L17" i="54"/>
  <c r="M17" i="54"/>
  <c r="L15" i="54"/>
  <c r="M15" i="54"/>
  <c r="L12" i="54"/>
  <c r="M12" i="54"/>
  <c r="L11" i="54"/>
  <c r="M11" i="54"/>
  <c r="L10" i="54"/>
  <c r="M10" i="54"/>
  <c r="L9" i="54"/>
  <c r="M9" i="54"/>
  <c r="N9" i="54"/>
  <c r="O9" i="54"/>
  <c r="P8" i="54"/>
  <c r="L8" i="54"/>
  <c r="M8" i="54"/>
  <c r="N8" i="54"/>
  <c r="P7" i="54"/>
  <c r="N6" i="54"/>
  <c r="O6" i="54"/>
  <c r="L5" i="54"/>
  <c r="M5" i="54"/>
  <c r="O19" i="58"/>
  <c r="K19" i="58"/>
  <c r="G19" i="58"/>
  <c r="J13" i="58"/>
  <c r="O22" i="27"/>
  <c r="E99" i="55"/>
  <c r="D99" i="55"/>
  <c r="F99" i="55"/>
  <c r="J99" i="55"/>
  <c r="E95" i="55"/>
  <c r="D95" i="55"/>
  <c r="F95" i="55"/>
  <c r="J95" i="55"/>
  <c r="E93" i="55"/>
  <c r="D93" i="55"/>
  <c r="F93" i="55"/>
  <c r="J93" i="55"/>
  <c r="E91" i="55"/>
  <c r="D91" i="55"/>
  <c r="F91" i="55"/>
  <c r="J91" i="55"/>
  <c r="K91" i="55"/>
  <c r="L91" i="55"/>
  <c r="E89" i="55"/>
  <c r="D89" i="55"/>
  <c r="F89" i="55"/>
  <c r="J89" i="55"/>
  <c r="E87" i="55"/>
  <c r="D87" i="55"/>
  <c r="F87" i="55"/>
  <c r="J87" i="55"/>
  <c r="E85" i="55"/>
  <c r="D85" i="55"/>
  <c r="F85" i="55"/>
  <c r="J85" i="55"/>
  <c r="E84" i="55"/>
  <c r="D84" i="55"/>
  <c r="F84" i="55"/>
  <c r="J84" i="55"/>
  <c r="E81" i="55"/>
  <c r="D81" i="55"/>
  <c r="F81" i="55"/>
  <c r="J81" i="55"/>
  <c r="E80" i="55"/>
  <c r="D80" i="55"/>
  <c r="F80" i="55"/>
  <c r="J80" i="55"/>
  <c r="E77" i="55"/>
  <c r="D77" i="55"/>
  <c r="F77" i="55"/>
  <c r="J77" i="55"/>
  <c r="E76" i="55"/>
  <c r="D76" i="55"/>
  <c r="F76" i="55"/>
  <c r="J76" i="55"/>
  <c r="E73" i="55"/>
  <c r="D73" i="55"/>
  <c r="F73" i="55"/>
  <c r="J73" i="55"/>
  <c r="E72" i="55"/>
  <c r="D72" i="55"/>
  <c r="F72" i="55"/>
  <c r="J72" i="55"/>
  <c r="E69" i="55"/>
  <c r="D69" i="55"/>
  <c r="F69" i="55"/>
  <c r="J69" i="55"/>
  <c r="E68" i="55"/>
  <c r="D68" i="55"/>
  <c r="F68" i="55"/>
  <c r="J68" i="55"/>
  <c r="E65" i="55"/>
  <c r="D65" i="55"/>
  <c r="F65" i="55"/>
  <c r="J65" i="55"/>
  <c r="E64" i="55"/>
  <c r="D64" i="55"/>
  <c r="F64" i="55"/>
  <c r="J64" i="55"/>
  <c r="O62" i="55"/>
  <c r="G62" i="55"/>
  <c r="N62" i="55"/>
  <c r="E98" i="55"/>
  <c r="D98" i="55"/>
  <c r="F98" i="55"/>
  <c r="J98" i="55"/>
  <c r="E96" i="55"/>
  <c r="D96" i="55"/>
  <c r="F96" i="55"/>
  <c r="J96" i="55"/>
  <c r="E94" i="55"/>
  <c r="D94" i="55"/>
  <c r="F94" i="55"/>
  <c r="J94" i="55"/>
  <c r="E92" i="55"/>
  <c r="D92" i="55"/>
  <c r="F92" i="55"/>
  <c r="J92" i="55"/>
  <c r="E90" i="55"/>
  <c r="D90" i="55"/>
  <c r="J90" i="55"/>
  <c r="O90" i="55"/>
  <c r="E88" i="55"/>
  <c r="D88" i="55"/>
  <c r="F88" i="55"/>
  <c r="J88" i="55"/>
  <c r="E86" i="55"/>
  <c r="D86" i="55"/>
  <c r="F86" i="55"/>
  <c r="J86" i="55"/>
  <c r="E83" i="55"/>
  <c r="D83" i="55"/>
  <c r="F83" i="55"/>
  <c r="J83" i="55"/>
  <c r="E82" i="55"/>
  <c r="D82" i="55"/>
  <c r="F82" i="55"/>
  <c r="J82" i="55"/>
  <c r="E79" i="55"/>
  <c r="D79" i="55"/>
  <c r="F79" i="55"/>
  <c r="J79" i="55"/>
  <c r="E78" i="55"/>
  <c r="D78" i="55"/>
  <c r="F78" i="55"/>
  <c r="J78" i="55"/>
  <c r="E75" i="55"/>
  <c r="D75" i="55"/>
  <c r="F75" i="55"/>
  <c r="J75" i="55"/>
  <c r="E74" i="55"/>
  <c r="D74" i="55"/>
  <c r="F74" i="55"/>
  <c r="J74" i="55"/>
  <c r="E71" i="55"/>
  <c r="D71" i="55"/>
  <c r="F71" i="55"/>
  <c r="J71" i="55"/>
  <c r="E70" i="55"/>
  <c r="D70" i="55"/>
  <c r="F70" i="55"/>
  <c r="J70" i="55"/>
  <c r="E67" i="55"/>
  <c r="D67" i="55"/>
  <c r="F67" i="55"/>
  <c r="J67" i="55"/>
  <c r="E66" i="55"/>
  <c r="D66" i="55"/>
  <c r="F66" i="55"/>
  <c r="J66" i="55"/>
  <c r="I63" i="55"/>
  <c r="M100" i="55"/>
  <c r="E61" i="55"/>
  <c r="D61" i="55"/>
  <c r="F61" i="55"/>
  <c r="J61" i="55"/>
  <c r="B10" i="53"/>
  <c r="L10" i="53"/>
  <c r="M19" i="53"/>
  <c r="E58" i="55"/>
  <c r="D58" i="55"/>
  <c r="F58" i="55"/>
  <c r="J58" i="55"/>
  <c r="E57" i="55"/>
  <c r="D57" i="55"/>
  <c r="F57" i="55"/>
  <c r="J57" i="55"/>
  <c r="E54" i="55"/>
  <c r="D54" i="55"/>
  <c r="F54" i="55"/>
  <c r="J54" i="55"/>
  <c r="E53" i="55"/>
  <c r="D53" i="55"/>
  <c r="F53" i="55"/>
  <c r="J53" i="55"/>
  <c r="E50" i="55"/>
  <c r="J50" i="55"/>
  <c r="E49" i="55"/>
  <c r="D49" i="55"/>
  <c r="F49" i="55"/>
  <c r="J49" i="55"/>
  <c r="E46" i="55"/>
  <c r="J46" i="55"/>
  <c r="E45" i="55"/>
  <c r="D45" i="55"/>
  <c r="F45" i="55"/>
  <c r="J45" i="55"/>
  <c r="E43" i="55"/>
  <c r="D43" i="55"/>
  <c r="F43" i="55"/>
  <c r="J43" i="55"/>
  <c r="E41" i="55"/>
  <c r="D41" i="55"/>
  <c r="F41" i="55"/>
  <c r="J41" i="55"/>
  <c r="E39" i="55"/>
  <c r="D39" i="55"/>
  <c r="F39" i="55"/>
  <c r="J39" i="55"/>
  <c r="E37" i="55"/>
  <c r="D37" i="55"/>
  <c r="F37" i="55"/>
  <c r="J37" i="55"/>
  <c r="E35" i="55"/>
  <c r="D35" i="55"/>
  <c r="F35" i="55"/>
  <c r="J35" i="55"/>
  <c r="E33" i="55"/>
  <c r="D33" i="55"/>
  <c r="F33" i="55"/>
  <c r="J33" i="55"/>
  <c r="E31" i="55"/>
  <c r="D31" i="55"/>
  <c r="F31" i="55"/>
  <c r="J31" i="55"/>
  <c r="E29" i="55"/>
  <c r="D29" i="55"/>
  <c r="F29" i="55"/>
  <c r="J29" i="55"/>
  <c r="E27" i="55"/>
  <c r="J27" i="55"/>
  <c r="E25" i="55"/>
  <c r="D25" i="55"/>
  <c r="F25" i="55"/>
  <c r="J25" i="55"/>
  <c r="E23" i="55"/>
  <c r="D23" i="55"/>
  <c r="F23" i="55"/>
  <c r="J23" i="55"/>
  <c r="E21" i="55"/>
  <c r="D21" i="55"/>
  <c r="F21" i="55"/>
  <c r="J21" i="55"/>
  <c r="E19" i="55"/>
  <c r="D19" i="55"/>
  <c r="F19" i="55"/>
  <c r="J19" i="55"/>
  <c r="E17" i="55"/>
  <c r="D17" i="55"/>
  <c r="F17" i="55"/>
  <c r="J17" i="55"/>
  <c r="E16" i="55"/>
  <c r="D16" i="55"/>
  <c r="F16" i="55"/>
  <c r="J16" i="55"/>
  <c r="E13" i="55"/>
  <c r="D13" i="55"/>
  <c r="F13" i="55"/>
  <c r="J13" i="55"/>
  <c r="E12" i="55"/>
  <c r="D12" i="55"/>
  <c r="F12" i="55"/>
  <c r="J12" i="55"/>
  <c r="E9" i="55"/>
  <c r="D9" i="55"/>
  <c r="F9" i="55"/>
  <c r="J9" i="55"/>
  <c r="E8" i="55"/>
  <c r="D8" i="55"/>
  <c r="F8" i="55"/>
  <c r="J8" i="55"/>
  <c r="E5" i="55"/>
  <c r="D5" i="55"/>
  <c r="F5" i="55"/>
  <c r="J5" i="55"/>
  <c r="E10" i="53"/>
  <c r="F19" i="53"/>
  <c r="D13" i="53"/>
  <c r="E13" i="53"/>
  <c r="F25" i="53"/>
  <c r="E19" i="53"/>
  <c r="E60" i="55"/>
  <c r="D60" i="55"/>
  <c r="F60" i="55"/>
  <c r="J60" i="55"/>
  <c r="E59" i="55"/>
  <c r="D59" i="55"/>
  <c r="F59" i="55"/>
  <c r="J59" i="55"/>
  <c r="E56" i="55"/>
  <c r="D56" i="55"/>
  <c r="F56" i="55"/>
  <c r="J56" i="55"/>
  <c r="E55" i="55"/>
  <c r="D55" i="55"/>
  <c r="F55" i="55"/>
  <c r="J55" i="55"/>
  <c r="E52" i="55"/>
  <c r="D52" i="55"/>
  <c r="F52" i="55"/>
  <c r="J52" i="55"/>
  <c r="E51" i="55"/>
  <c r="D51" i="55"/>
  <c r="F51" i="55"/>
  <c r="J51" i="55"/>
  <c r="E48" i="55"/>
  <c r="D48" i="55"/>
  <c r="F48" i="55"/>
  <c r="J48" i="55"/>
  <c r="E47" i="55"/>
  <c r="J47" i="55"/>
  <c r="E44" i="55"/>
  <c r="D44" i="55"/>
  <c r="F44" i="55"/>
  <c r="J44" i="55"/>
  <c r="E42" i="55"/>
  <c r="J42" i="55"/>
  <c r="E40" i="55"/>
  <c r="D40" i="55"/>
  <c r="F40" i="55"/>
  <c r="J40" i="55"/>
  <c r="E38" i="55"/>
  <c r="D38" i="55"/>
  <c r="F38" i="55"/>
  <c r="J38" i="55"/>
  <c r="E36" i="55"/>
  <c r="D36" i="55"/>
  <c r="F36" i="55"/>
  <c r="J36" i="55"/>
  <c r="E34" i="55"/>
  <c r="D34" i="55"/>
  <c r="F34" i="55"/>
  <c r="J34" i="55"/>
  <c r="E32" i="55"/>
  <c r="D32" i="55"/>
  <c r="F32" i="55"/>
  <c r="J32" i="55"/>
  <c r="E30" i="55"/>
  <c r="D30" i="55"/>
  <c r="F30" i="55"/>
  <c r="J30" i="55"/>
  <c r="E28" i="55"/>
  <c r="D28" i="55"/>
  <c r="F28" i="55"/>
  <c r="J28" i="55"/>
  <c r="E26" i="55"/>
  <c r="D26" i="55"/>
  <c r="F26" i="55"/>
  <c r="J26" i="55"/>
  <c r="E24" i="55"/>
  <c r="D24" i="55"/>
  <c r="F24" i="55"/>
  <c r="J24" i="55"/>
  <c r="E22" i="55"/>
  <c r="D22" i="55"/>
  <c r="F22" i="55"/>
  <c r="J22" i="55"/>
  <c r="E20" i="55"/>
  <c r="D20" i="55"/>
  <c r="F20" i="55"/>
  <c r="J20" i="55"/>
  <c r="E18" i="55"/>
  <c r="D18" i="55"/>
  <c r="F18" i="55"/>
  <c r="J18" i="55"/>
  <c r="E15" i="55"/>
  <c r="D15" i="55"/>
  <c r="F15" i="55"/>
  <c r="J15" i="55"/>
  <c r="E14" i="55"/>
  <c r="D14" i="55"/>
  <c r="F14" i="55"/>
  <c r="J14" i="55"/>
  <c r="E11" i="55"/>
  <c r="D11" i="55"/>
  <c r="F11" i="55"/>
  <c r="J11" i="55"/>
  <c r="E10" i="55"/>
  <c r="D10" i="55"/>
  <c r="F10" i="55"/>
  <c r="J10" i="55"/>
  <c r="E7" i="55"/>
  <c r="D7" i="55"/>
  <c r="F7" i="55"/>
  <c r="J7" i="55"/>
  <c r="J6" i="55"/>
  <c r="J4" i="55"/>
  <c r="G32" i="58"/>
  <c r="H32" i="58"/>
  <c r="I32" i="58"/>
  <c r="J32" i="58"/>
  <c r="K32" i="58"/>
  <c r="L32" i="58"/>
  <c r="M32" i="58"/>
  <c r="N32" i="58"/>
  <c r="O32" i="58"/>
  <c r="P32" i="58"/>
  <c r="Q32" i="58"/>
  <c r="G32" i="57"/>
  <c r="H32" i="57"/>
  <c r="I32" i="57"/>
  <c r="J32" i="57"/>
  <c r="K32" i="57"/>
  <c r="L32" i="57"/>
  <c r="M32" i="57"/>
  <c r="Y75" i="56"/>
  <c r="M75" i="56"/>
  <c r="Q75" i="56"/>
  <c r="Y73" i="56"/>
  <c r="M73" i="56"/>
  <c r="Q73" i="56"/>
  <c r="Y71" i="56"/>
  <c r="M71" i="56"/>
  <c r="Q71" i="56"/>
  <c r="Y69" i="56"/>
  <c r="M69" i="56"/>
  <c r="Q69" i="56"/>
  <c r="M67" i="56"/>
  <c r="Q67" i="56"/>
  <c r="Y67" i="56"/>
  <c r="O33" i="56"/>
  <c r="N33" i="56"/>
  <c r="R33" i="56"/>
  <c r="M80" i="56"/>
  <c r="Q80" i="56"/>
  <c r="Y76" i="56"/>
  <c r="M76" i="56"/>
  <c r="Q76" i="56"/>
  <c r="Y74" i="56"/>
  <c r="M74" i="56"/>
  <c r="Q74" i="56"/>
  <c r="Y72" i="56"/>
  <c r="M72" i="56"/>
  <c r="Q72" i="56"/>
  <c r="Y70" i="56"/>
  <c r="M70" i="56"/>
  <c r="Q70" i="56"/>
  <c r="O63" i="56"/>
  <c r="N63" i="56"/>
  <c r="R63" i="56"/>
  <c r="D27" i="49"/>
  <c r="L13" i="58"/>
  <c r="H13" i="58"/>
  <c r="D13" i="58"/>
  <c r="P118" i="56"/>
  <c r="N118" i="56"/>
  <c r="K87" i="56"/>
  <c r="K88" i="56"/>
  <c r="K89" i="56"/>
  <c r="K90" i="56"/>
  <c r="T79" i="56"/>
  <c r="Z79" i="56"/>
  <c r="R79" i="56"/>
  <c r="S77" i="56"/>
  <c r="L67" i="56"/>
  <c r="R62" i="56"/>
  <c r="S38" i="56"/>
  <c r="Y32" i="56"/>
  <c r="Q32" i="56"/>
  <c r="I51" i="54"/>
  <c r="O51" i="54"/>
  <c r="I43" i="54"/>
  <c r="O43" i="54"/>
  <c r="I39" i="54"/>
  <c r="O39" i="54"/>
  <c r="O118" i="56"/>
  <c r="D32" i="56"/>
  <c r="D81" i="56"/>
  <c r="M81" i="56"/>
  <c r="L32" i="56"/>
  <c r="L81" i="56"/>
  <c r="I81" i="56"/>
  <c r="M24" i="56"/>
  <c r="Q24" i="56"/>
  <c r="Y24" i="56"/>
  <c r="Y81" i="56"/>
  <c r="N55" i="54"/>
  <c r="O35" i="54"/>
  <c r="N27" i="54"/>
  <c r="H17" i="54"/>
  <c r="N17" i="54"/>
  <c r="H5" i="54"/>
  <c r="N5" i="54"/>
  <c r="P18" i="56"/>
  <c r="P8" i="56"/>
  <c r="M7" i="56"/>
  <c r="Q7" i="56"/>
  <c r="Y7" i="56"/>
  <c r="J9" i="29"/>
  <c r="J10" i="29"/>
  <c r="E37" i="44"/>
  <c r="D37" i="44"/>
  <c r="H58" i="54"/>
  <c r="N58" i="54"/>
  <c r="N52" i="54"/>
  <c r="H51" i="54"/>
  <c r="I46" i="54"/>
  <c r="O46" i="54"/>
  <c r="H44" i="54"/>
  <c r="N44" i="54"/>
  <c r="H43" i="54"/>
  <c r="N40" i="54"/>
  <c r="H39" i="54"/>
  <c r="I37" i="54"/>
  <c r="O37" i="54"/>
  <c r="H36" i="54"/>
  <c r="N36" i="54"/>
  <c r="H35" i="54"/>
  <c r="O32" i="54"/>
  <c r="H31" i="54"/>
  <c r="N31" i="54"/>
  <c r="I29" i="54"/>
  <c r="O29" i="54"/>
  <c r="H28" i="54"/>
  <c r="N28" i="54"/>
  <c r="O22" i="54"/>
  <c r="H21" i="54"/>
  <c r="N21" i="54"/>
  <c r="I20" i="54"/>
  <c r="O20" i="54"/>
  <c r="H20" i="54"/>
  <c r="H14" i="54"/>
  <c r="N14" i="54"/>
  <c r="I9" i="54"/>
  <c r="H9" i="54"/>
  <c r="S16" i="56"/>
  <c r="P16" i="56"/>
  <c r="P15" i="56"/>
  <c r="E17" i="56"/>
  <c r="P22" i="27"/>
  <c r="N56" i="54"/>
  <c r="N54" i="54"/>
  <c r="K54" i="54"/>
  <c r="D57" i="54"/>
  <c r="H10" i="57"/>
  <c r="D53" i="54"/>
  <c r="F10" i="57"/>
  <c r="H50" i="54"/>
  <c r="N50" i="54"/>
  <c r="H48" i="54"/>
  <c r="H42" i="54"/>
  <c r="N42" i="54"/>
  <c r="H38" i="54"/>
  <c r="L38" i="54"/>
  <c r="M38" i="54"/>
  <c r="N38" i="54"/>
  <c r="H34" i="54"/>
  <c r="N30" i="54"/>
  <c r="I26" i="54"/>
  <c r="O26" i="54"/>
  <c r="H26" i="54"/>
  <c r="P20" i="54"/>
  <c r="H16" i="54"/>
  <c r="N16" i="54"/>
  <c r="P9" i="54"/>
  <c r="I6" i="54"/>
  <c r="D17" i="48"/>
  <c r="D7" i="48"/>
  <c r="D6" i="48"/>
  <c r="D14" i="44"/>
  <c r="D13" i="44"/>
  <c r="D12" i="44"/>
  <c r="H25" i="54"/>
  <c r="N25" i="54"/>
  <c r="H19" i="54"/>
  <c r="N19" i="54"/>
  <c r="L18" i="54"/>
  <c r="M18" i="54"/>
  <c r="P18" i="54"/>
  <c r="H13" i="54"/>
  <c r="N13" i="54"/>
  <c r="H8" i="54"/>
  <c r="K6" i="54"/>
  <c r="D23" i="54"/>
  <c r="S32" i="64"/>
  <c r="K5" i="62"/>
  <c r="K6" i="62"/>
  <c r="J6" i="62"/>
  <c r="D7" i="47"/>
  <c r="D6" i="47"/>
  <c r="D4" i="47"/>
  <c r="E4" i="48"/>
  <c r="E10" i="48"/>
  <c r="D10" i="48"/>
  <c r="E11" i="44"/>
  <c r="E17" i="44"/>
  <c r="D17" i="44"/>
  <c r="E4" i="47"/>
  <c r="E10" i="47"/>
  <c r="D10" i="47"/>
  <c r="P5" i="64"/>
  <c r="O34" i="64"/>
  <c r="G12" i="57"/>
  <c r="H34" i="57"/>
  <c r="E9" i="58"/>
  <c r="K12" i="57"/>
  <c r="L34" i="57"/>
  <c r="C12" i="57"/>
  <c r="D34" i="57"/>
  <c r="Q31" i="63"/>
  <c r="L7" i="62"/>
  <c r="M7" i="62"/>
  <c r="K7" i="62"/>
  <c r="J7" i="62"/>
  <c r="M4" i="62"/>
  <c r="I4" i="62"/>
  <c r="L4" i="62"/>
  <c r="M6" i="62"/>
  <c r="I6" i="62"/>
  <c r="L5" i="62"/>
  <c r="H5" i="62"/>
  <c r="M5" i="62"/>
  <c r="I5" i="62"/>
  <c r="E11" i="53"/>
  <c r="F22" i="53"/>
  <c r="G9" i="57"/>
  <c r="F20" i="57"/>
  <c r="J17" i="62"/>
  <c r="I12" i="57"/>
  <c r="J34" i="57"/>
  <c r="F41" i="62"/>
  <c r="D12" i="49"/>
  <c r="D11" i="49"/>
  <c r="D16" i="49"/>
  <c r="K25" i="57"/>
  <c r="D5" i="60"/>
  <c r="E48" i="60"/>
  <c r="D35" i="49"/>
  <c r="D40" i="49"/>
  <c r="D15" i="49"/>
  <c r="D18" i="49"/>
  <c r="D19" i="49"/>
  <c r="H6" i="62"/>
  <c r="H11" i="54"/>
  <c r="N11" i="54"/>
  <c r="H15" i="54"/>
  <c r="N15" i="54"/>
  <c r="H41" i="54"/>
  <c r="N41" i="54"/>
  <c r="H7" i="54"/>
  <c r="N7" i="54"/>
  <c r="S15" i="56"/>
  <c r="R17" i="56"/>
  <c r="B11" i="58"/>
  <c r="C22" i="58"/>
  <c r="E10" i="57"/>
  <c r="E19" i="57"/>
  <c r="D13" i="57"/>
  <c r="E25" i="53"/>
  <c r="D11" i="44"/>
  <c r="D15" i="44"/>
  <c r="D4" i="48"/>
  <c r="D11" i="48"/>
  <c r="S61" i="56"/>
  <c r="N79" i="56"/>
  <c r="H10" i="54"/>
  <c r="N10" i="54"/>
  <c r="H12" i="54"/>
  <c r="N12" i="54"/>
  <c r="H24" i="54"/>
  <c r="N24" i="54"/>
  <c r="H45" i="54"/>
  <c r="N45" i="54"/>
  <c r="H33" i="54"/>
  <c r="N33" i="54"/>
  <c r="H47" i="54"/>
  <c r="N47" i="54"/>
  <c r="K13" i="58"/>
  <c r="L25" i="58"/>
  <c r="K25" i="58"/>
  <c r="Q31" i="64"/>
  <c r="S34" i="64"/>
  <c r="O33" i="64"/>
  <c r="B10" i="57"/>
  <c r="L10" i="57"/>
  <c r="I8" i="54"/>
  <c r="O8" i="54"/>
  <c r="I13" i="54"/>
  <c r="O13" i="54"/>
  <c r="I19" i="54"/>
  <c r="O19" i="54"/>
  <c r="I25" i="54"/>
  <c r="O25" i="54"/>
  <c r="I34" i="54"/>
  <c r="O34" i="54"/>
  <c r="I38" i="54"/>
  <c r="O38" i="54"/>
  <c r="I42" i="54"/>
  <c r="O42" i="54"/>
  <c r="I48" i="54"/>
  <c r="O48" i="54"/>
  <c r="I50" i="54"/>
  <c r="O50" i="54"/>
  <c r="N53" i="54"/>
  <c r="G10" i="57"/>
  <c r="H19" i="57"/>
  <c r="F13" i="57"/>
  <c r="G19" i="57"/>
  <c r="O56" i="54"/>
  <c r="I56" i="54"/>
  <c r="P10" i="58"/>
  <c r="B10" i="58"/>
  <c r="S17" i="56"/>
  <c r="I21" i="54"/>
  <c r="O21" i="54"/>
  <c r="N49" i="54"/>
  <c r="I36" i="54"/>
  <c r="O36" i="54"/>
  <c r="I44" i="54"/>
  <c r="O44" i="54"/>
  <c r="O24" i="56"/>
  <c r="N24" i="56"/>
  <c r="R24" i="56"/>
  <c r="Q81" i="56"/>
  <c r="N32" i="56"/>
  <c r="O32" i="56"/>
  <c r="R32" i="56"/>
  <c r="S62" i="56"/>
  <c r="F11" i="58"/>
  <c r="S79" i="56"/>
  <c r="P79" i="56"/>
  <c r="L11" i="58"/>
  <c r="I13" i="58"/>
  <c r="J25" i="58"/>
  <c r="I25" i="58"/>
  <c r="S63" i="56"/>
  <c r="P63" i="56"/>
  <c r="H11" i="58"/>
  <c r="N72" i="56"/>
  <c r="R72" i="56"/>
  <c r="O72" i="56"/>
  <c r="N76" i="56"/>
  <c r="R76" i="56"/>
  <c r="O76" i="56"/>
  <c r="O67" i="56"/>
  <c r="N67" i="56"/>
  <c r="R67" i="56"/>
  <c r="N69" i="56"/>
  <c r="R69" i="56"/>
  <c r="O69" i="56"/>
  <c r="N73" i="56"/>
  <c r="R73" i="56"/>
  <c r="O73" i="56"/>
  <c r="K4" i="55"/>
  <c r="L4" i="55"/>
  <c r="Q4" i="55"/>
  <c r="K7" i="55"/>
  <c r="L7" i="55"/>
  <c r="Q7" i="55"/>
  <c r="K10" i="55"/>
  <c r="L10" i="55"/>
  <c r="Q10" i="55"/>
  <c r="K11" i="55"/>
  <c r="L11" i="55"/>
  <c r="Q11" i="55"/>
  <c r="K14" i="55"/>
  <c r="L14" i="55"/>
  <c r="Q14" i="55"/>
  <c r="K15" i="55"/>
  <c r="L15" i="55"/>
  <c r="Q15" i="55"/>
  <c r="K18" i="55"/>
  <c r="L18" i="55"/>
  <c r="Q18" i="55"/>
  <c r="K20" i="55"/>
  <c r="L20" i="55"/>
  <c r="Q20" i="55"/>
  <c r="K22" i="55"/>
  <c r="L22" i="55"/>
  <c r="Q22" i="55"/>
  <c r="K24" i="55"/>
  <c r="L24" i="55"/>
  <c r="Q24" i="55"/>
  <c r="K26" i="55"/>
  <c r="L26" i="55"/>
  <c r="Q26" i="55"/>
  <c r="K28" i="55"/>
  <c r="L28" i="55"/>
  <c r="Q28" i="55"/>
  <c r="K30" i="55"/>
  <c r="L30" i="55"/>
  <c r="Q30" i="55"/>
  <c r="K32" i="55"/>
  <c r="L32" i="55"/>
  <c r="Q32" i="55"/>
  <c r="K34" i="55"/>
  <c r="L34" i="55"/>
  <c r="Q34" i="55"/>
  <c r="K36" i="55"/>
  <c r="L36" i="55"/>
  <c r="Q36" i="55"/>
  <c r="K38" i="55"/>
  <c r="L38" i="55"/>
  <c r="Q38" i="55"/>
  <c r="K40" i="55"/>
  <c r="L40" i="55"/>
  <c r="Q40" i="55"/>
  <c r="K42" i="55"/>
  <c r="L42" i="55"/>
  <c r="Q42" i="55"/>
  <c r="K44" i="55"/>
  <c r="L44" i="55"/>
  <c r="Q44" i="55"/>
  <c r="K47" i="55"/>
  <c r="L47" i="55"/>
  <c r="Q47" i="55"/>
  <c r="K48" i="55"/>
  <c r="L48" i="55"/>
  <c r="Q48" i="55"/>
  <c r="K51" i="55"/>
  <c r="L51" i="55"/>
  <c r="Q51" i="55"/>
  <c r="K52" i="55"/>
  <c r="L52" i="55"/>
  <c r="Q52" i="55"/>
  <c r="K55" i="55"/>
  <c r="L55" i="55"/>
  <c r="Q55" i="55"/>
  <c r="K56" i="55"/>
  <c r="L56" i="55"/>
  <c r="Q56" i="55"/>
  <c r="K59" i="55"/>
  <c r="L59" i="55"/>
  <c r="Q59" i="55"/>
  <c r="K60" i="55"/>
  <c r="L60" i="55"/>
  <c r="Q60" i="55"/>
  <c r="G27" i="55"/>
  <c r="D27" i="55"/>
  <c r="F27" i="55"/>
  <c r="D46" i="55"/>
  <c r="F46" i="55"/>
  <c r="G46" i="55"/>
  <c r="D50" i="55"/>
  <c r="F50" i="55"/>
  <c r="G50" i="55"/>
  <c r="C10" i="53"/>
  <c r="C19" i="53"/>
  <c r="D16" i="53"/>
  <c r="E63" i="55"/>
  <c r="D63" i="55"/>
  <c r="F63" i="55"/>
  <c r="J63" i="55"/>
  <c r="K90" i="55"/>
  <c r="Q90" i="55"/>
  <c r="K92" i="55"/>
  <c r="L92" i="55"/>
  <c r="Q92" i="55"/>
  <c r="K94" i="55"/>
  <c r="L94" i="55"/>
  <c r="Q94" i="55"/>
  <c r="K96" i="55"/>
  <c r="L96" i="55"/>
  <c r="Q96" i="55"/>
  <c r="K98" i="55"/>
  <c r="L98" i="55"/>
  <c r="Q98" i="55"/>
  <c r="B13" i="53"/>
  <c r="C25" i="53"/>
  <c r="J8" i="62"/>
  <c r="J9" i="62"/>
  <c r="Q33" i="64"/>
  <c r="S33" i="64"/>
  <c r="N18" i="54"/>
  <c r="H18" i="54"/>
  <c r="O16" i="54"/>
  <c r="I16" i="54"/>
  <c r="I30" i="54"/>
  <c r="O30" i="54"/>
  <c r="H13" i="57"/>
  <c r="I10" i="57"/>
  <c r="J19" i="57"/>
  <c r="I19" i="57"/>
  <c r="O54" i="54"/>
  <c r="N57" i="54"/>
  <c r="I54" i="54"/>
  <c r="I14" i="54"/>
  <c r="O14" i="54"/>
  <c r="I28" i="54"/>
  <c r="O28" i="54"/>
  <c r="I31" i="54"/>
  <c r="O31" i="54"/>
  <c r="I40" i="54"/>
  <c r="O40" i="54"/>
  <c r="I52" i="54"/>
  <c r="O52" i="54"/>
  <c r="N59" i="54"/>
  <c r="I58" i="54"/>
  <c r="O58" i="54"/>
  <c r="O7" i="56"/>
  <c r="N7" i="56"/>
  <c r="R7" i="56"/>
  <c r="I5" i="54"/>
  <c r="O5" i="54"/>
  <c r="N23" i="54"/>
  <c r="I17" i="54"/>
  <c r="O17" i="54"/>
  <c r="I27" i="54"/>
  <c r="O27" i="54"/>
  <c r="O55" i="54"/>
  <c r="I55" i="54"/>
  <c r="Q34" i="64"/>
  <c r="E13" i="58"/>
  <c r="F25" i="58"/>
  <c r="E25" i="58"/>
  <c r="M13" i="58"/>
  <c r="N25" i="58"/>
  <c r="M25" i="58"/>
  <c r="M32" i="56"/>
  <c r="N70" i="56"/>
  <c r="R70" i="56"/>
  <c r="O70" i="56"/>
  <c r="N74" i="56"/>
  <c r="R74" i="56"/>
  <c r="O74" i="56"/>
  <c r="N80" i="56"/>
  <c r="R80" i="56"/>
  <c r="O80" i="56"/>
  <c r="S33" i="56"/>
  <c r="P33" i="56"/>
  <c r="N71" i="56"/>
  <c r="R71" i="56"/>
  <c r="O71" i="56"/>
  <c r="N75" i="56"/>
  <c r="R75" i="56"/>
  <c r="O75" i="56"/>
  <c r="K6" i="55"/>
  <c r="L6" i="55"/>
  <c r="Q6" i="55"/>
  <c r="D42" i="55"/>
  <c r="F42" i="55"/>
  <c r="G42" i="55"/>
  <c r="G47" i="55"/>
  <c r="D47" i="55"/>
  <c r="F47" i="55"/>
  <c r="K5" i="55"/>
  <c r="L5" i="55"/>
  <c r="Q5" i="55"/>
  <c r="K8" i="55"/>
  <c r="L8" i="55"/>
  <c r="Q8" i="55"/>
  <c r="K9" i="55"/>
  <c r="L9" i="55"/>
  <c r="Q9" i="55"/>
  <c r="K12" i="55"/>
  <c r="L12" i="55"/>
  <c r="Q12" i="55"/>
  <c r="K13" i="55"/>
  <c r="L13" i="55"/>
  <c r="Q13" i="55"/>
  <c r="K16" i="55"/>
  <c r="L16" i="55"/>
  <c r="Q16" i="55"/>
  <c r="K17" i="55"/>
  <c r="L17" i="55"/>
  <c r="Q17" i="55"/>
  <c r="K19" i="55"/>
  <c r="L19" i="55"/>
  <c r="Q19" i="55"/>
  <c r="K21" i="55"/>
  <c r="L21" i="55"/>
  <c r="Q21" i="55"/>
  <c r="K23" i="55"/>
  <c r="L23" i="55"/>
  <c r="Q23" i="55"/>
  <c r="K25" i="55"/>
  <c r="L25" i="55"/>
  <c r="Q25" i="55"/>
  <c r="K27" i="55"/>
  <c r="L27" i="55"/>
  <c r="Q27" i="55"/>
  <c r="K29" i="55"/>
  <c r="L29" i="55"/>
  <c r="Q29" i="55"/>
  <c r="K31" i="55"/>
  <c r="L31" i="55"/>
  <c r="Q31" i="55"/>
  <c r="K33" i="55"/>
  <c r="L33" i="55"/>
  <c r="Q33" i="55"/>
  <c r="K35" i="55"/>
  <c r="L35" i="55"/>
  <c r="Q35" i="55"/>
  <c r="K37" i="55"/>
  <c r="L37" i="55"/>
  <c r="Q37" i="55"/>
  <c r="K39" i="55"/>
  <c r="L39" i="55"/>
  <c r="Q39" i="55"/>
  <c r="K41" i="55"/>
  <c r="L41" i="55"/>
  <c r="Q41" i="55"/>
  <c r="K43" i="55"/>
  <c r="L43" i="55"/>
  <c r="Q43" i="55"/>
  <c r="K45" i="55"/>
  <c r="L45" i="55"/>
  <c r="Q45" i="55"/>
  <c r="K46" i="55"/>
  <c r="L46" i="55"/>
  <c r="Q46" i="55"/>
  <c r="K49" i="55"/>
  <c r="L49" i="55"/>
  <c r="Q49" i="55"/>
  <c r="K50" i="55"/>
  <c r="L50" i="55"/>
  <c r="Q50" i="55"/>
  <c r="K53" i="55"/>
  <c r="L53" i="55"/>
  <c r="Q53" i="55"/>
  <c r="K54" i="55"/>
  <c r="L54" i="55"/>
  <c r="Q54" i="55"/>
  <c r="K57" i="55"/>
  <c r="L57" i="55"/>
  <c r="Q57" i="55"/>
  <c r="K58" i="55"/>
  <c r="L58" i="55"/>
  <c r="Q58" i="55"/>
  <c r="L13" i="53"/>
  <c r="M25" i="53"/>
  <c r="L11" i="53"/>
  <c r="M22" i="53"/>
  <c r="K61" i="55"/>
  <c r="L61" i="55"/>
  <c r="Q61" i="55"/>
  <c r="K66" i="55"/>
  <c r="L66" i="55"/>
  <c r="Q66" i="55"/>
  <c r="K67" i="55"/>
  <c r="L67" i="55"/>
  <c r="Q67" i="55"/>
  <c r="K70" i="55"/>
  <c r="L70" i="55"/>
  <c r="Q70" i="55"/>
  <c r="K71" i="55"/>
  <c r="L71" i="55"/>
  <c r="Q71" i="55"/>
  <c r="K74" i="55"/>
  <c r="L74" i="55"/>
  <c r="Q74" i="55"/>
  <c r="K75" i="55"/>
  <c r="L75" i="55"/>
  <c r="Q75" i="55"/>
  <c r="K78" i="55"/>
  <c r="L78" i="55"/>
  <c r="Q78" i="55"/>
  <c r="K79" i="55"/>
  <c r="L79" i="55"/>
  <c r="Q79" i="55"/>
  <c r="K82" i="55"/>
  <c r="L82" i="55"/>
  <c r="Q82" i="55"/>
  <c r="K83" i="55"/>
  <c r="L83" i="55"/>
  <c r="Q83" i="55"/>
  <c r="K86" i="55"/>
  <c r="L86" i="55"/>
  <c r="Q86" i="55"/>
  <c r="K88" i="55"/>
  <c r="L88" i="55"/>
  <c r="Q88" i="55"/>
  <c r="K64" i="55"/>
  <c r="L64" i="55"/>
  <c r="Q64" i="55"/>
  <c r="K65" i="55"/>
  <c r="L65" i="55"/>
  <c r="Q65" i="55"/>
  <c r="K68" i="55"/>
  <c r="L68" i="55"/>
  <c r="Q68" i="55"/>
  <c r="K69" i="55"/>
  <c r="L69" i="55"/>
  <c r="Q69" i="55"/>
  <c r="K72" i="55"/>
  <c r="L72" i="55"/>
  <c r="Q72" i="55"/>
  <c r="K73" i="55"/>
  <c r="L73" i="55"/>
  <c r="Q73" i="55"/>
  <c r="K76" i="55"/>
  <c r="L76" i="55"/>
  <c r="Q76" i="55"/>
  <c r="K77" i="55"/>
  <c r="L77" i="55"/>
  <c r="Q77" i="55"/>
  <c r="K80" i="55"/>
  <c r="L80" i="55"/>
  <c r="Q80" i="55"/>
  <c r="K81" i="55"/>
  <c r="L81" i="55"/>
  <c r="Q81" i="55"/>
  <c r="K84" i="55"/>
  <c r="L84" i="55"/>
  <c r="Q84" i="55"/>
  <c r="K85" i="55"/>
  <c r="L85" i="55"/>
  <c r="Q85" i="55"/>
  <c r="K87" i="55"/>
  <c r="L87" i="55"/>
  <c r="Q87" i="55"/>
  <c r="K89" i="55"/>
  <c r="L89" i="55"/>
  <c r="Q89" i="55"/>
  <c r="O91" i="55"/>
  <c r="G91" i="55"/>
  <c r="N91" i="55"/>
  <c r="K93" i="55"/>
  <c r="L93" i="55"/>
  <c r="Q93" i="55"/>
  <c r="K95" i="55"/>
  <c r="L95" i="55"/>
  <c r="Q95" i="55"/>
  <c r="K99" i="55"/>
  <c r="L99" i="55"/>
  <c r="Q99" i="55"/>
  <c r="S31" i="64"/>
  <c r="Q32" i="64"/>
  <c r="H7" i="62"/>
  <c r="E11" i="58"/>
  <c r="F22" i="58"/>
  <c r="F20" i="58"/>
  <c r="G9" i="58"/>
  <c r="O32" i="63"/>
  <c r="O31" i="63"/>
  <c r="S32" i="63"/>
  <c r="S31" i="63"/>
  <c r="D8" i="48"/>
  <c r="D9" i="48"/>
  <c r="D8" i="47"/>
  <c r="D11" i="47"/>
  <c r="D9" i="47"/>
  <c r="H4" i="62"/>
  <c r="L8" i="62"/>
  <c r="H8" i="62"/>
  <c r="H9" i="62"/>
  <c r="I7" i="62"/>
  <c r="G17" i="62"/>
  <c r="G23" i="62"/>
  <c r="J18" i="62"/>
  <c r="G18" i="62"/>
  <c r="D18" i="44"/>
  <c r="D16" i="44"/>
  <c r="I9" i="57"/>
  <c r="G11" i="57"/>
  <c r="H22" i="57"/>
  <c r="H20" i="57"/>
  <c r="F29" i="53"/>
  <c r="F23" i="53"/>
  <c r="D34" i="49"/>
  <c r="D41" i="49"/>
  <c r="D43" i="49"/>
  <c r="D46" i="49"/>
  <c r="D47" i="49"/>
  <c r="D20" i="49"/>
  <c r="D23" i="49"/>
  <c r="G48" i="60"/>
  <c r="E49" i="60"/>
  <c r="G49" i="60"/>
  <c r="E13" i="57"/>
  <c r="F25" i="57"/>
  <c r="E25" i="57"/>
  <c r="F19" i="57"/>
  <c r="E11" i="57"/>
  <c r="F22" i="57"/>
  <c r="C13" i="53"/>
  <c r="D25" i="53"/>
  <c r="O47" i="54"/>
  <c r="I47" i="54"/>
  <c r="I33" i="54"/>
  <c r="O33" i="54"/>
  <c r="O45" i="54"/>
  <c r="I45" i="54"/>
  <c r="I24" i="54"/>
  <c r="O24" i="54"/>
  <c r="O12" i="54"/>
  <c r="I12" i="54"/>
  <c r="O10" i="54"/>
  <c r="I10" i="54"/>
  <c r="C23" i="58"/>
  <c r="C29" i="58"/>
  <c r="O7" i="54"/>
  <c r="I7" i="54"/>
  <c r="I41" i="54"/>
  <c r="O41" i="54"/>
  <c r="O15" i="54"/>
  <c r="I15" i="54"/>
  <c r="O11" i="54"/>
  <c r="I11" i="54"/>
  <c r="D15" i="27"/>
  <c r="C22" i="27"/>
  <c r="O89" i="55"/>
  <c r="G89" i="55"/>
  <c r="N89" i="55"/>
  <c r="O87" i="55"/>
  <c r="G87" i="55"/>
  <c r="N87" i="55"/>
  <c r="O85" i="55"/>
  <c r="G85" i="55"/>
  <c r="N85" i="55"/>
  <c r="G84" i="55"/>
  <c r="N84" i="55"/>
  <c r="O84" i="55"/>
  <c r="O81" i="55"/>
  <c r="G81" i="55"/>
  <c r="N81" i="55"/>
  <c r="G80" i="55"/>
  <c r="N80" i="55"/>
  <c r="O80" i="55"/>
  <c r="O77" i="55"/>
  <c r="G77" i="55"/>
  <c r="N77" i="55"/>
  <c r="G76" i="55"/>
  <c r="N76" i="55"/>
  <c r="O76" i="55"/>
  <c r="O73" i="55"/>
  <c r="G73" i="55"/>
  <c r="N73" i="55"/>
  <c r="G72" i="55"/>
  <c r="N72" i="55"/>
  <c r="O72" i="55"/>
  <c r="O69" i="55"/>
  <c r="G69" i="55"/>
  <c r="N69" i="55"/>
  <c r="G68" i="55"/>
  <c r="N68" i="55"/>
  <c r="O68" i="55"/>
  <c r="O65" i="55"/>
  <c r="G65" i="55"/>
  <c r="N65" i="55"/>
  <c r="G64" i="55"/>
  <c r="N64" i="55"/>
  <c r="O64" i="55"/>
  <c r="G88" i="55"/>
  <c r="N88" i="55"/>
  <c r="O88" i="55"/>
  <c r="G86" i="55"/>
  <c r="N86" i="55"/>
  <c r="O86" i="55"/>
  <c r="O83" i="55"/>
  <c r="G83" i="55"/>
  <c r="N83" i="55"/>
  <c r="G82" i="55"/>
  <c r="N82" i="55"/>
  <c r="O82" i="55"/>
  <c r="O79" i="55"/>
  <c r="G79" i="55"/>
  <c r="N79" i="55"/>
  <c r="G78" i="55"/>
  <c r="N78" i="55"/>
  <c r="O78" i="55"/>
  <c r="O75" i="55"/>
  <c r="G75" i="55"/>
  <c r="N75" i="55"/>
  <c r="G74" i="55"/>
  <c r="N74" i="55"/>
  <c r="O74" i="55"/>
  <c r="O71" i="55"/>
  <c r="G71" i="55"/>
  <c r="N71" i="55"/>
  <c r="G70" i="55"/>
  <c r="N70" i="55"/>
  <c r="O70" i="55"/>
  <c r="O67" i="55"/>
  <c r="G67" i="55"/>
  <c r="N67" i="55"/>
  <c r="G66" i="55"/>
  <c r="N66" i="55"/>
  <c r="O66" i="55"/>
  <c r="G61" i="55"/>
  <c r="N61" i="55"/>
  <c r="O61" i="55"/>
  <c r="O58" i="55"/>
  <c r="G58" i="55"/>
  <c r="N58" i="55"/>
  <c r="G57" i="55"/>
  <c r="N57" i="55"/>
  <c r="O57" i="55"/>
  <c r="O54" i="55"/>
  <c r="G54" i="55"/>
  <c r="N54" i="55"/>
  <c r="G53" i="55"/>
  <c r="N53" i="55"/>
  <c r="O53" i="55"/>
  <c r="O50" i="55"/>
  <c r="N50" i="55"/>
  <c r="G49" i="55"/>
  <c r="N49" i="55"/>
  <c r="O49" i="55"/>
  <c r="O46" i="55"/>
  <c r="N46" i="55"/>
  <c r="G45" i="55"/>
  <c r="N45" i="55"/>
  <c r="O45" i="55"/>
  <c r="G43" i="55"/>
  <c r="N43" i="55"/>
  <c r="O43" i="55"/>
  <c r="G41" i="55"/>
  <c r="N41" i="55"/>
  <c r="O41" i="55"/>
  <c r="G39" i="55"/>
  <c r="N39" i="55"/>
  <c r="O39" i="55"/>
  <c r="G37" i="55"/>
  <c r="N37" i="55"/>
  <c r="O37" i="55"/>
  <c r="G35" i="55"/>
  <c r="N35" i="55"/>
  <c r="O35" i="55"/>
  <c r="G33" i="55"/>
  <c r="N33" i="55"/>
  <c r="O33" i="55"/>
  <c r="G31" i="55"/>
  <c r="N31" i="55"/>
  <c r="O31" i="55"/>
  <c r="G29" i="55"/>
  <c r="N29" i="55"/>
  <c r="O29" i="55"/>
  <c r="N27" i="55"/>
  <c r="O27" i="55"/>
  <c r="G25" i="55"/>
  <c r="N25" i="55"/>
  <c r="O25" i="55"/>
  <c r="G23" i="55"/>
  <c r="N23" i="55"/>
  <c r="O23" i="55"/>
  <c r="G21" i="55"/>
  <c r="N21" i="55"/>
  <c r="O21" i="55"/>
  <c r="G19" i="55"/>
  <c r="N19" i="55"/>
  <c r="O19" i="55"/>
  <c r="G17" i="55"/>
  <c r="N17" i="55"/>
  <c r="O17" i="55"/>
  <c r="O16" i="55"/>
  <c r="G16" i="55"/>
  <c r="N16" i="55"/>
  <c r="G13" i="55"/>
  <c r="N13" i="55"/>
  <c r="O13" i="55"/>
  <c r="O12" i="55"/>
  <c r="G12" i="55"/>
  <c r="N12" i="55"/>
  <c r="G9" i="55"/>
  <c r="N9" i="55"/>
  <c r="O9" i="55"/>
  <c r="O8" i="55"/>
  <c r="G8" i="55"/>
  <c r="N8" i="55"/>
  <c r="G5" i="55"/>
  <c r="N5" i="55"/>
  <c r="O5" i="55"/>
  <c r="O6" i="55"/>
  <c r="G6" i="55"/>
  <c r="N6" i="55"/>
  <c r="P75" i="56"/>
  <c r="S75" i="56"/>
  <c r="P80" i="56"/>
  <c r="N11" i="58"/>
  <c r="S80" i="56"/>
  <c r="P70" i="56"/>
  <c r="S70" i="56"/>
  <c r="O23" i="54"/>
  <c r="B11" i="57"/>
  <c r="O59" i="54"/>
  <c r="J11" i="57"/>
  <c r="I57" i="54"/>
  <c r="O57" i="54"/>
  <c r="H11" i="57"/>
  <c r="I13" i="57"/>
  <c r="J25" i="57"/>
  <c r="I25" i="57"/>
  <c r="I18" i="54"/>
  <c r="O18" i="54"/>
  <c r="O98" i="55"/>
  <c r="G98" i="55"/>
  <c r="N98" i="55"/>
  <c r="L100" i="55"/>
  <c r="O96" i="55"/>
  <c r="G96" i="55"/>
  <c r="N96" i="55"/>
  <c r="O94" i="55"/>
  <c r="G94" i="55"/>
  <c r="N94" i="55"/>
  <c r="O92" i="55"/>
  <c r="G92" i="55"/>
  <c r="N92" i="55"/>
  <c r="L90" i="55"/>
  <c r="F90" i="55"/>
  <c r="P69" i="56"/>
  <c r="S69" i="56"/>
  <c r="S67" i="56"/>
  <c r="R78" i="56"/>
  <c r="P67" i="56"/>
  <c r="P76" i="56"/>
  <c r="S76" i="56"/>
  <c r="L9" i="58"/>
  <c r="M20" i="58"/>
  <c r="M22" i="58"/>
  <c r="H81" i="56"/>
  <c r="N81" i="56"/>
  <c r="O81" i="56"/>
  <c r="O49" i="54"/>
  <c r="D11" i="57"/>
  <c r="C10" i="58"/>
  <c r="B13" i="58"/>
  <c r="C25" i="58"/>
  <c r="C19" i="58"/>
  <c r="B9" i="58"/>
  <c r="C20" i="58"/>
  <c r="L11" i="57"/>
  <c r="M22" i="57"/>
  <c r="L13" i="57"/>
  <c r="M25" i="57"/>
  <c r="M19" i="57"/>
  <c r="D12" i="48"/>
  <c r="D13" i="48"/>
  <c r="D19" i="48"/>
  <c r="G99" i="55"/>
  <c r="N99" i="55"/>
  <c r="O99" i="55"/>
  <c r="G95" i="55"/>
  <c r="N95" i="55"/>
  <c r="O95" i="55"/>
  <c r="G93" i="55"/>
  <c r="N93" i="55"/>
  <c r="O93" i="55"/>
  <c r="M29" i="53"/>
  <c r="M23" i="53"/>
  <c r="M26" i="53"/>
  <c r="M30" i="53"/>
  <c r="M31" i="53"/>
  <c r="M35" i="53"/>
  <c r="M37" i="53"/>
  <c r="P71" i="56"/>
  <c r="S71" i="56"/>
  <c r="P74" i="56"/>
  <c r="S74" i="56"/>
  <c r="S7" i="56"/>
  <c r="P7" i="56"/>
  <c r="K63" i="55"/>
  <c r="L63" i="55"/>
  <c r="Q63" i="55"/>
  <c r="D19" i="53"/>
  <c r="C11" i="53"/>
  <c r="D22" i="53"/>
  <c r="O60" i="55"/>
  <c r="G60" i="55"/>
  <c r="N60" i="55"/>
  <c r="G59" i="55"/>
  <c r="N59" i="55"/>
  <c r="O59" i="55"/>
  <c r="O56" i="55"/>
  <c r="G56" i="55"/>
  <c r="N56" i="55"/>
  <c r="G55" i="55"/>
  <c r="N55" i="55"/>
  <c r="O55" i="55"/>
  <c r="O52" i="55"/>
  <c r="G52" i="55"/>
  <c r="N52" i="55"/>
  <c r="G51" i="55"/>
  <c r="N51" i="55"/>
  <c r="O51" i="55"/>
  <c r="O48" i="55"/>
  <c r="G48" i="55"/>
  <c r="N48" i="55"/>
  <c r="N47" i="55"/>
  <c r="O47" i="55"/>
  <c r="O44" i="55"/>
  <c r="G44" i="55"/>
  <c r="N44" i="55"/>
  <c r="O42" i="55"/>
  <c r="N42" i="55"/>
  <c r="O40" i="55"/>
  <c r="G40" i="55"/>
  <c r="N40" i="55"/>
  <c r="O38" i="55"/>
  <c r="G38" i="55"/>
  <c r="N38" i="55"/>
  <c r="O36" i="55"/>
  <c r="G36" i="55"/>
  <c r="N36" i="55"/>
  <c r="O34" i="55"/>
  <c r="G34" i="55"/>
  <c r="N34" i="55"/>
  <c r="O32" i="55"/>
  <c r="G32" i="55"/>
  <c r="N32" i="55"/>
  <c r="O30" i="55"/>
  <c r="G30" i="55"/>
  <c r="N30" i="55"/>
  <c r="O28" i="55"/>
  <c r="G28" i="55"/>
  <c r="N28" i="55"/>
  <c r="O26" i="55"/>
  <c r="G26" i="55"/>
  <c r="N26" i="55"/>
  <c r="O24" i="55"/>
  <c r="G24" i="55"/>
  <c r="N24" i="55"/>
  <c r="O22" i="55"/>
  <c r="G22" i="55"/>
  <c r="N22" i="55"/>
  <c r="O20" i="55"/>
  <c r="G20" i="55"/>
  <c r="N20" i="55"/>
  <c r="O18" i="55"/>
  <c r="G18" i="55"/>
  <c r="N18" i="55"/>
  <c r="G15" i="55"/>
  <c r="N15" i="55"/>
  <c r="O15" i="55"/>
  <c r="O14" i="55"/>
  <c r="G14" i="55"/>
  <c r="N14" i="55"/>
  <c r="G11" i="55"/>
  <c r="N11" i="55"/>
  <c r="O11" i="55"/>
  <c r="O10" i="55"/>
  <c r="G10" i="55"/>
  <c r="N10" i="55"/>
  <c r="G7" i="55"/>
  <c r="N7" i="55"/>
  <c r="O7" i="55"/>
  <c r="O4" i="55"/>
  <c r="G4" i="55"/>
  <c r="N4" i="55"/>
  <c r="L97" i="55"/>
  <c r="P73" i="56"/>
  <c r="S73" i="56"/>
  <c r="P72" i="56"/>
  <c r="S72" i="56"/>
  <c r="H9" i="58"/>
  <c r="I20" i="58"/>
  <c r="I22" i="58"/>
  <c r="F9" i="58"/>
  <c r="G20" i="58"/>
  <c r="G22" i="58"/>
  <c r="P32" i="56"/>
  <c r="S32" i="56"/>
  <c r="S24" i="56"/>
  <c r="P24" i="56"/>
  <c r="R36" i="56"/>
  <c r="R81" i="56"/>
  <c r="P11" i="58"/>
  <c r="Q22" i="58"/>
  <c r="Q19" i="58"/>
  <c r="P13" i="58"/>
  <c r="Q25" i="58"/>
  <c r="G13" i="57"/>
  <c r="H25" i="57"/>
  <c r="G25" i="57"/>
  <c r="I53" i="54"/>
  <c r="O53" i="54"/>
  <c r="F11" i="57"/>
  <c r="C10" i="57"/>
  <c r="B13" i="57"/>
  <c r="D16" i="57"/>
  <c r="C19" i="57"/>
  <c r="O31" i="64"/>
  <c r="O32" i="64"/>
  <c r="E7" i="27"/>
  <c r="G11" i="58"/>
  <c r="H22" i="58"/>
  <c r="I9" i="58"/>
  <c r="H20" i="58"/>
  <c r="F29" i="58"/>
  <c r="F23" i="58"/>
  <c r="M8" i="62"/>
  <c r="H11" i="62"/>
  <c r="H12" i="62"/>
  <c r="L9" i="62"/>
  <c r="D12" i="47"/>
  <c r="K7" i="57"/>
  <c r="K9" i="57"/>
  <c r="I11" i="57"/>
  <c r="J22" i="57"/>
  <c r="J20" i="57"/>
  <c r="D19" i="44"/>
  <c r="H23" i="57"/>
  <c r="H29" i="57"/>
  <c r="K16" i="62"/>
  <c r="G24" i="62"/>
  <c r="G50" i="60"/>
  <c r="F39" i="62"/>
  <c r="E50" i="60"/>
  <c r="D26" i="49"/>
  <c r="D29" i="49"/>
  <c r="F29" i="57"/>
  <c r="F23" i="57"/>
  <c r="D16" i="48"/>
  <c r="D22" i="48"/>
  <c r="D24" i="48"/>
  <c r="D19" i="57"/>
  <c r="C11" i="57"/>
  <c r="D22" i="57"/>
  <c r="Q23" i="58"/>
  <c r="Q26" i="58"/>
  <c r="Q30" i="58"/>
  <c r="Q31" i="58"/>
  <c r="Q35" i="58"/>
  <c r="Q37" i="58"/>
  <c r="Q29" i="58"/>
  <c r="P81" i="56"/>
  <c r="S81" i="56"/>
  <c r="D29" i="53"/>
  <c r="D23" i="53"/>
  <c r="D9" i="57"/>
  <c r="E20" i="57"/>
  <c r="E22" i="57"/>
  <c r="J11" i="58"/>
  <c r="S78" i="56"/>
  <c r="J9" i="57"/>
  <c r="K20" i="57"/>
  <c r="K22" i="57"/>
  <c r="B9" i="57"/>
  <c r="C20" i="57"/>
  <c r="C22" i="57"/>
  <c r="C13" i="57"/>
  <c r="D25" i="57"/>
  <c r="C25" i="57"/>
  <c r="F9" i="57"/>
  <c r="G20" i="57"/>
  <c r="G22" i="57"/>
  <c r="S36" i="56"/>
  <c r="D11" i="58"/>
  <c r="G23" i="58"/>
  <c r="G29" i="58"/>
  <c r="I23" i="58"/>
  <c r="I29" i="58"/>
  <c r="B11" i="53"/>
  <c r="N97" i="55"/>
  <c r="O63" i="55"/>
  <c r="G63" i="55"/>
  <c r="N63" i="55"/>
  <c r="M23" i="57"/>
  <c r="M26" i="57"/>
  <c r="M30" i="57"/>
  <c r="M31" i="57"/>
  <c r="M35" i="57"/>
  <c r="M37" i="57"/>
  <c r="M29" i="57"/>
  <c r="D19" i="58"/>
  <c r="D24" i="58"/>
  <c r="C11" i="58"/>
  <c r="D22" i="58"/>
  <c r="M23" i="58"/>
  <c r="M29" i="58"/>
  <c r="G90" i="55"/>
  <c r="N90" i="55"/>
  <c r="D11" i="53"/>
  <c r="N100" i="55"/>
  <c r="H9" i="57"/>
  <c r="I20" i="57"/>
  <c r="I22" i="57"/>
  <c r="N9" i="58"/>
  <c r="O20" i="58"/>
  <c r="O22" i="58"/>
  <c r="H29" i="58"/>
  <c r="H23" i="58"/>
  <c r="I11" i="58"/>
  <c r="J22" i="58"/>
  <c r="J20" i="58"/>
  <c r="K9" i="58"/>
  <c r="D13" i="47"/>
  <c r="D16" i="47"/>
  <c r="D20" i="44"/>
  <c r="T5" i="58"/>
  <c r="T11" i="58"/>
  <c r="H24" i="58"/>
  <c r="H26" i="58"/>
  <c r="H30" i="58"/>
  <c r="H31" i="58"/>
  <c r="H35" i="58"/>
  <c r="H37" i="58"/>
  <c r="L24" i="58"/>
  <c r="P24" i="58"/>
  <c r="F27" i="58"/>
  <c r="J27" i="58"/>
  <c r="N27" i="58"/>
  <c r="T4" i="58"/>
  <c r="T7" i="58"/>
  <c r="F28" i="58"/>
  <c r="T9" i="58"/>
  <c r="J28" i="58"/>
  <c r="T13" i="58"/>
  <c r="T15" i="58"/>
  <c r="C24" i="58"/>
  <c r="C26" i="58"/>
  <c r="C30" i="58"/>
  <c r="C31" i="58"/>
  <c r="C35" i="58"/>
  <c r="C37" i="58"/>
  <c r="C38" i="58"/>
  <c r="C39" i="58"/>
  <c r="G24" i="58"/>
  <c r="G26" i="58"/>
  <c r="G30" i="58"/>
  <c r="G31" i="58"/>
  <c r="G35" i="58"/>
  <c r="G37" i="58"/>
  <c r="K24" i="58"/>
  <c r="O24" i="58"/>
  <c r="E27" i="58"/>
  <c r="I27" i="58"/>
  <c r="M27" i="58"/>
  <c r="Q27" i="58"/>
  <c r="K11" i="57"/>
  <c r="L22" i="57"/>
  <c r="L20" i="57"/>
  <c r="J23" i="57"/>
  <c r="J29" i="57"/>
  <c r="D31" i="49"/>
  <c r="E36" i="49"/>
  <c r="D36" i="49"/>
  <c r="D38" i="49"/>
  <c r="F42" i="62"/>
  <c r="F40" i="62"/>
  <c r="Q24" i="58"/>
  <c r="O27" i="58"/>
  <c r="K27" i="58"/>
  <c r="G27" i="58"/>
  <c r="C27" i="58"/>
  <c r="M24" i="58"/>
  <c r="M26" i="58"/>
  <c r="M30" i="58"/>
  <c r="M31" i="58"/>
  <c r="M35" i="58"/>
  <c r="M37" i="58"/>
  <c r="I24" i="58"/>
  <c r="I26" i="58"/>
  <c r="I30" i="58"/>
  <c r="I31" i="58"/>
  <c r="I35" i="58"/>
  <c r="I37" i="58"/>
  <c r="E24" i="58"/>
  <c r="T16" i="58"/>
  <c r="P28" i="58"/>
  <c r="T14" i="58"/>
  <c r="T12" i="58"/>
  <c r="N28" i="58"/>
  <c r="T8" i="58"/>
  <c r="H28" i="58"/>
  <c r="T6" i="58"/>
  <c r="D28" i="58"/>
  <c r="P27" i="58"/>
  <c r="L27" i="58"/>
  <c r="H27" i="58"/>
  <c r="D27" i="58"/>
  <c r="N24" i="58"/>
  <c r="J24" i="58"/>
  <c r="F24" i="58"/>
  <c r="F26" i="58"/>
  <c r="F30" i="58"/>
  <c r="F31" i="58"/>
  <c r="F35" i="58"/>
  <c r="F37" i="58"/>
  <c r="T10" i="58"/>
  <c r="L28" i="58"/>
  <c r="O23" i="58"/>
  <c r="O26" i="58"/>
  <c r="O30" i="58"/>
  <c r="O31" i="58"/>
  <c r="O35" i="58"/>
  <c r="O37" i="58"/>
  <c r="O29" i="58"/>
  <c r="I23" i="57"/>
  <c r="I29" i="57"/>
  <c r="D29" i="58"/>
  <c r="D23" i="58"/>
  <c r="D26" i="58"/>
  <c r="D9" i="58"/>
  <c r="E20" i="58"/>
  <c r="E22" i="58"/>
  <c r="G23" i="57"/>
  <c r="G29" i="57"/>
  <c r="C23" i="57"/>
  <c r="C29" i="57"/>
  <c r="K23" i="57"/>
  <c r="K29" i="57"/>
  <c r="E23" i="57"/>
  <c r="E29" i="57"/>
  <c r="D23" i="57"/>
  <c r="D29" i="57"/>
  <c r="E22" i="53"/>
  <c r="D9" i="53"/>
  <c r="E20" i="53"/>
  <c r="C22" i="53"/>
  <c r="B9" i="53"/>
  <c r="C20" i="53"/>
  <c r="J9" i="58"/>
  <c r="K20" i="58"/>
  <c r="K22" i="58"/>
  <c r="D19" i="47"/>
  <c r="K11" i="58"/>
  <c r="L22" i="58"/>
  <c r="L20" i="58"/>
  <c r="M7" i="58"/>
  <c r="M9" i="58"/>
  <c r="J29" i="58"/>
  <c r="J23" i="58"/>
  <c r="J26" i="58"/>
  <c r="J30" i="58"/>
  <c r="J31" i="58"/>
  <c r="J35" i="58"/>
  <c r="J37" i="58"/>
  <c r="E4" i="27"/>
  <c r="D22" i="47"/>
  <c r="L23" i="57"/>
  <c r="L29" i="57"/>
  <c r="C28" i="58"/>
  <c r="E28" i="58"/>
  <c r="G28" i="58"/>
  <c r="I28" i="58"/>
  <c r="K28" i="58"/>
  <c r="M28" i="58"/>
  <c r="O28" i="58"/>
  <c r="C42" i="58"/>
  <c r="C46" i="58"/>
  <c r="C47" i="58"/>
  <c r="Q28" i="58"/>
  <c r="D23" i="44"/>
  <c r="D26" i="44"/>
  <c r="L32" i="60"/>
  <c r="D39" i="49"/>
  <c r="D49" i="49"/>
  <c r="D53" i="49"/>
  <c r="D54" i="49"/>
  <c r="D46" i="45"/>
  <c r="M25" i="45"/>
  <c r="D55" i="45"/>
  <c r="F34" i="62"/>
  <c r="F43" i="62"/>
  <c r="F44" i="62"/>
  <c r="F45" i="62"/>
  <c r="G19" i="62"/>
  <c r="K22" i="62"/>
  <c r="D30" i="58"/>
  <c r="D31" i="58"/>
  <c r="D35" i="58"/>
  <c r="D37" i="58"/>
  <c r="K23" i="58"/>
  <c r="K26" i="58"/>
  <c r="K30" i="58"/>
  <c r="K31" i="58"/>
  <c r="K35" i="58"/>
  <c r="K37" i="58"/>
  <c r="K29" i="58"/>
  <c r="C29" i="53"/>
  <c r="C23" i="53"/>
  <c r="E29" i="53"/>
  <c r="E23" i="53"/>
  <c r="E23" i="58"/>
  <c r="E26" i="58"/>
  <c r="E30" i="58"/>
  <c r="E31" i="58"/>
  <c r="E35" i="58"/>
  <c r="E37" i="58"/>
  <c r="E29" i="58"/>
  <c r="O4" i="58"/>
  <c r="O5" i="58"/>
  <c r="O6" i="58"/>
  <c r="O9" i="58"/>
  <c r="M11" i="58"/>
  <c r="N22" i="58"/>
  <c r="N20" i="58"/>
  <c r="L29" i="58"/>
  <c r="L23" i="58"/>
  <c r="L26" i="58"/>
  <c r="L30" i="58"/>
  <c r="L31" i="58"/>
  <c r="L35" i="58"/>
  <c r="L37" i="58"/>
  <c r="P4" i="53"/>
  <c r="P5" i="53"/>
  <c r="D28" i="53"/>
  <c r="P6" i="53"/>
  <c r="F28" i="53"/>
  <c r="P7" i="53"/>
  <c r="P8" i="53"/>
  <c r="P9" i="53"/>
  <c r="P10" i="53"/>
  <c r="P11" i="53"/>
  <c r="P14" i="53"/>
  <c r="H24" i="53"/>
  <c r="J24" i="53"/>
  <c r="G27" i="53"/>
  <c r="I27" i="53"/>
  <c r="K27" i="53"/>
  <c r="D24" i="47"/>
  <c r="P12" i="53"/>
  <c r="P13" i="53"/>
  <c r="G24" i="53"/>
  <c r="I24" i="53"/>
  <c r="K24" i="53"/>
  <c r="H27" i="53"/>
  <c r="J27" i="53"/>
  <c r="Q29" i="53"/>
  <c r="E24" i="53"/>
  <c r="E26" i="53"/>
  <c r="E30" i="53"/>
  <c r="E31" i="53"/>
  <c r="E35" i="53"/>
  <c r="E37" i="53"/>
  <c r="E27" i="53"/>
  <c r="C24" i="53"/>
  <c r="C26" i="53"/>
  <c r="C30" i="53"/>
  <c r="C31" i="53"/>
  <c r="C35" i="53"/>
  <c r="C37" i="53"/>
  <c r="C38" i="53"/>
  <c r="C39" i="53"/>
  <c r="C27" i="53"/>
  <c r="F24" i="53"/>
  <c r="F26" i="53"/>
  <c r="F30" i="53"/>
  <c r="F31" i="53"/>
  <c r="F35" i="53"/>
  <c r="F37" i="53"/>
  <c r="D27" i="53"/>
  <c r="M27" i="53"/>
  <c r="F27" i="53"/>
  <c r="D24" i="53"/>
  <c r="D26" i="53"/>
  <c r="D30" i="53"/>
  <c r="D31" i="53"/>
  <c r="D35" i="53"/>
  <c r="D37" i="53"/>
  <c r="M24" i="53"/>
  <c r="D29" i="44"/>
  <c r="D31" i="44"/>
  <c r="D39" i="44"/>
  <c r="M29" i="45"/>
  <c r="M30" i="45"/>
  <c r="D56" i="45"/>
  <c r="F56" i="45"/>
  <c r="L25" i="60"/>
  <c r="D55" i="60"/>
  <c r="L33" i="60"/>
  <c r="D50" i="45"/>
  <c r="D51" i="45"/>
  <c r="C27" i="57"/>
  <c r="D27" i="57"/>
  <c r="P12" i="57"/>
  <c r="P9" i="57"/>
  <c r="D57" i="45"/>
  <c r="D44" i="45"/>
  <c r="K27" i="57"/>
  <c r="E24" i="57"/>
  <c r="E26" i="57"/>
  <c r="E30" i="57"/>
  <c r="E31" i="57"/>
  <c r="E35" i="57"/>
  <c r="E37" i="57"/>
  <c r="L27" i="57"/>
  <c r="F24" i="57"/>
  <c r="F26" i="57"/>
  <c r="F30" i="57"/>
  <c r="F31" i="57"/>
  <c r="F35" i="57"/>
  <c r="F37" i="57"/>
  <c r="P5" i="57"/>
  <c r="D28" i="57"/>
  <c r="P20" i="58"/>
  <c r="O11" i="58"/>
  <c r="P22" i="58"/>
  <c r="M24" i="57"/>
  <c r="G27" i="57"/>
  <c r="I24" i="57"/>
  <c r="I26" i="57"/>
  <c r="I30" i="57"/>
  <c r="I31" i="57"/>
  <c r="I35" i="57"/>
  <c r="I37" i="57"/>
  <c r="P14" i="57"/>
  <c r="P10" i="57"/>
  <c r="L28" i="57"/>
  <c r="H27" i="57"/>
  <c r="J24" i="57"/>
  <c r="J26" i="57"/>
  <c r="J30" i="57"/>
  <c r="J31" i="57"/>
  <c r="J35" i="57"/>
  <c r="J37" i="57"/>
  <c r="P16" i="57"/>
  <c r="P7" i="57"/>
  <c r="D38" i="44"/>
  <c r="N29" i="58"/>
  <c r="N23" i="58"/>
  <c r="N26" i="58"/>
  <c r="N30" i="58"/>
  <c r="N31" i="58"/>
  <c r="N35" i="58"/>
  <c r="N37" i="58"/>
  <c r="O29" i="45"/>
  <c r="O30" i="45"/>
  <c r="E28" i="53"/>
  <c r="D41" i="53"/>
  <c r="D45" i="53"/>
  <c r="D46" i="53"/>
  <c r="C28" i="53"/>
  <c r="M28" i="53"/>
  <c r="M27" i="57"/>
  <c r="I27" i="57"/>
  <c r="E27" i="57"/>
  <c r="K24" i="57"/>
  <c r="K26" i="57"/>
  <c r="K30" i="57"/>
  <c r="K31" i="57"/>
  <c r="K35" i="57"/>
  <c r="K37" i="57"/>
  <c r="G24" i="57"/>
  <c r="G26" i="57"/>
  <c r="G30" i="57"/>
  <c r="G31" i="57"/>
  <c r="G35" i="57"/>
  <c r="G37" i="57"/>
  <c r="C24" i="57"/>
  <c r="C26" i="57"/>
  <c r="C30" i="57"/>
  <c r="C31" i="57"/>
  <c r="C35" i="57"/>
  <c r="C37" i="57"/>
  <c r="C38" i="57"/>
  <c r="C39" i="57"/>
  <c r="P13" i="57"/>
  <c r="P11" i="57"/>
  <c r="E36" i="44"/>
  <c r="D36" i="44"/>
  <c r="D41" i="44"/>
  <c r="D43" i="44"/>
  <c r="D46" i="44"/>
  <c r="J27" i="57"/>
  <c r="F27" i="57"/>
  <c r="L24" i="57"/>
  <c r="L26" i="57"/>
  <c r="L30" i="57"/>
  <c r="L31" i="57"/>
  <c r="L35" i="57"/>
  <c r="L37" i="57"/>
  <c r="H24" i="57"/>
  <c r="H26" i="57"/>
  <c r="H30" i="57"/>
  <c r="H31" i="57"/>
  <c r="H35" i="57"/>
  <c r="H37" i="57"/>
  <c r="D24" i="57"/>
  <c r="D26" i="57"/>
  <c r="D30" i="57"/>
  <c r="D31" i="57"/>
  <c r="D35" i="57"/>
  <c r="D37" i="57"/>
  <c r="P15" i="57"/>
  <c r="P8" i="57"/>
  <c r="J28" i="57"/>
  <c r="P6" i="57"/>
  <c r="P4" i="57"/>
  <c r="C41" i="57"/>
  <c r="C45" i="57"/>
  <c r="C46" i="57"/>
  <c r="D34" i="44"/>
  <c r="F28" i="57"/>
  <c r="H28" i="57"/>
  <c r="L29" i="60"/>
  <c r="L30" i="60"/>
  <c r="D56" i="60"/>
  <c r="F56" i="60"/>
  <c r="F55" i="45"/>
  <c r="F57" i="45"/>
  <c r="D63" i="45"/>
  <c r="D64" i="45"/>
  <c r="G28" i="57"/>
  <c r="N29" i="60"/>
  <c r="N30" i="60"/>
  <c r="D44" i="60"/>
  <c r="P23" i="58"/>
  <c r="P26" i="58"/>
  <c r="P30" i="58"/>
  <c r="P31" i="58"/>
  <c r="P35" i="58"/>
  <c r="P37" i="58"/>
  <c r="P29" i="58"/>
  <c r="R22" i="58"/>
  <c r="K28" i="57"/>
  <c r="C28" i="57"/>
  <c r="D57" i="60"/>
  <c r="M28" i="57"/>
  <c r="I28" i="57"/>
  <c r="E28" i="57"/>
  <c r="E8" i="27"/>
  <c r="F55" i="60"/>
  <c r="F57" i="60"/>
  <c r="D63" i="60"/>
  <c r="D64" i="60"/>
  <c r="F58" i="45"/>
  <c r="D60" i="45"/>
  <c r="E5" i="27"/>
  <c r="G14" i="27"/>
  <c r="H7" i="27"/>
  <c r="J14" i="27"/>
  <c r="F58" i="60"/>
  <c r="D60" i="60"/>
  <c r="E14" i="27"/>
  <c r="G13" i="27"/>
  <c r="H4" i="27"/>
  <c r="J13" i="27"/>
  <c r="H13" i="27"/>
  <c r="F13" i="27"/>
  <c r="I15" i="27"/>
  <c r="H14" i="27"/>
  <c r="F14" i="27"/>
  <c r="G15" i="27"/>
  <c r="G16" i="27"/>
  <c r="I16" i="27"/>
  <c r="E19" i="27"/>
  <c r="E20" i="27"/>
  <c r="E13" i="27"/>
  <c r="E15" i="27"/>
  <c r="E16" i="27"/>
</calcChain>
</file>

<file path=xl/comments1.xml><?xml version="1.0" encoding="utf-8"?>
<comments xmlns="http://schemas.openxmlformats.org/spreadsheetml/2006/main">
  <authors>
    <author>08084196</author>
    <author>08084667</author>
    <author>User</author>
  </authors>
  <commentList>
    <comment ref="B7" authorId="0">
      <text>
        <r>
          <rPr>
            <sz val="9"/>
            <rFont val="宋体"/>
            <family val="3"/>
            <charset val="134"/>
          </rPr>
          <t xml:space="preserve">08084196:
从C1405搬入。
）
</t>
        </r>
      </text>
    </comment>
    <comment ref="A15" authorId="1">
      <text>
        <r>
          <rPr>
            <sz val="9"/>
            <rFont val="宋体"/>
            <family val="3"/>
            <charset val="134"/>
          </rPr>
          <t xml:space="preserve">08084667:从C1302搬入
</t>
        </r>
      </text>
    </comment>
    <comment ref="U15" authorId="0">
      <text>
        <r>
          <rPr>
            <sz val="9"/>
            <rFont val="宋体"/>
            <family val="3"/>
            <charset val="134"/>
          </rPr>
          <t>08084196:
搬到C1302
房间从3.月5日</t>
        </r>
      </text>
    </comment>
    <comment ref="A46" authorId="0">
      <text>
        <r>
          <rPr>
            <sz val="9"/>
            <rFont val="宋体"/>
            <family val="3"/>
            <charset val="134"/>
          </rPr>
          <t>08084196:
从4月1日C1902搬入</t>
        </r>
      </text>
    </comment>
    <comment ref="A59" authorId="2">
      <text>
        <r>
          <rPr>
            <sz val="9"/>
            <rFont val="宋体"/>
            <family val="3"/>
            <charset val="134"/>
          </rPr>
          <t xml:space="preserve">User:
搬到D1101房间。
</t>
        </r>
      </text>
    </comment>
    <comment ref="A85" authorId="0">
      <text>
        <r>
          <rPr>
            <sz val="9"/>
            <rFont val="宋体"/>
            <family val="3"/>
            <charset val="134"/>
          </rPr>
          <t xml:space="preserve">08084196:
D704单元搬入。2009-12-17
</t>
        </r>
      </text>
    </comment>
    <comment ref="B93" authorId="0">
      <text>
        <r>
          <rPr>
            <sz val="9"/>
            <rFont val="宋体"/>
            <family val="3"/>
            <charset val="134"/>
          </rPr>
          <t xml:space="preserve">08084196:
</t>
        </r>
      </text>
    </comment>
  </commentList>
</comments>
</file>

<file path=xl/comments2.xml><?xml version="1.0" encoding="utf-8"?>
<comments xmlns="http://schemas.openxmlformats.org/spreadsheetml/2006/main">
  <authors>
    <author>08084196</author>
    <author>xxl</author>
  </authors>
  <commentList>
    <comment ref="Y12" authorId="0">
      <text>
        <r>
          <rPr>
            <sz val="9"/>
            <rFont val="宋体"/>
            <family val="3"/>
            <charset val="134"/>
          </rPr>
          <t>08084196:
免除押金</t>
        </r>
      </text>
    </comment>
    <comment ref="H15" authorId="1">
      <text>
        <r>
          <rPr>
            <sz val="9"/>
            <rFont val="宋体"/>
            <family val="3"/>
            <charset val="134"/>
          </rPr>
          <t>xxl:
read the remark
2002 ,1-6 us$40
2002, 7  us$60
2002, 8-12 us$100</t>
        </r>
      </text>
    </comment>
    <comment ref="I15" authorId="1">
      <text>
        <r>
          <rPr>
            <sz val="9"/>
            <rFont val="宋体"/>
            <family val="3"/>
            <charset val="134"/>
          </rPr>
          <t>xxl:
read the remark
2002 ,1-6 us$40
2002, 7  us$60
2002, 8-12 us$100</t>
        </r>
      </text>
    </comment>
    <comment ref="Y77" authorId="1">
      <text>
        <r>
          <rPr>
            <sz val="9"/>
            <rFont val="宋体"/>
            <family val="3"/>
            <charset val="134"/>
          </rPr>
          <t>xxl:
押金随租金变化而进行调整，合同规定
（128+48）*1375*2=484000，
（147.2+48）*1375*2=536800</t>
        </r>
      </text>
    </comment>
    <comment ref="AF77" authorId="1">
      <text>
        <r>
          <rPr>
            <sz val="9"/>
            <rFont val="宋体"/>
            <family val="3"/>
            <charset val="134"/>
          </rPr>
          <t>xxl:
押金不随租金变化而进行调整，合同规定</t>
        </r>
      </text>
    </comment>
    <comment ref="E79" authorId="0">
      <text>
        <r>
          <rPr>
            <sz val="9"/>
            <rFont val="宋体"/>
            <family val="3"/>
            <charset val="134"/>
          </rPr>
          <t xml:space="preserve">08084196:
</t>
        </r>
      </text>
    </comment>
    <comment ref="E102" authorId="0">
      <text>
        <r>
          <rPr>
            <sz val="9"/>
            <rFont val="宋体"/>
            <family val="3"/>
            <charset val="134"/>
          </rPr>
          <t xml:space="preserve">08084196:
</t>
        </r>
      </text>
    </comment>
  </commentList>
</comments>
</file>

<file path=xl/comments3.xml><?xml version="1.0" encoding="utf-8"?>
<comments xmlns="http://schemas.openxmlformats.org/spreadsheetml/2006/main">
  <authors>
    <author>User</author>
  </authors>
  <commentList>
    <comment ref="C14" authorId="0">
      <text>
        <r>
          <rPr>
            <sz val="9"/>
            <rFont val="宋体"/>
            <family val="3"/>
            <charset val="134"/>
          </rPr>
          <t>User:
8月调整，陈工图纸及邮件20120830</t>
        </r>
      </text>
    </comment>
    <comment ref="C19" authorId="0">
      <text>
        <r>
          <rPr>
            <sz val="9"/>
            <rFont val="宋体"/>
            <family val="3"/>
            <charset val="134"/>
          </rPr>
          <t>User:
8月调整，陈工图纸及邮件20120830</t>
        </r>
      </text>
    </comment>
  </commentList>
</comments>
</file>

<file path=xl/comments4.xml><?xml version="1.0" encoding="utf-8"?>
<comments xmlns="http://schemas.openxmlformats.org/spreadsheetml/2006/main">
  <authors>
    <author>韩烨</author>
  </authors>
  <commentList>
    <comment ref="L9" authorId="0">
      <text>
        <r>
          <rPr>
            <sz val="9"/>
            <rFont val="宋体"/>
            <family val="3"/>
            <charset val="134"/>
          </rPr>
          <t>韩烨:
办公租金水平比同期租约水平高？且比商业高？</t>
        </r>
      </text>
    </comment>
  </commentList>
</comments>
</file>

<file path=xl/comments5.xml><?xml version="1.0" encoding="utf-8"?>
<comments xmlns="http://schemas.openxmlformats.org/spreadsheetml/2006/main">
  <authors>
    <author>韩烨</author>
  </authors>
  <commentList>
    <comment ref="E5" authorId="0">
      <text>
        <r>
          <rPr>
            <sz val="9"/>
            <rFont val="宋体"/>
            <family val="3"/>
            <charset val="134"/>
          </rPr>
          <t>韩烨:
地下室非车库？</t>
        </r>
      </text>
    </comment>
    <comment ref="G23" authorId="0">
      <text>
        <r>
          <rPr>
            <sz val="9"/>
            <rFont val="宋体"/>
            <family val="3"/>
            <charset val="134"/>
          </rPr>
          <t>韩烨:
不是联通结构？</t>
        </r>
      </text>
    </comment>
  </commentList>
</comments>
</file>

<file path=xl/comments6.xml><?xml version="1.0" encoding="utf-8"?>
<comments xmlns="http://schemas.openxmlformats.org/spreadsheetml/2006/main">
  <authors>
    <author>作者</author>
  </authors>
  <commentList>
    <comment ref="H36" authorId="0">
      <text>
        <r>
          <rPr>
            <sz val="9"/>
            <rFont val="宋体"/>
            <family val="3"/>
            <charset val="134"/>
          </rPr>
          <t xml:space="preserve">崔锴:正常缴税计算时，不能提供已支付的地价款凭据的，不允许扣除取得土地使用权所支付的金额。
</t>
        </r>
      </text>
    </comment>
    <comment ref="H41" authorId="0">
      <text>
        <r>
          <rPr>
            <sz val="9"/>
            <rFont val="宋体"/>
            <family val="3"/>
            <charset val="134"/>
          </rPr>
          <t>两税一费</t>
        </r>
      </text>
    </comment>
    <comment ref="I41" authorId="0">
      <text>
        <r>
          <rPr>
            <sz val="9"/>
            <rFont val="宋体"/>
            <family val="3"/>
            <charset val="134"/>
          </rPr>
          <t xml:space="preserve">印花税
</t>
        </r>
      </text>
    </comment>
  </commentList>
</comments>
</file>

<file path=xl/sharedStrings.xml><?xml version="1.0" encoding="utf-8"?>
<sst xmlns="http://schemas.openxmlformats.org/spreadsheetml/2006/main" count="2867" uniqueCount="1091">
  <si>
    <t>国有土地使用证</t>
  </si>
  <si>
    <t>证号</t>
  </si>
  <si>
    <t>京朝国用（2009出）第0570号</t>
  </si>
  <si>
    <t>京朝国用（2009出）第0571号</t>
  </si>
  <si>
    <t>京朝国用（2009出）第0599号</t>
  </si>
  <si>
    <t>土地使用权人</t>
  </si>
  <si>
    <t>北京京威房地产开发有限公司</t>
  </si>
  <si>
    <t>坐落</t>
  </si>
  <si>
    <t>朝阳区工人体育场北路甲2号（西部）</t>
  </si>
  <si>
    <t>朝阳区工人体育场北路甲2号（东部）</t>
  </si>
  <si>
    <t>地号</t>
  </si>
  <si>
    <t>未标注</t>
  </si>
  <si>
    <t>图号</t>
  </si>
  <si>
    <t>I-2-2-[4][9]</t>
  </si>
  <si>
    <t>地类（用途）</t>
  </si>
  <si>
    <t>商业、住宅、办公</t>
  </si>
  <si>
    <t>商业、办公</t>
  </si>
  <si>
    <t>使用权类型</t>
  </si>
  <si>
    <t>出让</t>
  </si>
  <si>
    <t>终止日期</t>
  </si>
  <si>
    <t>商业2034.1.3，办公2044.1.3，住宅2064.1.3</t>
  </si>
  <si>
    <t>商业2034.1.3，办公2044.1.3</t>
  </si>
  <si>
    <t>2048.6.15</t>
  </si>
  <si>
    <t>使用权面积</t>
  </si>
  <si>
    <t>各地块间关系</t>
  </si>
  <si>
    <t>房屋所有权证</t>
  </si>
  <si>
    <r>
      <t>京房权证朝其1</t>
    </r>
    <r>
      <rPr>
        <sz val="12"/>
        <color indexed="8"/>
        <rFont val="宋体"/>
        <family val="3"/>
        <charset val="134"/>
      </rPr>
      <t>0字第003015号</t>
    </r>
  </si>
  <si>
    <r>
      <t>X京房权证朝字第</t>
    </r>
    <r>
      <rPr>
        <sz val="12"/>
        <color indexed="8"/>
        <rFont val="宋体"/>
        <family val="3"/>
        <charset val="134"/>
      </rPr>
      <t>804988号</t>
    </r>
  </si>
  <si>
    <r>
      <t>X京房权证朝字第</t>
    </r>
    <r>
      <rPr>
        <sz val="12"/>
        <color indexed="8"/>
        <rFont val="宋体"/>
        <family val="3"/>
        <charset val="134"/>
      </rPr>
      <t>804977号</t>
    </r>
  </si>
  <si>
    <t>房屋所有权人</t>
  </si>
  <si>
    <t>共有情况</t>
  </si>
  <si>
    <t>单独所有</t>
  </si>
  <si>
    <t>房屋坐落</t>
  </si>
  <si>
    <t>朝阳区工人体育场北路甲2号</t>
  </si>
  <si>
    <t>朝阳区工人体育场北路甲2号停车楼</t>
  </si>
  <si>
    <t>登记时间</t>
  </si>
  <si>
    <t>房屋性质</t>
  </si>
  <si>
    <t>商品房</t>
  </si>
  <si>
    <t>规划用途</t>
  </si>
  <si>
    <t>办公、住宅、地下车库</t>
  </si>
  <si>
    <t>停车楼</t>
  </si>
  <si>
    <t>建筑面积</t>
  </si>
  <si>
    <t>具体房号部位</t>
  </si>
  <si>
    <t>A,C,D栋</t>
  </si>
  <si>
    <t>B栋及裙房</t>
  </si>
  <si>
    <t>有无不可分摊面积</t>
  </si>
  <si>
    <t>出让合同</t>
  </si>
  <si>
    <t>补充协议（建筑规模变化）</t>
  </si>
  <si>
    <t>规划总建筑面积</t>
  </si>
  <si>
    <t>原出让面积</t>
  </si>
  <si>
    <t>出让规划总建筑面积</t>
  </si>
  <si>
    <t>调整后</t>
  </si>
  <si>
    <t>出让年限</t>
  </si>
  <si>
    <t>新增政府土地收益</t>
  </si>
  <si>
    <t>地价款</t>
  </si>
  <si>
    <t>面积变化明细</t>
  </si>
  <si>
    <t>其中：政府收益</t>
  </si>
  <si>
    <t>土地开发补偿费</t>
  </si>
  <si>
    <t>其他特殊约定</t>
  </si>
  <si>
    <t>各部分文件取得情况（需填入证号）</t>
  </si>
  <si>
    <t>建设内容/楼号</t>
  </si>
  <si>
    <t>国土证</t>
  </si>
  <si>
    <t>工程规划</t>
  </si>
  <si>
    <t>施工证</t>
  </si>
  <si>
    <t>预售证</t>
  </si>
  <si>
    <t>竣工备案</t>
  </si>
  <si>
    <t>测绘报告</t>
  </si>
  <si>
    <t>房产证</t>
  </si>
  <si>
    <t>现状（现房/在建/土地）</t>
  </si>
  <si>
    <t>序号</t>
  </si>
  <si>
    <t>用途</t>
  </si>
  <si>
    <t>分摊土地面积</t>
  </si>
  <si>
    <t>地下车库</t>
  </si>
  <si>
    <t>办公</t>
  </si>
  <si>
    <t>容积率</t>
  </si>
  <si>
    <t>权重确定打分评价体系</t>
  </si>
  <si>
    <t>估价结果</t>
  </si>
  <si>
    <t>评价因素</t>
  </si>
  <si>
    <t>标准分值</t>
  </si>
  <si>
    <t>打分考虑因素</t>
  </si>
  <si>
    <t>估价对象1</t>
  </si>
  <si>
    <t>方法</t>
  </si>
  <si>
    <t>总额</t>
  </si>
  <si>
    <t>楼面单价</t>
  </si>
  <si>
    <t>权重</t>
  </si>
  <si>
    <t>总价</t>
  </si>
  <si>
    <t>比较</t>
  </si>
  <si>
    <t>收益</t>
  </si>
  <si>
    <t>市场比较法</t>
  </si>
  <si>
    <t>估价方法的代表性</t>
  </si>
  <si>
    <t>1、估价方法选取分析充分、合理，不采用的估价方法理由真实、可信，取25分；</t>
  </si>
  <si>
    <t>收益法</t>
  </si>
  <si>
    <t>2、估价方法选取分析较合理，不采用的估价方法理由不充分，取20分；</t>
  </si>
  <si>
    <t>车库</t>
  </si>
  <si>
    <t>3、估价方法选取分析无依据及理由，取10分；</t>
  </si>
  <si>
    <t>4、选择了不适宜或限制使用的方法，取5分</t>
  </si>
  <si>
    <t>估价方法所要求的估价资料的完整性</t>
  </si>
  <si>
    <t>1、估价资料完整，来源依据充分，取15分；</t>
  </si>
  <si>
    <t>2、估价资料有欠缺，来源依据不充分，取10分；</t>
  </si>
  <si>
    <t>估价结果一览表</t>
  </si>
  <si>
    <t>3、估价资料不全，难以有效支持估价过程，取5分</t>
  </si>
  <si>
    <t>抵押物名称</t>
  </si>
  <si>
    <t>出让国有建设用地使用权价值</t>
  </si>
  <si>
    <t>建筑物价值</t>
  </si>
  <si>
    <t>房地产价值</t>
  </si>
  <si>
    <t>参数选取的客观性</t>
  </si>
  <si>
    <t>1、参数从市场上获取，或从权威机构发布的信息上获取，取15分；</t>
  </si>
  <si>
    <t>总 价</t>
  </si>
  <si>
    <t>2、参数自行分析取得，理由较充分，取10分；</t>
  </si>
  <si>
    <t>3、参数获取理由无分析，取5分</t>
  </si>
  <si>
    <t>参数确定的时效性</t>
  </si>
  <si>
    <t>1、参数在规定的时效范围内，且距价值时点未超过1年，取15分；</t>
  </si>
  <si>
    <t>合计</t>
  </si>
  <si>
    <t>2、参数在规定的时效范围内，但距价值时点超过1年，取10分；</t>
  </si>
  <si>
    <t>大写金额</t>
  </si>
  <si>
    <t>3、参数超过规定的时效范围，取5分</t>
  </si>
  <si>
    <t>房地产估价师知悉的法定优先受偿款</t>
  </si>
  <si>
    <t>估价结果的现势性</t>
  </si>
  <si>
    <t>1、估价结果与同类用途房地产市场价格水平一致，且考虑了房地产市场发展趋势，取20分；</t>
  </si>
  <si>
    <t>2、估价结果与同类用途房地产价格水平基本一致，且适当考虑了房地产市场发展趋势，取15分；</t>
  </si>
  <si>
    <t>房地产抵押价值</t>
  </si>
  <si>
    <t>3、估价结果与同类用途房地产价格水平有一定差距，未考虑房地产市场发展趋势，取10分；</t>
  </si>
  <si>
    <t>4、估价结果与同类用途房地产价格水平不符，取5分</t>
  </si>
  <si>
    <t>分值</t>
  </si>
  <si>
    <t>项目</t>
  </si>
  <si>
    <t>说明</t>
  </si>
  <si>
    <t>抵押权</t>
  </si>
  <si>
    <t>地价款及契税</t>
  </si>
  <si>
    <t>规划调整新增政府土地收益</t>
  </si>
  <si>
    <t>应付未付工程款</t>
  </si>
  <si>
    <t>日租金</t>
  </si>
  <si>
    <t>Tenant</t>
  </si>
  <si>
    <t>Units</t>
  </si>
  <si>
    <r>
      <t>GFA (occupied)</t>
    </r>
    <r>
      <rPr>
        <b/>
        <sz val="10"/>
        <rFont val="宋体"/>
        <family val="3"/>
        <charset val="134"/>
      </rPr>
      <t>建筑面积（使用中）</t>
    </r>
  </si>
  <si>
    <r>
      <t>Face Rent per GFA</t>
    </r>
    <r>
      <rPr>
        <b/>
        <sz val="10"/>
        <rFont val="宋体"/>
        <family val="3"/>
        <charset val="134"/>
      </rPr>
      <t>每建筑面积的租金</t>
    </r>
  </si>
  <si>
    <r>
      <t>Face Rent per GFA</t>
    </r>
    <r>
      <rPr>
        <b/>
        <sz val="10"/>
        <rFont val="宋体"/>
        <family val="3"/>
        <charset val="134"/>
      </rPr>
      <t>单位建筑面积的租金</t>
    </r>
  </si>
  <si>
    <r>
      <t>Effective Rent per GFA</t>
    </r>
    <r>
      <rPr>
        <b/>
        <sz val="10"/>
        <rFont val="宋体"/>
        <family val="3"/>
        <charset val="134"/>
      </rPr>
      <t>单位建筑面积的有效租金</t>
    </r>
  </si>
  <si>
    <r>
      <t>Mgt per GFA</t>
    </r>
    <r>
      <rPr>
        <b/>
        <sz val="10"/>
        <rFont val="宋体"/>
        <family val="3"/>
        <charset val="134"/>
      </rPr>
      <t>单位建筑面积的物管费</t>
    </r>
  </si>
  <si>
    <r>
      <t xml:space="preserve">Monthly Face Rent </t>
    </r>
    <r>
      <rPr>
        <b/>
        <sz val="10"/>
        <rFont val="宋体"/>
        <family val="3"/>
        <charset val="134"/>
      </rPr>
      <t>月租金</t>
    </r>
  </si>
  <si>
    <r>
      <t>Monthly Face Rent</t>
    </r>
    <r>
      <rPr>
        <b/>
        <sz val="10"/>
        <rFont val="宋体"/>
        <family val="3"/>
        <charset val="134"/>
      </rPr>
      <t>月租金</t>
    </r>
  </si>
  <si>
    <r>
      <t>Monthly Effective Rent</t>
    </r>
    <r>
      <rPr>
        <b/>
        <sz val="10"/>
        <rFont val="宋体"/>
        <family val="3"/>
        <charset val="134"/>
      </rPr>
      <t>月有效租金</t>
    </r>
  </si>
  <si>
    <t>Monthly Mgt fee</t>
  </si>
  <si>
    <r>
      <t>Contract Amount</t>
    </r>
    <r>
      <rPr>
        <b/>
        <sz val="10"/>
        <rFont val="宋体"/>
        <family val="3"/>
        <charset val="134"/>
      </rPr>
      <t>合同金额</t>
    </r>
  </si>
  <si>
    <r>
      <t>Monthly Mgt fee</t>
    </r>
    <r>
      <rPr>
        <b/>
        <sz val="10"/>
        <rFont val="宋体"/>
        <family val="3"/>
        <charset val="134"/>
      </rPr>
      <t>月物管费</t>
    </r>
  </si>
  <si>
    <t>Contract Amount
USD</t>
  </si>
  <si>
    <t>Type</t>
  </si>
  <si>
    <r>
      <t>Term</t>
    </r>
    <r>
      <rPr>
        <b/>
        <sz val="10"/>
        <rFont val="宋体"/>
        <family val="3"/>
        <charset val="134"/>
      </rPr>
      <t>周期</t>
    </r>
  </si>
  <si>
    <r>
      <t>Rent Period</t>
    </r>
    <r>
      <rPr>
        <b/>
        <sz val="10"/>
        <rFont val="宋体"/>
        <family val="3"/>
        <charset val="134"/>
      </rPr>
      <t>租期</t>
    </r>
  </si>
  <si>
    <t>承租人</t>
  </si>
  <si>
    <t>单位</t>
  </si>
  <si>
    <t>单位租金</t>
  </si>
  <si>
    <r>
      <t>Months</t>
    </r>
    <r>
      <rPr>
        <b/>
        <sz val="10"/>
        <rFont val="宋体"/>
        <family val="3"/>
        <charset val="134"/>
      </rPr>
      <t>月</t>
    </r>
  </si>
  <si>
    <t>from</t>
  </si>
  <si>
    <t xml:space="preserve">to </t>
  </si>
  <si>
    <t>SQM</t>
  </si>
  <si>
    <t>USD</t>
  </si>
  <si>
    <t>RMB</t>
  </si>
  <si>
    <t>TOYOTA</t>
  </si>
  <si>
    <t>Renew</t>
  </si>
  <si>
    <t>爱导</t>
  </si>
  <si>
    <t>箱崎大先生</t>
  </si>
  <si>
    <t>上海艾杰飞人力资源</t>
  </si>
  <si>
    <t>北京索爱普天移动通信有限公司</t>
  </si>
  <si>
    <t>12</t>
  </si>
  <si>
    <t>菱重环环境技术服务北京有限公司</t>
  </si>
  <si>
    <t>丰田</t>
  </si>
  <si>
    <r>
      <rPr>
        <sz val="10"/>
        <rFont val="宋体"/>
        <family val="3"/>
        <charset val="134"/>
      </rPr>
      <t>三菱东京日联银行（中国）有限公司北京分行</t>
    </r>
  </si>
  <si>
    <t>New</t>
  </si>
  <si>
    <r>
      <rPr>
        <sz val="10"/>
        <rFont val="宋体"/>
        <family val="3"/>
        <charset val="134"/>
      </rPr>
      <t>三井物产中国有限公司</t>
    </r>
  </si>
  <si>
    <t>美达王</t>
  </si>
  <si>
    <r>
      <rPr>
        <sz val="10"/>
        <rFont val="宋体"/>
        <family val="3"/>
        <charset val="134"/>
      </rPr>
      <t>索尼移动通信产品中国有限公司</t>
    </r>
  </si>
  <si>
    <r>
      <rPr>
        <sz val="10"/>
        <rFont val="宋体"/>
        <family val="3"/>
        <charset val="134"/>
      </rPr>
      <t>野村综研（北京）系统集成有限公司</t>
    </r>
  </si>
  <si>
    <r>
      <rPr>
        <sz val="10"/>
        <rFont val="宋体"/>
        <family val="3"/>
        <charset val="134"/>
      </rPr>
      <t>第一三共制药</t>
    </r>
  </si>
  <si>
    <r>
      <t>TOYOTA</t>
    </r>
    <r>
      <rPr>
        <sz val="10"/>
        <rFont val="宋体"/>
        <family val="3"/>
        <charset val="134"/>
      </rPr>
      <t>丰田</t>
    </r>
  </si>
  <si>
    <t>大卫·赫尔姆斯布拉德利</t>
  </si>
  <si>
    <r>
      <rPr>
        <sz val="10"/>
        <rFont val="宋体"/>
        <family val="3"/>
        <charset val="134"/>
      </rPr>
      <t>山田</t>
    </r>
    <r>
      <rPr>
        <sz val="10"/>
        <rFont val="Arial"/>
        <family val="2"/>
      </rPr>
      <t xml:space="preserve"> </t>
    </r>
    <r>
      <rPr>
        <sz val="10"/>
        <rFont val="宋体"/>
        <family val="3"/>
        <charset val="134"/>
      </rPr>
      <t>佑先生</t>
    </r>
  </si>
  <si>
    <r>
      <rPr>
        <sz val="10"/>
        <rFont val="宋体"/>
        <family val="3"/>
        <charset val="134"/>
      </rPr>
      <t>恩梯梯通信系统中国有限公司背景分公司</t>
    </r>
  </si>
  <si>
    <r>
      <rPr>
        <sz val="10"/>
        <rFont val="宋体"/>
        <family val="3"/>
        <charset val="134"/>
      </rPr>
      <t>水翼中国环境工程有限公司</t>
    </r>
  </si>
  <si>
    <t>佳能</t>
  </si>
  <si>
    <r>
      <rPr>
        <sz val="10"/>
        <rFont val="宋体"/>
        <family val="3"/>
        <charset val="134"/>
      </rPr>
      <t>佳能</t>
    </r>
  </si>
  <si>
    <t>奥林巴斯中国有限公司</t>
  </si>
  <si>
    <t>三菱东京日联银行（中国）有限公司北京分行</t>
  </si>
  <si>
    <t>永井嘉和先生（JICA)</t>
  </si>
  <si>
    <t>日本住友生命保险公司北京代表处</t>
  </si>
  <si>
    <r>
      <rPr>
        <sz val="10"/>
        <rFont val="宋体"/>
        <family val="3"/>
        <charset val="134"/>
      </rPr>
      <t>荻原</t>
    </r>
    <r>
      <rPr>
        <sz val="10"/>
        <rFont val="Arial"/>
        <family val="2"/>
      </rPr>
      <t xml:space="preserve"> </t>
    </r>
    <r>
      <rPr>
        <sz val="10"/>
        <rFont val="宋体"/>
        <family val="3"/>
        <charset val="134"/>
      </rPr>
      <t>直先生</t>
    </r>
  </si>
  <si>
    <t>联合航空</t>
  </si>
  <si>
    <t>24</t>
  </si>
  <si>
    <r>
      <t>UnitedAirlines</t>
    </r>
    <r>
      <rPr>
        <sz val="10"/>
        <rFont val="宋体"/>
        <family val="3"/>
        <charset val="134"/>
      </rPr>
      <t>联合航空公司</t>
    </r>
  </si>
  <si>
    <r>
      <rPr>
        <sz val="10"/>
        <rFont val="宋体"/>
        <family val="3"/>
        <charset val="134"/>
      </rPr>
      <t>野口</t>
    </r>
    <r>
      <rPr>
        <sz val="10"/>
        <rFont val="Arial"/>
        <family val="2"/>
      </rPr>
      <t xml:space="preserve"> </t>
    </r>
    <r>
      <rPr>
        <sz val="10"/>
        <rFont val="宋体"/>
        <family val="3"/>
        <charset val="134"/>
      </rPr>
      <t>阳介先生</t>
    </r>
  </si>
  <si>
    <r>
      <t>Mr.Luke M.Peereboom</t>
    </r>
    <r>
      <rPr>
        <sz val="10"/>
        <rFont val="宋体"/>
        <family val="3"/>
        <charset val="134"/>
      </rPr>
      <t>卢克先生</t>
    </r>
  </si>
  <si>
    <t>捷帕瓦电源</t>
  </si>
  <si>
    <t>日产中国</t>
  </si>
  <si>
    <r>
      <rPr>
        <sz val="10"/>
        <rFont val="宋体"/>
        <family val="3"/>
        <charset val="134"/>
      </rPr>
      <t>伊拉克大使馆</t>
    </r>
  </si>
  <si>
    <t>2204&amp;05</t>
  </si>
  <si>
    <r>
      <rPr>
        <sz val="10"/>
        <rFont val="宋体"/>
        <family val="3"/>
        <charset val="134"/>
      </rPr>
      <t>三菱商事（中国）商业有限公司</t>
    </r>
  </si>
  <si>
    <t>株式会社 电通</t>
  </si>
  <si>
    <r>
      <rPr>
        <sz val="10"/>
        <rFont val="宋体"/>
        <family val="3"/>
        <charset val="134"/>
      </rPr>
      <t>高柳</t>
    </r>
    <r>
      <rPr>
        <sz val="10"/>
        <rFont val="Arial"/>
        <family val="2"/>
      </rPr>
      <t xml:space="preserve"> </t>
    </r>
    <r>
      <rPr>
        <sz val="10"/>
        <rFont val="宋体"/>
        <family val="3"/>
        <charset val="134"/>
      </rPr>
      <t>允人先生</t>
    </r>
  </si>
  <si>
    <t>日本财产保险</t>
  </si>
  <si>
    <t>伊拉克大使馆</t>
  </si>
  <si>
    <t>BEIJING HUAWEN-ASATSU INTERNATIONAL ADVERSTING CO.,LTD</t>
  </si>
  <si>
    <r>
      <rPr>
        <sz val="10"/>
        <rFont val="宋体"/>
        <family val="3"/>
        <charset val="134"/>
      </rPr>
      <t>日联汽车</t>
    </r>
  </si>
  <si>
    <t>三井不动产</t>
  </si>
  <si>
    <r>
      <rPr>
        <sz val="10"/>
        <rFont val="宋体"/>
        <family val="3"/>
        <charset val="134"/>
      </rPr>
      <t>久益环球中国投资有限公司</t>
    </r>
    <r>
      <rPr>
        <sz val="10"/>
        <rFont val="Arial"/>
        <family val="2"/>
      </rPr>
      <t xml:space="preserve"> Joy Global (china) investment Co., Ltd</t>
    </r>
  </si>
  <si>
    <t>白石优香女士</t>
  </si>
  <si>
    <r>
      <rPr>
        <sz val="10"/>
        <rFont val="宋体"/>
        <family val="3"/>
        <charset val="134"/>
      </rPr>
      <t>日立</t>
    </r>
    <r>
      <rPr>
        <sz val="10"/>
        <rFont val="Arial"/>
        <family val="2"/>
      </rPr>
      <t>(</t>
    </r>
    <r>
      <rPr>
        <sz val="10"/>
        <rFont val="宋体"/>
        <family val="3"/>
        <charset val="134"/>
      </rPr>
      <t>中国</t>
    </r>
    <r>
      <rPr>
        <sz val="10"/>
        <rFont val="Arial"/>
        <family val="2"/>
      </rPr>
      <t>)</t>
    </r>
    <r>
      <rPr>
        <sz val="10"/>
        <rFont val="宋体"/>
        <family val="3"/>
        <charset val="134"/>
      </rPr>
      <t>有限公司</t>
    </r>
  </si>
  <si>
    <r>
      <rPr>
        <sz val="10"/>
        <rFont val="宋体"/>
        <family val="3"/>
        <charset val="134"/>
      </rPr>
      <t>三井物产株式会社</t>
    </r>
    <r>
      <rPr>
        <sz val="10"/>
        <rFont val="Arial"/>
        <family val="2"/>
      </rPr>
      <t xml:space="preserve"> </t>
    </r>
  </si>
  <si>
    <r>
      <t>TOYOTA (</t>
    </r>
    <r>
      <rPr>
        <sz val="10"/>
        <rFont val="宋体"/>
        <family val="3"/>
        <charset val="134"/>
      </rPr>
      <t>丰田通商）</t>
    </r>
  </si>
  <si>
    <r>
      <rPr>
        <sz val="10"/>
        <rFont val="宋体"/>
        <family val="3"/>
        <charset val="134"/>
      </rPr>
      <t>丸红（北京）商业贸易有限公司</t>
    </r>
  </si>
  <si>
    <r>
      <rPr>
        <sz val="10"/>
        <rFont val="宋体"/>
        <family val="3"/>
        <charset val="134"/>
      </rPr>
      <t>索尼移动通信产品（中国）有限公司</t>
    </r>
  </si>
  <si>
    <r>
      <rPr>
        <sz val="10"/>
        <rFont val="宋体"/>
        <family val="3"/>
        <charset val="134"/>
      </rPr>
      <t>伊藤忠中国集团有限公司</t>
    </r>
  </si>
  <si>
    <t>美达王（北京）商业有限公司</t>
  </si>
  <si>
    <r>
      <rPr>
        <sz val="10"/>
        <rFont val="宋体"/>
        <family val="3"/>
        <charset val="134"/>
      </rPr>
      <t>嘉康利（中国）日用品有限公司</t>
    </r>
  </si>
  <si>
    <r>
      <rPr>
        <sz val="10"/>
        <rFont val="宋体"/>
        <family val="3"/>
        <charset val="134"/>
      </rPr>
      <t>美国电缆有限公司北京代表处</t>
    </r>
  </si>
  <si>
    <t>三菱商事</t>
  </si>
  <si>
    <r>
      <rPr>
        <sz val="10"/>
        <rFont val="宋体"/>
        <family val="3"/>
        <charset val="134"/>
      </rPr>
      <t>双日（中国）有限公司</t>
    </r>
  </si>
  <si>
    <r>
      <rPr>
        <sz val="10"/>
        <rFont val="宋体"/>
        <family val="3"/>
        <charset val="134"/>
      </rPr>
      <t>日本全药工业株式会社北京代表处</t>
    </r>
  </si>
  <si>
    <r>
      <rPr>
        <sz val="10"/>
        <rFont val="宋体"/>
        <family val="3"/>
        <charset val="134"/>
      </rPr>
      <t>日本株式会社三键北京代表处。</t>
    </r>
  </si>
  <si>
    <r>
      <rPr>
        <sz val="10"/>
        <rFont val="宋体"/>
        <family val="3"/>
        <charset val="134"/>
      </rPr>
      <t>高桥</t>
    </r>
    <r>
      <rPr>
        <sz val="10"/>
        <rFont val="Arial"/>
        <family val="2"/>
      </rPr>
      <t xml:space="preserve"> </t>
    </r>
    <r>
      <rPr>
        <sz val="10"/>
        <rFont val="宋体"/>
        <family val="3"/>
        <charset val="134"/>
      </rPr>
      <t>俊裕先生</t>
    </r>
  </si>
  <si>
    <r>
      <rPr>
        <sz val="10"/>
        <rFont val="宋体"/>
        <family val="3"/>
        <charset val="134"/>
      </rPr>
      <t>台湾恩益禧股份有限公司</t>
    </r>
  </si>
  <si>
    <t>日本兴亚损害保险公司驻中国总代表处‘</t>
  </si>
  <si>
    <t>索尼爱立信</t>
  </si>
  <si>
    <r>
      <rPr>
        <sz val="10"/>
        <rFont val="宋体"/>
        <family val="3"/>
        <charset val="134"/>
      </rPr>
      <t>索尼中国有限公司</t>
    </r>
  </si>
  <si>
    <t>出光能源</t>
  </si>
  <si>
    <t>Andew N Wilt</t>
  </si>
  <si>
    <r>
      <rPr>
        <sz val="10"/>
        <rFont val="宋体"/>
        <family val="3"/>
        <charset val="134"/>
      </rPr>
      <t>大鹏药品信息咨询（北京</t>
    </r>
    <r>
      <rPr>
        <sz val="10"/>
        <rFont val="Arial"/>
        <family val="2"/>
      </rPr>
      <t>)</t>
    </r>
    <r>
      <rPr>
        <sz val="10"/>
        <rFont val="宋体"/>
        <family val="3"/>
        <charset val="134"/>
      </rPr>
      <t>有限公司</t>
    </r>
  </si>
  <si>
    <r>
      <t>Gabrielle Sanders</t>
    </r>
    <r>
      <rPr>
        <sz val="10"/>
        <rFont val="宋体"/>
        <family val="3"/>
        <charset val="134"/>
      </rPr>
      <t>希伯来桑德斯</t>
    </r>
  </si>
  <si>
    <t>IHICoproration（石川岛）</t>
  </si>
  <si>
    <t>野村综研北京系统集成有限公司</t>
  </si>
  <si>
    <r>
      <rPr>
        <sz val="10"/>
        <rFont val="宋体"/>
        <family val="3"/>
        <charset val="134"/>
      </rPr>
      <t>本田技研工业中国投资有限公司</t>
    </r>
  </si>
  <si>
    <r>
      <t>Smucker</t>
    </r>
    <r>
      <rPr>
        <sz val="10"/>
        <rFont val="宋体"/>
        <family val="3"/>
        <charset val="134"/>
      </rPr>
      <t>国际有限公司</t>
    </r>
  </si>
  <si>
    <r>
      <t>TOYOTA(</t>
    </r>
    <r>
      <rPr>
        <sz val="10"/>
        <rFont val="宋体"/>
        <family val="3"/>
        <charset val="134"/>
      </rPr>
      <t>丰田研发）</t>
    </r>
  </si>
  <si>
    <r>
      <rPr>
        <sz val="10"/>
        <rFont val="宋体"/>
        <family val="3"/>
        <charset val="134"/>
      </rPr>
      <t>太古地产中国投资有限公司</t>
    </r>
  </si>
  <si>
    <t>立邦</t>
  </si>
  <si>
    <t>野村综研</t>
  </si>
  <si>
    <r>
      <rPr>
        <sz val="10"/>
        <rFont val="宋体"/>
        <family val="3"/>
        <charset val="134"/>
      </rPr>
      <t>北京伊藤忠华糖综合加工有限公司</t>
    </r>
  </si>
  <si>
    <r>
      <t>John Birtles</t>
    </r>
    <r>
      <rPr>
        <sz val="10"/>
        <rFont val="宋体"/>
        <family val="3"/>
        <charset val="134"/>
      </rPr>
      <t>约翰先生</t>
    </r>
  </si>
  <si>
    <t>TOTALTOWERD</t>
  </si>
  <si>
    <t>市场比较法（住宅）</t>
  </si>
  <si>
    <t>表1：比较因素条件指数表</t>
  </si>
  <si>
    <t>表2：因素比较修正系数表</t>
  </si>
  <si>
    <t>因素比较修正系数表</t>
  </si>
  <si>
    <t>比较因素</t>
  </si>
  <si>
    <t>估价对象</t>
  </si>
  <si>
    <t>案例A</t>
  </si>
  <si>
    <t>案例B</t>
  </si>
  <si>
    <t>案例C</t>
  </si>
  <si>
    <t>盈科中心</t>
  </si>
  <si>
    <t>永利国际公寓</t>
  </si>
  <si>
    <t>富力爱丁堡</t>
  </si>
  <si>
    <t>瑞安·君汇</t>
  </si>
  <si>
    <t>交易时间</t>
  </si>
  <si>
    <t>2013.11</t>
  </si>
  <si>
    <t>100/</t>
  </si>
  <si>
    <t>交易情况</t>
  </si>
  <si>
    <t>正常</t>
  </si>
  <si>
    <t>权益状况</t>
  </si>
  <si>
    <t>土地用途</t>
  </si>
  <si>
    <t>住宅</t>
  </si>
  <si>
    <t>土地使用年限</t>
  </si>
  <si>
    <t>50-60年</t>
  </si>
  <si>
    <t>60-70年</t>
  </si>
  <si>
    <t>区位状况</t>
  </si>
  <si>
    <t>土地级别</t>
  </si>
  <si>
    <t>居住类二级</t>
  </si>
  <si>
    <t>居住社区成熟度</t>
  </si>
  <si>
    <t>较好</t>
  </si>
  <si>
    <t>交通便捷度</t>
  </si>
  <si>
    <t>临路状况</t>
  </si>
  <si>
    <t>主干道—工体北路</t>
  </si>
  <si>
    <t>快速路—东三环</t>
  </si>
  <si>
    <t>自然及人文环境</t>
  </si>
  <si>
    <t>基础设施情况及公共服务设施状况</t>
  </si>
  <si>
    <t>实物状况</t>
  </si>
  <si>
    <t>建筑物结构</t>
  </si>
  <si>
    <t>钢混</t>
  </si>
  <si>
    <t>建筑类型</t>
  </si>
  <si>
    <t>塔楼</t>
  </si>
  <si>
    <t>板塔结合</t>
  </si>
  <si>
    <t>高层板楼</t>
  </si>
  <si>
    <t>建成年代</t>
  </si>
  <si>
    <t>套均面积</t>
  </si>
  <si>
    <t>——</t>
  </si>
  <si>
    <t>公共部分装修</t>
  </si>
  <si>
    <t>精装</t>
  </si>
  <si>
    <t>室内装修</t>
  </si>
  <si>
    <t>物业服务条件</t>
  </si>
  <si>
    <t>销售均价（元/平方米）</t>
  </si>
  <si>
    <t xml:space="preserve">居住成熟度 </t>
  </si>
  <si>
    <t>比准价格（元/平方米）</t>
  </si>
  <si>
    <t>一级</t>
  </si>
  <si>
    <t>好</t>
  </si>
  <si>
    <t>高速路</t>
  </si>
  <si>
    <t>楼面价格（元/平方米）</t>
  </si>
  <si>
    <t>二级</t>
  </si>
  <si>
    <t>快速路</t>
  </si>
  <si>
    <t>房地产总值（元）</t>
  </si>
  <si>
    <t>三级</t>
  </si>
  <si>
    <t>一般</t>
  </si>
  <si>
    <t>主干道</t>
  </si>
  <si>
    <t>四级</t>
  </si>
  <si>
    <t>较差</t>
  </si>
  <si>
    <t>次干道</t>
  </si>
  <si>
    <t>五级</t>
  </si>
  <si>
    <t>差</t>
  </si>
  <si>
    <t>支路</t>
  </si>
  <si>
    <t>六级</t>
  </si>
  <si>
    <t>七级</t>
  </si>
  <si>
    <t>公共设施及基础设施</t>
  </si>
  <si>
    <t>建筑物类型</t>
  </si>
  <si>
    <t>砖混</t>
  </si>
  <si>
    <t>板楼</t>
  </si>
  <si>
    <t>内部装修</t>
  </si>
  <si>
    <t>普装</t>
  </si>
  <si>
    <t>简装</t>
  </si>
  <si>
    <t>毛坯</t>
  </si>
  <si>
    <t>估价时点</t>
  </si>
  <si>
    <t>残值率</t>
  </si>
  <si>
    <t>租赁终止日期</t>
  </si>
  <si>
    <t>耐用年限</t>
  </si>
  <si>
    <t>已使用</t>
  </si>
  <si>
    <t>成新度</t>
  </si>
  <si>
    <t>现值单价</t>
  </si>
  <si>
    <t>剩余租期</t>
  </si>
  <si>
    <t>年</t>
  </si>
  <si>
    <t>2013</t>
  </si>
  <si>
    <t>租期外剩余收益年期</t>
  </si>
  <si>
    <t>2014</t>
  </si>
  <si>
    <t>收益年期</t>
  </si>
  <si>
    <t>2015</t>
  </si>
  <si>
    <t>2016</t>
  </si>
  <si>
    <t>时段</t>
  </si>
  <si>
    <t>2014年租期租约期内（2013.11.20至2014.7.30）</t>
  </si>
  <si>
    <t>2014年租期租约期外（2014.7.31至2064.1.3）</t>
  </si>
  <si>
    <t>2015租约期内（2013.11.20至2015.2.28）</t>
  </si>
  <si>
    <t>2015租约期外（2015.3.1至2064.1.3）</t>
  </si>
  <si>
    <t>租约期外</t>
  </si>
  <si>
    <t>2017</t>
  </si>
  <si>
    <t>2018</t>
  </si>
  <si>
    <t>租赁面积</t>
  </si>
  <si>
    <t>年租金</t>
  </si>
  <si>
    <t>租期</t>
  </si>
  <si>
    <t>2021</t>
  </si>
  <si>
    <t>2022</t>
  </si>
  <si>
    <t>2023</t>
  </si>
  <si>
    <t>2025</t>
  </si>
  <si>
    <t>费率</t>
  </si>
  <si>
    <t>公式</t>
  </si>
  <si>
    <t>1-1</t>
  </si>
  <si>
    <t>出租面积</t>
  </si>
  <si>
    <t>1-2</t>
  </si>
  <si>
    <t>1-3</t>
  </si>
  <si>
    <t>空置率</t>
  </si>
  <si>
    <t>年租金小计</t>
  </si>
  <si>
    <t>租金×月数×（1-空置率）</t>
  </si>
  <si>
    <t>2-1-1</t>
  </si>
  <si>
    <t>两税两费</t>
  </si>
  <si>
    <t>年总收益×费率</t>
  </si>
  <si>
    <t>2-1-2</t>
  </si>
  <si>
    <t>房产税</t>
  </si>
  <si>
    <t>房产原值×（1-30%）×费率</t>
  </si>
  <si>
    <t>2-1-3</t>
  </si>
  <si>
    <t>土地使用税</t>
  </si>
  <si>
    <t>土地面积×取费标准</t>
  </si>
  <si>
    <t>2-1</t>
  </si>
  <si>
    <t>税费小计</t>
  </si>
  <si>
    <t>以上3项合计</t>
  </si>
  <si>
    <t>2-2</t>
  </si>
  <si>
    <t>维修费</t>
  </si>
  <si>
    <t>建筑物重置价值×维修费率</t>
  </si>
  <si>
    <t>2-3</t>
  </si>
  <si>
    <t>保险费</t>
  </si>
  <si>
    <t>现值×保险费率</t>
  </si>
  <si>
    <t>2-4</t>
  </si>
  <si>
    <t>管理费用</t>
  </si>
  <si>
    <t>年经营成本费用小计</t>
  </si>
  <si>
    <t>以上4项合计</t>
  </si>
  <si>
    <t>3</t>
  </si>
  <si>
    <t>房地产年纯收益</t>
  </si>
  <si>
    <t>4</t>
  </si>
  <si>
    <t>还原利率（Y）</t>
  </si>
  <si>
    <t>房地产未来第一年净收益×[1-（(1+g)/(1+Y)） ^n ]/(Y-g)</t>
  </si>
  <si>
    <t>5</t>
  </si>
  <si>
    <t>增长率（g）</t>
  </si>
  <si>
    <t>6</t>
  </si>
  <si>
    <t>收益年限（n）</t>
  </si>
  <si>
    <t>7</t>
  </si>
  <si>
    <t>折现率</t>
  </si>
  <si>
    <t>8</t>
  </si>
  <si>
    <t>折现值</t>
  </si>
  <si>
    <t>9</t>
  </si>
  <si>
    <t>10</t>
  </si>
  <si>
    <t>房屋年纯收益</t>
  </si>
  <si>
    <t>建筑物资本化率</t>
  </si>
  <si>
    <t>范围8%-10%</t>
  </si>
  <si>
    <t>两种方式比较，确定合理的建筑物与土地价值比例</t>
  </si>
  <si>
    <t>收益比率</t>
  </si>
  <si>
    <t>价值比率</t>
  </si>
  <si>
    <t>建筑物年收益比率</t>
  </si>
  <si>
    <t>土地年收益比率</t>
  </si>
  <si>
    <t>收益法计算（住宅）</t>
  </si>
  <si>
    <t>（二）建筑物价值</t>
  </si>
  <si>
    <t>单价</t>
  </si>
  <si>
    <t>相关系数</t>
  </si>
  <si>
    <t>建安费用</t>
  </si>
  <si>
    <t>勘察设计和前期工程费</t>
  </si>
  <si>
    <r>
      <t>按建安费用</t>
    </r>
    <r>
      <rPr>
        <sz val="10"/>
        <rFont val="Times New Roman"/>
        <family val="1"/>
      </rPr>
      <t>3%-5%</t>
    </r>
    <r>
      <rPr>
        <sz val="10"/>
        <rFont val="宋体"/>
        <family val="3"/>
        <charset val="134"/>
      </rPr>
      <t>计取</t>
    </r>
  </si>
  <si>
    <t>公共配套设施费用</t>
  </si>
  <si>
    <r>
      <t>按建安费用的</t>
    </r>
    <r>
      <rPr>
        <sz val="10"/>
        <rFont val="Times New Roman"/>
        <family val="1"/>
      </rPr>
      <t>0%-10%</t>
    </r>
    <r>
      <rPr>
        <sz val="10"/>
        <rFont val="宋体"/>
        <family val="3"/>
        <charset val="134"/>
      </rPr>
      <t>计取</t>
    </r>
  </si>
  <si>
    <t>基础设施建设费</t>
  </si>
  <si>
    <t>按实际计取</t>
  </si>
  <si>
    <t>相关税费</t>
  </si>
  <si>
    <t>按建安费用的一定比例计取</t>
  </si>
  <si>
    <t>建造成本</t>
  </si>
  <si>
    <r>
      <t>1</t>
    </r>
    <r>
      <rPr>
        <sz val="10"/>
        <rFont val="宋体"/>
        <family val="3"/>
        <charset val="134"/>
      </rPr>
      <t>.1～1.5项之和</t>
    </r>
  </si>
  <si>
    <r>
      <t>按</t>
    </r>
    <r>
      <rPr>
        <sz val="10"/>
        <rFont val="宋体"/>
        <family val="3"/>
        <charset val="134"/>
      </rPr>
      <t>建造成本</t>
    </r>
    <r>
      <rPr>
        <sz val="10"/>
        <rFont val="宋体"/>
        <family val="3"/>
        <charset val="134"/>
      </rPr>
      <t>的</t>
    </r>
    <r>
      <rPr>
        <sz val="10"/>
        <rFont val="Times New Roman"/>
        <family val="1"/>
      </rPr>
      <t>1%-3%</t>
    </r>
    <r>
      <rPr>
        <sz val="10"/>
        <rFont val="宋体"/>
        <family val="3"/>
        <charset val="134"/>
      </rPr>
      <t>计取</t>
    </r>
  </si>
  <si>
    <t>销售费用</t>
  </si>
  <si>
    <r>
      <t>按建筑物价值的</t>
    </r>
    <r>
      <rPr>
        <sz val="10"/>
        <rFont val="Times New Roman"/>
        <family val="1"/>
      </rPr>
      <t>1%-3%</t>
    </r>
  </si>
  <si>
    <t>贷款利息</t>
  </si>
  <si>
    <t>残值率（%）</t>
  </si>
  <si>
    <t>1-（1-残值率）×已经使用年限÷经济耐用年限</t>
  </si>
  <si>
    <r>
      <t>1-</t>
    </r>
    <r>
      <rPr>
        <sz val="10"/>
        <rFont val="宋体"/>
        <family val="3"/>
        <charset val="134"/>
      </rPr>
      <t>2</t>
    </r>
    <r>
      <rPr>
        <sz val="10"/>
        <rFont val="宋体"/>
        <family val="3"/>
        <charset val="134"/>
      </rPr>
      <t>项</t>
    </r>
    <r>
      <rPr>
        <sz val="10"/>
        <rFont val="宋体"/>
        <family val="3"/>
        <charset val="134"/>
      </rPr>
      <t>产生的利息</t>
    </r>
  </si>
  <si>
    <r>
      <t>（</t>
    </r>
    <r>
      <rPr>
        <sz val="10"/>
        <rFont val="Times New Roman"/>
        <family val="1"/>
      </rPr>
      <t>1+2</t>
    </r>
    <r>
      <rPr>
        <sz val="10"/>
        <rFont val="宋体"/>
        <family val="3"/>
        <charset val="134"/>
      </rPr>
      <t>）</t>
    </r>
    <r>
      <rPr>
        <sz val="10"/>
        <rFont val="Times New Roman"/>
        <family val="1"/>
      </rPr>
      <t>×</t>
    </r>
    <r>
      <rPr>
        <sz val="10"/>
        <rFont val="宋体"/>
        <family val="3"/>
        <charset val="134"/>
      </rPr>
      <t>年利率</t>
    </r>
    <r>
      <rPr>
        <sz val="10"/>
        <rFont val="Times New Roman"/>
        <family val="1"/>
      </rPr>
      <t>×</t>
    </r>
    <r>
      <rPr>
        <sz val="10"/>
        <rFont val="宋体"/>
        <family val="3"/>
        <charset val="134"/>
      </rPr>
      <t>建设期÷</t>
    </r>
    <r>
      <rPr>
        <sz val="10"/>
        <rFont val="Times New Roman"/>
        <family val="1"/>
      </rPr>
      <t>2</t>
    </r>
  </si>
  <si>
    <t>已经使用年限（年）</t>
  </si>
  <si>
    <t>销售费用产生的利息</t>
  </si>
  <si>
    <r>
      <t>销售费用率</t>
    </r>
    <r>
      <rPr>
        <sz val="10"/>
        <rFont val="Times New Roman"/>
        <family val="1"/>
      </rPr>
      <t>×</t>
    </r>
    <r>
      <rPr>
        <sz val="10"/>
        <rFont val="宋体"/>
        <family val="3"/>
        <charset val="134"/>
      </rPr>
      <t>年利率</t>
    </r>
    <r>
      <rPr>
        <sz val="10"/>
        <rFont val="Times New Roman"/>
        <family val="1"/>
      </rPr>
      <t>×</t>
    </r>
    <r>
      <rPr>
        <sz val="10"/>
        <rFont val="宋体"/>
        <family val="3"/>
        <charset val="134"/>
      </rPr>
      <t>建设期÷</t>
    </r>
    <r>
      <rPr>
        <sz val="10"/>
        <rFont val="Times New Roman"/>
        <family val="1"/>
      </rPr>
      <t>2</t>
    </r>
  </si>
  <si>
    <t>经济耐用年限（年）</t>
  </si>
  <si>
    <t>利润</t>
  </si>
  <si>
    <t>成新度（%）</t>
  </si>
  <si>
    <r>
      <t>1</t>
    </r>
    <r>
      <rPr>
        <sz val="10"/>
        <rFont val="宋体"/>
        <family val="3"/>
        <charset val="134"/>
      </rPr>
      <t>-3项</t>
    </r>
    <r>
      <rPr>
        <sz val="10"/>
        <rFont val="宋体"/>
        <family val="3"/>
        <charset val="134"/>
      </rPr>
      <t>产生的利润</t>
    </r>
  </si>
  <si>
    <r>
      <t>（</t>
    </r>
    <r>
      <rPr>
        <sz val="10"/>
        <rFont val="Times New Roman"/>
        <family val="1"/>
      </rPr>
      <t>1+2</t>
    </r>
    <r>
      <rPr>
        <sz val="10"/>
        <rFont val="宋体"/>
        <family val="3"/>
        <charset val="134"/>
      </rPr>
      <t>）</t>
    </r>
    <r>
      <rPr>
        <sz val="10"/>
        <rFont val="Times New Roman"/>
        <family val="1"/>
      </rPr>
      <t>×</t>
    </r>
    <r>
      <rPr>
        <sz val="10"/>
        <rFont val="宋体"/>
        <family val="3"/>
        <charset val="134"/>
      </rPr>
      <t>投资利润率</t>
    </r>
  </si>
  <si>
    <t>销售费用产生的利润</t>
  </si>
  <si>
    <r>
      <t>销售费用率</t>
    </r>
    <r>
      <rPr>
        <sz val="10"/>
        <rFont val="Times New Roman"/>
        <family val="1"/>
      </rPr>
      <t>×</t>
    </r>
    <r>
      <rPr>
        <sz val="10"/>
        <rFont val="宋体"/>
        <family val="3"/>
        <charset val="134"/>
      </rPr>
      <t>投资利润率</t>
    </r>
  </si>
  <si>
    <t>销售税费</t>
  </si>
  <si>
    <t>按建筑物价值的一定比率</t>
  </si>
  <si>
    <t>建筑物重置价值</t>
  </si>
  <si>
    <r>
      <t>1</t>
    </r>
    <r>
      <rPr>
        <sz val="10"/>
        <rFont val="宋体"/>
        <family val="3"/>
        <charset val="134"/>
      </rPr>
      <t>-6项之和</t>
    </r>
  </si>
  <si>
    <t>成新率</t>
  </si>
  <si>
    <t>建筑物重置价格×成新率</t>
  </si>
  <si>
    <r>
      <t>PCP(BEIJING)LEASESUMMARY</t>
    </r>
    <r>
      <rPr>
        <b/>
        <sz val="10"/>
        <rFont val="宋体"/>
        <family val="3"/>
        <charset val="134"/>
      </rPr>
      <t>北京盈科中心租赁汇总表</t>
    </r>
  </si>
  <si>
    <r>
      <t>PODIUM</t>
    </r>
    <r>
      <rPr>
        <b/>
        <sz val="10"/>
        <rFont val="宋体"/>
        <family val="3"/>
        <charset val="134"/>
      </rPr>
      <t>商场</t>
    </r>
  </si>
  <si>
    <r>
      <t>Units</t>
    </r>
    <r>
      <rPr>
        <b/>
        <sz val="10"/>
        <rFont val="宋体"/>
        <family val="3"/>
        <charset val="134"/>
      </rPr>
      <t>单位</t>
    </r>
  </si>
  <si>
    <r>
      <t>NFA</t>
    </r>
    <r>
      <rPr>
        <b/>
        <sz val="10"/>
        <rFont val="宋体"/>
        <family val="3"/>
        <charset val="134"/>
      </rPr>
      <t>净面积</t>
    </r>
  </si>
  <si>
    <t>NFA</t>
  </si>
  <si>
    <r>
      <t>GFA</t>
    </r>
    <r>
      <rPr>
        <b/>
        <sz val="10"/>
        <rFont val="宋体"/>
        <family val="3"/>
        <charset val="134"/>
      </rPr>
      <t>建筑面积</t>
    </r>
  </si>
  <si>
    <t>GFA</t>
  </si>
  <si>
    <r>
      <t>Face Rent per NFA (Contract)</t>
    </r>
    <r>
      <rPr>
        <b/>
        <sz val="10"/>
        <rFont val="宋体"/>
        <family val="3"/>
        <charset val="134"/>
      </rPr>
      <t>单位净面积的租金（合同价）</t>
    </r>
  </si>
  <si>
    <t>Face Rent per NFA (Contract)</t>
  </si>
  <si>
    <r>
      <t>Mgt per NFA</t>
    </r>
    <r>
      <rPr>
        <b/>
        <sz val="10"/>
        <rFont val="宋体"/>
        <family val="3"/>
        <charset val="134"/>
      </rPr>
      <t>单位净面积物管费</t>
    </r>
  </si>
  <si>
    <r>
      <t>Face Rent per NFA (Survey)</t>
    </r>
    <r>
      <rPr>
        <b/>
        <sz val="10"/>
        <rFont val="宋体"/>
        <family val="3"/>
        <charset val="134"/>
      </rPr>
      <t>单位净面积的租金（测量）</t>
    </r>
  </si>
  <si>
    <r>
      <t>Effective Rent per NFA (Survey)</t>
    </r>
    <r>
      <rPr>
        <b/>
        <sz val="10"/>
        <rFont val="宋体"/>
        <family val="3"/>
        <charset val="134"/>
      </rPr>
      <t>单位净面积的有效租金（测量）</t>
    </r>
  </si>
  <si>
    <r>
      <t>Effective Rent per GFA  (Survey)</t>
    </r>
    <r>
      <rPr>
        <b/>
        <sz val="10"/>
        <rFont val="宋体"/>
        <family val="3"/>
        <charset val="134"/>
      </rPr>
      <t>单位建筑面积的有效租金（测量）</t>
    </r>
  </si>
  <si>
    <r>
      <t xml:space="preserve"> Monthly Effective Rent</t>
    </r>
    <r>
      <rPr>
        <b/>
        <sz val="10"/>
        <rFont val="宋体"/>
        <family val="3"/>
        <charset val="134"/>
      </rPr>
      <t>月有效租金</t>
    </r>
  </si>
  <si>
    <t>租金单价</t>
  </si>
  <si>
    <r>
      <t>Monthly Mgt Fee</t>
    </r>
    <r>
      <rPr>
        <b/>
        <sz val="10"/>
        <rFont val="宋体"/>
        <family val="3"/>
        <charset val="134"/>
      </rPr>
      <t>月物管费</t>
    </r>
  </si>
  <si>
    <t>Date of Signing Lease Agmt</t>
  </si>
  <si>
    <r>
      <t>Term</t>
    </r>
    <r>
      <rPr>
        <b/>
        <sz val="10"/>
        <rFont val="宋体"/>
        <family val="3"/>
        <charset val="134"/>
      </rPr>
      <t>期限</t>
    </r>
  </si>
  <si>
    <r>
      <t>Security Deposit</t>
    </r>
    <r>
      <rPr>
        <b/>
        <sz val="10"/>
        <rFont val="宋体"/>
        <family val="3"/>
        <charset val="134"/>
      </rPr>
      <t>押金</t>
    </r>
  </si>
  <si>
    <r>
      <t xml:space="preserve">Contract </t>
    </r>
    <r>
      <rPr>
        <b/>
        <sz val="10"/>
        <rFont val="宋体"/>
        <family val="3"/>
        <charset val="134"/>
      </rPr>
      <t>合同</t>
    </r>
  </si>
  <si>
    <r>
      <t>Survey</t>
    </r>
    <r>
      <rPr>
        <b/>
        <sz val="10"/>
        <rFont val="宋体"/>
        <family val="3"/>
        <charset val="134"/>
      </rPr>
      <t>测量</t>
    </r>
  </si>
  <si>
    <r>
      <t>Contract</t>
    </r>
    <r>
      <rPr>
        <b/>
        <sz val="10"/>
        <rFont val="宋体"/>
        <family val="3"/>
        <charset val="134"/>
      </rPr>
      <t>合同</t>
    </r>
  </si>
  <si>
    <r>
      <t>Vacant</t>
    </r>
    <r>
      <rPr>
        <b/>
        <sz val="10"/>
        <rFont val="宋体"/>
        <family val="3"/>
        <charset val="134"/>
      </rPr>
      <t>空置</t>
    </r>
  </si>
  <si>
    <r>
      <t>Rent</t>
    </r>
    <r>
      <rPr>
        <b/>
        <sz val="10"/>
        <rFont val="宋体"/>
        <family val="3"/>
        <charset val="134"/>
      </rPr>
      <t>租金</t>
    </r>
  </si>
  <si>
    <r>
      <t>Mgt Fee</t>
    </r>
    <r>
      <rPr>
        <b/>
        <sz val="10"/>
        <rFont val="宋体"/>
        <family val="3"/>
        <charset val="134"/>
      </rPr>
      <t>物管费</t>
    </r>
  </si>
  <si>
    <r>
      <rPr>
        <sz val="10"/>
        <rFont val="宋体"/>
        <family val="3"/>
        <charset val="134"/>
      </rPr>
      <t>北京龙神东方洗衣代收店</t>
    </r>
  </si>
  <si>
    <t>106-1&amp;106-3</t>
  </si>
  <si>
    <t>36</t>
  </si>
  <si>
    <t xml:space="preserve"> </t>
  </si>
  <si>
    <t>佣金0 。</t>
  </si>
  <si>
    <t>每日历月7日前，提供上个月的营业额呈报给许可方审核，并于收到账单后7日内支付。报低租金+营业额总收入大的20%。出租人认为适当的时候，有权要求承租人将其收银系统连接至出租人系统中。承租人必须予以配合。因此而发生的费用将由出租人与承租人另行协商。弱承租人不予配合，则出租人有权随时核查承租人的营业额。因此而产生的审计核查费用将全部由承租人承担。</t>
  </si>
  <si>
    <r>
      <rPr>
        <sz val="10"/>
        <rFont val="宋体"/>
        <family val="3"/>
        <charset val="134"/>
      </rPr>
      <t>陈瑾瑾（幽唐广告）</t>
    </r>
  </si>
  <si>
    <t>105-2</t>
  </si>
  <si>
    <r>
      <rPr>
        <sz val="10"/>
        <rFont val="宋体"/>
        <family val="3"/>
        <charset val="134"/>
      </rPr>
      <t>佣金0</t>
    </r>
    <r>
      <rPr>
        <sz val="10"/>
        <rFont val="Arial"/>
        <family val="2"/>
      </rPr>
      <t xml:space="preserve"> </t>
    </r>
  </si>
  <si>
    <t>该单元只能用作红酒展示机销售。</t>
  </si>
  <si>
    <t>星巴克</t>
  </si>
  <si>
    <t xml:space="preserve">101A </t>
  </si>
  <si>
    <t>0+2 Terms</t>
  </si>
  <si>
    <r>
      <rPr>
        <sz val="10"/>
        <rFont val="宋体"/>
        <family val="3"/>
        <charset val="134"/>
      </rPr>
      <t>北京晨曦玖品企业管理有限公司</t>
    </r>
  </si>
  <si>
    <t>106-2</t>
  </si>
  <si>
    <r>
      <t>Mike'sChoice(</t>
    </r>
    <r>
      <rPr>
        <sz val="10"/>
        <rFont val="宋体"/>
        <family val="3"/>
        <charset val="134"/>
      </rPr>
      <t>高雅茹）</t>
    </r>
  </si>
  <si>
    <r>
      <rPr>
        <sz val="10"/>
        <rFont val="宋体"/>
        <family val="3"/>
        <charset val="134"/>
      </rPr>
      <t>佣金</t>
    </r>
    <r>
      <rPr>
        <sz val="10"/>
        <rFont val="Arial"/>
        <family val="2"/>
      </rPr>
      <t xml:space="preserve">14287.50 </t>
    </r>
    <r>
      <rPr>
        <sz val="10"/>
        <rFont val="宋体"/>
        <family val="3"/>
        <charset val="134"/>
      </rPr>
      <t>恒茂圣佳企业咨询有限责任公司。</t>
    </r>
  </si>
  <si>
    <r>
      <rPr>
        <sz val="10"/>
        <rFont val="宋体"/>
        <family val="3"/>
        <charset val="134"/>
      </rPr>
      <t>自</t>
    </r>
    <r>
      <rPr>
        <sz val="10"/>
        <rFont val="Arial"/>
        <family val="2"/>
      </rPr>
      <t>2012.07.01</t>
    </r>
    <r>
      <rPr>
        <sz val="10"/>
        <rFont val="宋体"/>
        <family val="3"/>
        <charset val="134"/>
      </rPr>
      <t>日起，变更为北京晨曦玖品企业管理有限公司</t>
    </r>
  </si>
  <si>
    <t>该单元只能用作红酒屋用途。租金将每三个月支付一次。承租人将设立一家新的公司实际租用该单元，成立后，权利义务将由新公司承继，出租人与新公司签订租约，同意月付。、</t>
  </si>
  <si>
    <r>
      <rPr>
        <sz val="10"/>
        <rFont val="宋体"/>
        <family val="3"/>
        <charset val="134"/>
      </rPr>
      <t>华联咖世家</t>
    </r>
  </si>
  <si>
    <t>105A</t>
  </si>
  <si>
    <t>72</t>
  </si>
  <si>
    <r>
      <rPr>
        <b/>
        <sz val="10"/>
        <rFont val="宋体"/>
        <family val="3"/>
        <charset val="134"/>
      </rPr>
      <t>出租人同意在租区外免费摆放带有承租方标识的餐桌椅、遮阳伞、暖炉</t>
    </r>
  </si>
  <si>
    <r>
      <rPr>
        <b/>
        <sz val="10"/>
        <rFont val="宋体"/>
        <family val="3"/>
        <charset val="134"/>
      </rPr>
      <t>销售佣金：</t>
    </r>
    <r>
      <rPr>
        <b/>
        <sz val="10"/>
        <rFont val="Arial"/>
        <family val="2"/>
      </rPr>
      <t>59624.</t>
    </r>
    <r>
      <rPr>
        <b/>
        <sz val="10"/>
        <rFont val="宋体"/>
        <family val="3"/>
        <charset val="134"/>
      </rPr>
      <t>中介：中原房地产经纪有限公司</t>
    </r>
    <r>
      <rPr>
        <b/>
        <sz val="10"/>
        <rFont val="Arial"/>
        <family val="2"/>
      </rPr>
      <t xml:space="preserve"> </t>
    </r>
    <r>
      <rPr>
        <b/>
        <sz val="10"/>
        <rFont val="宋体"/>
        <family val="3"/>
        <charset val="134"/>
      </rPr>
      <t>装修免租期：</t>
    </r>
    <r>
      <rPr>
        <b/>
        <sz val="10"/>
        <rFont val="Arial"/>
        <family val="2"/>
      </rPr>
      <t>2009/02/13-2009/03/14</t>
    </r>
  </si>
  <si>
    <t>博士山（北京）国际文化传播有限公司</t>
  </si>
  <si>
    <t>204-2</t>
  </si>
  <si>
    <t>60</t>
  </si>
  <si>
    <r>
      <t>Denominated in RMB; paid in RMB</t>
    </r>
    <r>
      <rPr>
        <sz val="10"/>
        <rFont val="宋体"/>
        <family val="3"/>
        <charset val="134"/>
      </rPr>
      <t>面值人民币，人民币支付</t>
    </r>
  </si>
  <si>
    <r>
      <rPr>
        <b/>
        <sz val="10"/>
        <rFont val="宋体"/>
        <family val="3"/>
        <charset val="134"/>
      </rPr>
      <t>如同层租区西侧组合到期退租，承租人在同等条件下有优先扩租赁权。</t>
    </r>
  </si>
  <si>
    <r>
      <t>1</t>
    </r>
    <r>
      <rPr>
        <b/>
        <sz val="10"/>
        <rFont val="宋体"/>
        <family val="3"/>
        <charset val="134"/>
      </rPr>
      <t>个地上东车楼非固定免费车位。</t>
    </r>
    <r>
      <rPr>
        <b/>
        <sz val="10"/>
        <rFont val="Arial"/>
        <family val="2"/>
      </rPr>
      <t>2011-1-1-2011-12-31</t>
    </r>
    <r>
      <rPr>
        <b/>
        <sz val="10"/>
        <rFont val="宋体"/>
        <family val="3"/>
        <charset val="134"/>
      </rPr>
      <t>日可以按大厦统一标准购买</t>
    </r>
    <r>
      <rPr>
        <b/>
        <sz val="10"/>
        <rFont val="Arial"/>
        <family val="2"/>
      </rPr>
      <t>6.5</t>
    </r>
    <r>
      <rPr>
        <b/>
        <sz val="10"/>
        <rFont val="宋体"/>
        <family val="3"/>
        <charset val="134"/>
      </rPr>
      <t>折优惠停车票</t>
    </r>
  </si>
  <si>
    <r>
      <rPr>
        <sz val="10"/>
        <rFont val="宋体"/>
        <family val="3"/>
        <charset val="134"/>
      </rPr>
      <t>佣金为</t>
    </r>
    <r>
      <rPr>
        <sz val="10"/>
        <rFont val="Arial"/>
        <family val="2"/>
      </rPr>
      <t xml:space="preserve">92480.76  </t>
    </r>
    <r>
      <rPr>
        <sz val="10"/>
        <rFont val="宋体"/>
        <family val="3"/>
        <charset val="134"/>
      </rPr>
      <t>代理是北京嘉阁房地产经纪有限公司，</t>
    </r>
    <r>
      <rPr>
        <sz val="10"/>
        <rFont val="Arial"/>
        <family val="2"/>
      </rPr>
      <t xml:space="preserve"> 2</t>
    </r>
    <r>
      <rPr>
        <sz val="10"/>
        <rFont val="宋体"/>
        <family val="3"/>
        <charset val="134"/>
      </rPr>
      <t>个月押金。综合调理养生美容。出租人免费为承租人在盈科中心正面标示牌上提供一处免费指示空间。</t>
    </r>
  </si>
  <si>
    <t>36+3Terms</t>
  </si>
  <si>
    <r>
      <rPr>
        <sz val="10"/>
        <rFont val="宋体"/>
        <family val="3"/>
        <charset val="134"/>
      </rPr>
      <t>补充协议，出租方满</t>
    </r>
    <r>
      <rPr>
        <sz val="10"/>
        <rFont val="Arial"/>
        <family val="2"/>
      </rPr>
      <t>36</t>
    </r>
    <r>
      <rPr>
        <sz val="10"/>
        <rFont val="宋体"/>
        <family val="3"/>
        <charset val="134"/>
      </rPr>
      <t>个月后可以提前</t>
    </r>
    <r>
      <rPr>
        <sz val="10"/>
        <rFont val="Arial"/>
        <family val="2"/>
      </rPr>
      <t>3</t>
    </r>
    <r>
      <rPr>
        <sz val="10"/>
        <rFont val="宋体"/>
        <family val="3"/>
        <charset val="134"/>
      </rPr>
      <t>个月提出解约。（无条件）。只能开展中医美容康复活动，而不能涉及有关治疗，细菌等</t>
    </r>
  </si>
  <si>
    <t>北京丁和李朴形象设计有限公司第一分公司</t>
  </si>
  <si>
    <t>103B &amp; 108</t>
  </si>
  <si>
    <t>N/A</t>
  </si>
  <si>
    <r>
      <t>2011.01.01-2011.12.31</t>
    </r>
    <r>
      <rPr>
        <b/>
        <sz val="10"/>
        <rFont val="宋体"/>
        <family val="3"/>
        <charset val="134"/>
      </rPr>
      <t>日给与承租方停车券</t>
    </r>
    <r>
      <rPr>
        <b/>
        <sz val="10"/>
        <rFont val="Arial"/>
        <family val="2"/>
      </rPr>
      <t>6</t>
    </r>
    <r>
      <rPr>
        <b/>
        <sz val="10"/>
        <rFont val="宋体"/>
        <family val="3"/>
        <charset val="134"/>
      </rPr>
      <t>折的优惠</t>
    </r>
  </si>
  <si>
    <t>吉野家</t>
  </si>
  <si>
    <r>
      <t>2010.01.06</t>
    </r>
    <r>
      <rPr>
        <sz val="10"/>
        <rFont val="宋体"/>
        <family val="3"/>
        <charset val="134"/>
      </rPr>
      <t>交房，</t>
    </r>
    <r>
      <rPr>
        <sz val="10"/>
        <rFont val="Arial"/>
        <family val="2"/>
      </rPr>
      <t>2.06</t>
    </r>
    <r>
      <rPr>
        <sz val="10"/>
        <rFont val="宋体"/>
        <family val="3"/>
        <charset val="134"/>
      </rPr>
      <t>日起租。</t>
    </r>
    <r>
      <rPr>
        <sz val="10"/>
        <rFont val="Arial"/>
        <family val="2"/>
      </rPr>
      <t>1</t>
    </r>
    <r>
      <rPr>
        <sz val="10"/>
        <rFont val="宋体"/>
        <family val="3"/>
        <charset val="134"/>
      </rPr>
      <t>个月的装修期。备忘录。</t>
    </r>
  </si>
  <si>
    <t>浙江海利普</t>
  </si>
  <si>
    <t>110-1</t>
  </si>
  <si>
    <t>76</t>
  </si>
  <si>
    <r>
      <rPr>
        <sz val="10"/>
        <rFont val="宋体"/>
        <family val="3"/>
        <charset val="134"/>
      </rPr>
      <t>承租人需要</t>
    </r>
    <r>
      <rPr>
        <sz val="10"/>
        <rFont val="Arial"/>
        <family val="2"/>
      </rPr>
      <t>220KVA</t>
    </r>
    <r>
      <rPr>
        <sz val="10"/>
        <rFont val="宋体"/>
        <family val="3"/>
        <charset val="134"/>
      </rPr>
      <t>的电量要求，需要增容，费用</t>
    </r>
    <r>
      <rPr>
        <sz val="10"/>
        <rFont val="Arial"/>
        <family val="2"/>
      </rPr>
      <t>10</t>
    </r>
    <r>
      <rPr>
        <sz val="10"/>
        <rFont val="宋体"/>
        <family val="3"/>
        <charset val="134"/>
      </rPr>
      <t>万元，双方合力摊分。因为政府禁令</t>
    </r>
    <r>
      <rPr>
        <sz val="10"/>
        <rFont val="Arial"/>
        <family val="2"/>
      </rPr>
      <t>110-1</t>
    </r>
    <r>
      <rPr>
        <sz val="10"/>
        <rFont val="宋体"/>
        <family val="3"/>
        <charset val="134"/>
      </rPr>
      <t>单元无法执行，有权解除合同，包括但不限于政府部门认为不能将裙楼</t>
    </r>
    <r>
      <rPr>
        <sz val="10"/>
        <rFont val="Arial"/>
        <family val="2"/>
      </rPr>
      <t>110-1</t>
    </r>
    <r>
      <rPr>
        <sz val="10"/>
        <rFont val="宋体"/>
        <family val="3"/>
        <charset val="134"/>
      </rPr>
      <t>单元用作实验室用途，或者实验室用途无法取得公安消防部门，环保部门或其他部门的审批。如承租人收到禁令后，应积极整改，如无法满足政府要求，出租人书面通知终止合同，本合同将于该书面通知送达之日起第</t>
    </r>
    <r>
      <rPr>
        <sz val="10"/>
        <rFont val="Arial"/>
        <family val="2"/>
      </rPr>
      <t>12</t>
    </r>
    <r>
      <rPr>
        <sz val="10"/>
        <rFont val="宋体"/>
        <family val="3"/>
        <charset val="134"/>
      </rPr>
      <t>个月的相对日终止（政府要求除外），政府另有要求，出租人有权根据政府要求而提前终止合同，不受通知期的限制。</t>
    </r>
  </si>
  <si>
    <r>
      <t>110-1</t>
    </r>
    <r>
      <rPr>
        <sz val="10"/>
        <rFont val="宋体"/>
        <family val="3"/>
        <charset val="134"/>
      </rPr>
      <t>单元边上有空置面积，则承租人可扩租，在</t>
    </r>
    <r>
      <rPr>
        <sz val="10"/>
        <rFont val="Arial"/>
        <family val="2"/>
      </rPr>
      <t>2011.12.31</t>
    </r>
    <r>
      <rPr>
        <sz val="10"/>
        <rFont val="宋体"/>
        <family val="3"/>
        <charset val="134"/>
      </rPr>
      <t>日之前，租金与此合同一致，。</t>
    </r>
  </si>
  <si>
    <r>
      <t xml:space="preserve">19F,20F </t>
    </r>
    <r>
      <rPr>
        <b/>
        <sz val="10"/>
        <rFont val="宋体"/>
        <family val="3"/>
        <charset val="134"/>
      </rPr>
      <t>和本合同为关联承租人。若因政府禁令原因，导致本合同提前终止的，书面通知出租人无需赔偿。</t>
    </r>
  </si>
  <si>
    <t>48+6 terms</t>
  </si>
  <si>
    <r>
      <t xml:space="preserve">佣金为125582.50 </t>
    </r>
    <r>
      <rPr>
        <sz val="10"/>
        <rFont val="宋体"/>
        <family val="3"/>
        <charset val="134"/>
      </rPr>
      <t>（</t>
    </r>
    <r>
      <rPr>
        <sz val="10"/>
        <rFont val="Arial"/>
        <family val="2"/>
      </rPr>
      <t>2</t>
    </r>
    <r>
      <rPr>
        <sz val="10"/>
        <rFont val="宋体"/>
        <family val="3"/>
        <charset val="134"/>
      </rPr>
      <t>个月）</t>
    </r>
    <r>
      <rPr>
        <sz val="10"/>
        <rFont val="Arial"/>
        <family val="2"/>
      </rPr>
      <t xml:space="preserve"> </t>
    </r>
    <r>
      <rPr>
        <sz val="10"/>
        <rFont val="宋体"/>
        <family val="3"/>
        <charset val="134"/>
      </rPr>
      <t>，</t>
    </r>
    <r>
      <rPr>
        <sz val="10"/>
        <rFont val="Arial"/>
        <family val="2"/>
      </rPr>
      <t>cushman &amp; wakefield  4</t>
    </r>
    <r>
      <rPr>
        <sz val="10"/>
        <rFont val="宋体"/>
        <family val="3"/>
        <charset val="134"/>
      </rPr>
      <t>个月的装修期</t>
    </r>
    <r>
      <rPr>
        <sz val="10"/>
        <rFont val="Arial"/>
        <family val="2"/>
      </rPr>
      <t xml:space="preserve"> 2010-10-01--2011-1-31</t>
    </r>
  </si>
  <si>
    <r>
      <rPr>
        <sz val="10"/>
        <rFont val="宋体"/>
        <family val="3"/>
        <charset val="134"/>
      </rPr>
      <t>棒约翰</t>
    </r>
  </si>
  <si>
    <r>
      <rPr>
        <sz val="10"/>
        <rFont val="宋体"/>
        <family val="3"/>
        <charset val="134"/>
      </rPr>
      <t>佣金：</t>
    </r>
    <r>
      <rPr>
        <sz val="10"/>
        <rFont val="Arial"/>
        <family val="2"/>
      </rPr>
      <t>48024</t>
    </r>
  </si>
  <si>
    <t>超鹏世纪房地产经纪公司</t>
  </si>
  <si>
    <r>
      <rPr>
        <sz val="10"/>
        <rFont val="宋体"/>
        <family val="3"/>
        <charset val="134"/>
      </rPr>
      <t>及</t>
    </r>
    <r>
      <rPr>
        <sz val="10"/>
        <rFont val="Arial"/>
        <family val="2"/>
      </rPr>
      <t>2</t>
    </r>
    <r>
      <rPr>
        <sz val="10"/>
        <rFont val="宋体"/>
        <family val="3"/>
        <charset val="134"/>
      </rPr>
      <t>）出租人有权提前十二个月书面通知承租人解除本合同。在此情况下，出租人同意：
若解约日在租期开始的第十二个月之后第二十四个月或以内，则出租人须赔偿承租方</t>
    </r>
    <r>
      <rPr>
        <sz val="10"/>
        <rFont val="Arial"/>
        <family val="2"/>
      </rPr>
      <t>120</t>
    </r>
    <r>
      <rPr>
        <sz val="10"/>
        <rFont val="宋体"/>
        <family val="3"/>
        <charset val="134"/>
      </rPr>
      <t>万元人民币作为解约赔偿金</t>
    </r>
    <r>
      <rPr>
        <sz val="10"/>
        <rFont val="Arial"/>
        <family val="2"/>
      </rPr>
      <t xml:space="preserve"> ;</t>
    </r>
    <r>
      <rPr>
        <sz val="10"/>
        <rFont val="宋体"/>
        <family val="3"/>
        <charset val="134"/>
      </rPr>
      <t>若解约日在租期开始的第二十四个月之后第三十六个月或以内，则出租人须赔偿承租方</t>
    </r>
    <r>
      <rPr>
        <sz val="10"/>
        <rFont val="Arial"/>
        <family val="2"/>
      </rPr>
      <t>90</t>
    </r>
    <r>
      <rPr>
        <sz val="10"/>
        <rFont val="宋体"/>
        <family val="3"/>
        <charset val="134"/>
      </rPr>
      <t>万元人民币作为解约赔偿金</t>
    </r>
    <r>
      <rPr>
        <sz val="10"/>
        <rFont val="Arial"/>
        <family val="2"/>
      </rPr>
      <t xml:space="preserve"> ;</t>
    </r>
    <r>
      <rPr>
        <sz val="10"/>
        <rFont val="宋体"/>
        <family val="3"/>
        <charset val="134"/>
      </rPr>
      <t>若解约日在租期开始的第三十六个月之后第四十八个月或以内，则出租人须赔偿承租方</t>
    </r>
    <r>
      <rPr>
        <sz val="10"/>
        <rFont val="Arial"/>
        <family val="2"/>
      </rPr>
      <t>60</t>
    </r>
    <r>
      <rPr>
        <sz val="10"/>
        <rFont val="宋体"/>
        <family val="3"/>
        <charset val="134"/>
      </rPr>
      <t>万元人民币作为解约赔偿金</t>
    </r>
    <r>
      <rPr>
        <sz val="10"/>
        <rFont val="Arial"/>
        <family val="2"/>
      </rPr>
      <t xml:space="preserve"> ;</t>
    </r>
    <r>
      <rPr>
        <sz val="10"/>
        <rFont val="宋体"/>
        <family val="3"/>
        <charset val="134"/>
      </rPr>
      <t>若解约日在租期开始的第四十八个月之后第六十个月或以内，则出租人须赔偿承租方</t>
    </r>
    <r>
      <rPr>
        <sz val="10"/>
        <rFont val="Arial"/>
        <family val="2"/>
      </rPr>
      <t>30</t>
    </r>
    <r>
      <rPr>
        <sz val="10"/>
        <rFont val="宋体"/>
        <family val="3"/>
        <charset val="134"/>
      </rPr>
      <t>万元人民币作为解约赔偿金。除以上赔偿金外，出租人不须再作任何赔偿</t>
    </r>
    <r>
      <rPr>
        <sz val="10"/>
        <rFont val="Arial"/>
        <family val="2"/>
      </rPr>
      <t xml:space="preserve"> ;
</t>
    </r>
    <r>
      <rPr>
        <sz val="10"/>
        <rFont val="宋体"/>
        <family val="3"/>
        <charset val="134"/>
      </rPr>
      <t>如出租人处置上述物业但不解除本合同，出租人应该告知承租人新业主身份且本合同应在新业主与承租人间继续有效。</t>
    </r>
  </si>
  <si>
    <r>
      <rPr>
        <sz val="10"/>
        <rFont val="宋体"/>
        <family val="3"/>
        <charset val="134"/>
      </rPr>
      <t>（</t>
    </r>
    <r>
      <rPr>
        <sz val="10"/>
        <rFont val="Arial"/>
        <family val="2"/>
      </rPr>
      <t>1</t>
    </r>
    <r>
      <rPr>
        <sz val="10"/>
        <rFont val="宋体"/>
        <family val="3"/>
        <charset val="134"/>
      </rPr>
      <t>）出租人于租期内免费提供给承租人</t>
    </r>
    <r>
      <rPr>
        <sz val="10"/>
        <rFont val="Arial"/>
        <family val="2"/>
      </rPr>
      <t>5</t>
    </r>
    <r>
      <rPr>
        <sz val="10"/>
        <rFont val="宋体"/>
        <family val="3"/>
        <charset val="134"/>
      </rPr>
      <t>个地上自行车车位作为承租人提供送餐服务所使用的自行车停放地点，具体位置由出租人指定。（</t>
    </r>
    <r>
      <rPr>
        <sz val="10"/>
        <rFont val="Arial"/>
        <family val="2"/>
      </rPr>
      <t>2</t>
    </r>
    <r>
      <rPr>
        <sz val="10"/>
        <rFont val="宋体"/>
        <family val="3"/>
        <charset val="134"/>
      </rPr>
      <t>）出租人同意免费在盈科中心周边三个路引水牌上增加承租人公司名称（不包含公司</t>
    </r>
    <r>
      <rPr>
        <sz val="10"/>
        <rFont val="Arial"/>
        <family val="2"/>
      </rPr>
      <t>logo</t>
    </r>
    <r>
      <rPr>
        <sz val="10"/>
        <rFont val="宋体"/>
        <family val="3"/>
        <charset val="134"/>
      </rPr>
      <t>）</t>
    </r>
    <r>
      <rPr>
        <sz val="10"/>
        <rFont val="Arial"/>
        <family val="2"/>
      </rPr>
      <t>,</t>
    </r>
    <r>
      <rPr>
        <sz val="10"/>
        <rFont val="宋体"/>
        <family val="3"/>
        <charset val="134"/>
      </rPr>
      <t>作为路引标志。承租人公司名称在路引水牌上的位置、规格等将由出租人自行决定。承租人知晓其将与其他客户共同使用路引水牌，任何时候出租人均有权无需征得承租人的同意，在路引水牌上加入其他人的名称。如因政府政策等原因，出租人收到相关部门通知，要求更换路引水牌或要求拆除路引水牌，则出租人有权按照政府要求予以更换或拆除，承租人不得提出任何异议，且不得向出租人要求任何对价、赔偿、补偿、索赔、要求。（</t>
    </r>
    <r>
      <rPr>
        <sz val="10"/>
        <rFont val="Arial"/>
        <family val="2"/>
      </rPr>
      <t>3</t>
    </r>
    <r>
      <rPr>
        <sz val="10"/>
        <rFont val="宋体"/>
        <family val="3"/>
        <charset val="134"/>
      </rPr>
      <t>）承租方按照本合同的规定（包括但不限于本合同第</t>
    </r>
    <r>
      <rPr>
        <sz val="10"/>
        <rFont val="Arial"/>
        <family val="2"/>
      </rPr>
      <t>13</t>
    </r>
    <r>
      <rPr>
        <sz val="10"/>
        <rFont val="宋体"/>
        <family val="3"/>
        <charset val="134"/>
      </rPr>
      <t>条的规定），可以自费在承租单元内设置公司标牌，其所有从窗户对外展示的广告设计方案均需得到出租人的认可并由承租人自行向当地城管或相关政府部门报批备案通过。</t>
    </r>
  </si>
  <si>
    <t>龙神东方餐饮</t>
  </si>
  <si>
    <t>202&amp;103A-2</t>
  </si>
  <si>
    <t>99</t>
  </si>
  <si>
    <r>
      <rPr>
        <sz val="10"/>
        <rFont val="宋体"/>
        <family val="3"/>
        <charset val="134"/>
      </rPr>
      <t>恒大文化产业集团有限公司（原为恒大欣业文化投资有限公司）</t>
    </r>
  </si>
  <si>
    <r>
      <t>304</t>
    </r>
    <r>
      <rPr>
        <sz val="10"/>
        <rFont val="宋体"/>
        <family val="3"/>
        <charset val="134"/>
      </rPr>
      <t>及</t>
    </r>
    <r>
      <rPr>
        <sz val="10"/>
        <rFont val="Arial"/>
        <family val="2"/>
      </rPr>
      <t>404-1</t>
    </r>
  </si>
  <si>
    <t>96</t>
  </si>
  <si>
    <t>恒大影视策划有限公司</t>
  </si>
  <si>
    <t>404B-8</t>
  </si>
  <si>
    <r>
      <rPr>
        <sz val="10"/>
        <rFont val="宋体"/>
        <family val="3"/>
        <charset val="134"/>
      </rPr>
      <t>可以扩租</t>
    </r>
    <r>
      <rPr>
        <sz val="10"/>
        <rFont val="Arial"/>
        <family val="2"/>
      </rPr>
      <t>404-3</t>
    </r>
  </si>
  <si>
    <r>
      <t>4</t>
    </r>
    <r>
      <rPr>
        <sz val="10"/>
        <rFont val="宋体"/>
        <family val="3"/>
        <charset val="134"/>
      </rPr>
      <t>个免费的东车楼车位。</t>
    </r>
    <r>
      <rPr>
        <sz val="10"/>
        <rFont val="Arial"/>
        <family val="2"/>
      </rPr>
      <t>4</t>
    </r>
    <r>
      <rPr>
        <sz val="10"/>
        <rFont val="宋体"/>
        <family val="3"/>
        <charset val="134"/>
      </rPr>
      <t>个免费的地下二层车位</t>
    </r>
  </si>
  <si>
    <t>承租人在事先取得出租人的书面认可的前提下，可在该单元内放置标牌或者宣传展示，必须复合法律规定。 2011.09.21日名称变更为恒大文化产业集团有限公司，并承担相关404B-1-8的八家关联公司。</t>
  </si>
  <si>
    <r>
      <rPr>
        <sz val="10"/>
        <rFont val="宋体"/>
        <family val="3"/>
        <charset val="134"/>
      </rPr>
      <t>北京百昌兴业投资顾问有限公司</t>
    </r>
  </si>
  <si>
    <t>404B-1</t>
  </si>
  <si>
    <r>
      <rPr>
        <sz val="10"/>
        <rFont val="宋体"/>
        <family val="3"/>
        <charset val="134"/>
      </rPr>
      <t>无佣金，程总介绍。</t>
    </r>
  </si>
  <si>
    <t>承租人在事先取得出租人的书面认可的前提下，可在该单元内放置标牌或者宣传展示，必须复合法律规定。如果嘉禾影院二期项目报批成功，恒大欣业在报批成功日后的6个月内退还新扩组面积，并不要求赔偿。第52条 有提前退还条款</t>
  </si>
  <si>
    <r>
      <rPr>
        <sz val="10"/>
        <rFont val="宋体"/>
        <family val="3"/>
        <charset val="134"/>
      </rPr>
      <t>北京润业文化艺术有限公司</t>
    </r>
  </si>
  <si>
    <t>404B-2</t>
  </si>
  <si>
    <r>
      <rPr>
        <sz val="10"/>
        <rFont val="宋体"/>
        <family val="3"/>
        <charset val="134"/>
      </rPr>
      <t>恒大院线管理有限公司</t>
    </r>
  </si>
  <si>
    <t>404B-3</t>
  </si>
  <si>
    <r>
      <rPr>
        <sz val="10"/>
        <rFont val="宋体"/>
        <family val="3"/>
        <charset val="134"/>
      </rPr>
      <t>恒大文化经纪有限公司</t>
    </r>
  </si>
  <si>
    <t>404B-4</t>
  </si>
  <si>
    <r>
      <rPr>
        <sz val="10"/>
        <rFont val="宋体"/>
        <family val="3"/>
        <charset val="134"/>
      </rPr>
      <t>恒大影视文化有限公司</t>
    </r>
  </si>
  <si>
    <t>404B-5</t>
  </si>
  <si>
    <r>
      <rPr>
        <sz val="10"/>
        <rFont val="宋体"/>
        <family val="3"/>
        <charset val="134"/>
      </rPr>
      <t>恒大动漫产业有限公司</t>
    </r>
  </si>
  <si>
    <t>404B-6</t>
  </si>
  <si>
    <r>
      <rPr>
        <sz val="10"/>
        <rFont val="宋体"/>
        <family val="3"/>
        <charset val="134"/>
      </rPr>
      <t>恒大音乐有限公司</t>
    </r>
  </si>
  <si>
    <t>404B-7</t>
  </si>
  <si>
    <r>
      <rPr>
        <sz val="10"/>
        <rFont val="宋体"/>
        <family val="3"/>
        <charset val="134"/>
      </rPr>
      <t>恒大影视发行有限公司</t>
    </r>
  </si>
  <si>
    <t>俏江南</t>
  </si>
  <si>
    <r>
      <t>3</t>
    </r>
    <r>
      <rPr>
        <sz val="10"/>
        <rFont val="宋体"/>
        <family val="3"/>
        <charset val="134"/>
      </rPr>
      <t>个月免租装修期待定。等太百装修一同进行。</t>
    </r>
  </si>
  <si>
    <t>Standard</t>
  </si>
  <si>
    <r>
      <t xml:space="preserve">PCP </t>
    </r>
    <r>
      <rPr>
        <b/>
        <sz val="10"/>
        <rFont val="宋体"/>
        <family val="3"/>
        <charset val="134"/>
      </rPr>
      <t>商场三层</t>
    </r>
  </si>
  <si>
    <t>悦海堂（钱龙轩）</t>
  </si>
  <si>
    <t>502&amp; 403-1 &amp;302</t>
  </si>
  <si>
    <t>120</t>
  </si>
  <si>
    <t>恒大文化经纪有限公司</t>
  </si>
  <si>
    <t>same with the main contract (Tower B)</t>
  </si>
  <si>
    <t>Same</t>
  </si>
  <si>
    <r>
      <rPr>
        <sz val="10"/>
        <rFont val="宋体"/>
        <family val="3"/>
        <charset val="134"/>
      </rPr>
      <t>佣金为</t>
    </r>
    <r>
      <rPr>
        <sz val="10"/>
        <rFont val="Arial"/>
        <family val="2"/>
      </rPr>
      <t xml:space="preserve">703932.26  </t>
    </r>
    <r>
      <rPr>
        <sz val="10"/>
        <rFont val="宋体"/>
        <family val="3"/>
        <charset val="134"/>
      </rPr>
      <t>代理是北京聚义合房地产经纪有限公司，。</t>
    </r>
    <r>
      <rPr>
        <sz val="10"/>
        <rFont val="Arial"/>
        <family val="2"/>
      </rPr>
      <t xml:space="preserve"> 2</t>
    </r>
    <r>
      <rPr>
        <sz val="10"/>
        <rFont val="宋体"/>
        <family val="3"/>
        <charset val="134"/>
      </rPr>
      <t>个月押金。</t>
    </r>
  </si>
  <si>
    <r>
      <rPr>
        <sz val="10"/>
        <rFont val="宋体"/>
        <family val="3"/>
        <charset val="134"/>
      </rPr>
      <t>北京橙天嘉禾三里屯影城管理有限公司</t>
    </r>
  </si>
  <si>
    <t>4F403-2</t>
  </si>
  <si>
    <t>180</t>
  </si>
  <si>
    <r>
      <rPr>
        <sz val="10"/>
        <rFont val="宋体"/>
        <family val="3"/>
        <charset val="134"/>
      </rPr>
      <t>无论如何</t>
    </r>
    <r>
      <rPr>
        <sz val="10"/>
        <rFont val="Arial"/>
        <family val="2"/>
      </rPr>
      <t>7</t>
    </r>
    <r>
      <rPr>
        <sz val="10"/>
        <rFont val="宋体"/>
        <family val="3"/>
        <charset val="134"/>
      </rPr>
      <t>月一日起租</t>
    </r>
    <r>
      <rPr>
        <sz val="10"/>
        <rFont val="Arial"/>
        <family val="2"/>
      </rPr>
      <t xml:space="preserve">, </t>
    </r>
    <r>
      <rPr>
        <sz val="10"/>
        <rFont val="宋体"/>
        <family val="3"/>
        <charset val="134"/>
      </rPr>
      <t>装修不能延期</t>
    </r>
    <r>
      <rPr>
        <sz val="10"/>
        <rFont val="Arial"/>
        <family val="2"/>
      </rPr>
      <t xml:space="preserve"> </t>
    </r>
    <r>
      <rPr>
        <sz val="10"/>
        <rFont val="宋体"/>
        <family val="3"/>
        <charset val="134"/>
      </rPr>
      <t>无论如何</t>
    </r>
    <r>
      <rPr>
        <sz val="10"/>
        <rFont val="Arial"/>
        <family val="2"/>
      </rPr>
      <t>7</t>
    </r>
    <r>
      <rPr>
        <sz val="10"/>
        <rFont val="宋体"/>
        <family val="3"/>
        <charset val="134"/>
      </rPr>
      <t>月一日起收管理费全额</t>
    </r>
    <r>
      <rPr>
        <sz val="10"/>
        <rFont val="Arial"/>
        <family val="2"/>
      </rPr>
      <t xml:space="preserve"> </t>
    </r>
    <r>
      <rPr>
        <sz val="10"/>
        <rFont val="宋体"/>
        <family val="3"/>
        <charset val="134"/>
      </rPr>
      <t>免费停车改为首六个月毎月</t>
    </r>
    <r>
      <rPr>
        <sz val="10"/>
        <rFont val="Arial"/>
        <family val="2"/>
      </rPr>
      <t>5000</t>
    </r>
    <r>
      <rPr>
        <sz val="10"/>
        <rFont val="宋体"/>
        <family val="3"/>
        <charset val="134"/>
      </rPr>
      <t>小时</t>
    </r>
    <r>
      <rPr>
        <sz val="10"/>
        <rFont val="Arial"/>
        <family val="2"/>
      </rPr>
      <t xml:space="preserve"> by </t>
    </r>
    <r>
      <rPr>
        <sz val="10"/>
        <rFont val="宋体"/>
        <family val="3"/>
        <charset val="134"/>
      </rPr>
      <t>孙总邮件。</t>
    </r>
  </si>
  <si>
    <r>
      <t>Sub-total</t>
    </r>
    <r>
      <rPr>
        <b/>
        <sz val="10"/>
        <rFont val="宋体"/>
        <family val="3"/>
        <charset val="134"/>
      </rPr>
      <t>总计</t>
    </r>
  </si>
  <si>
    <t>KEY:</t>
  </si>
  <si>
    <t>New lease in Jul-13</t>
  </si>
  <si>
    <t>Lease renewed in Jul-13</t>
  </si>
  <si>
    <t xml:space="preserve"> Reservation  in Jul-13</t>
  </si>
  <si>
    <t>PacificDepartmentStore</t>
  </si>
  <si>
    <t>10.5</t>
  </si>
  <si>
    <t>Basic rent only</t>
  </si>
  <si>
    <t>*After Jul 31 2013</t>
  </si>
  <si>
    <t>Total</t>
  </si>
  <si>
    <t>*After Jul 31 2013 (Being included in the leased area)</t>
  </si>
  <si>
    <t>2014年租期租约期内（2013.11.20至2014.12.31）</t>
  </si>
  <si>
    <t>2014年租期租约期外（2015.1.1至2034.1.3）</t>
  </si>
  <si>
    <t>2015租约期内（2013.11.20至2015.12.31）</t>
  </si>
  <si>
    <t>2015租约期外（2016.1.1至2034.1.3）</t>
  </si>
  <si>
    <t>2017租约期内（2013.11.20至2017.5.31）</t>
  </si>
  <si>
    <t>2017租约期外（2017.6.1至2034.1.3）</t>
  </si>
  <si>
    <t>2018租约期内（2013.11.20至2018.7.31）</t>
  </si>
  <si>
    <t>2018租约期外（2018.8.1至2034.1.3）</t>
  </si>
  <si>
    <t>2019租约期内（2013.11.20至2019.9.14）</t>
  </si>
  <si>
    <t>2019租约期外（2019.9.15至2034.1.3）</t>
  </si>
  <si>
    <t>2021租约期内（2013.11.20至2021.3.14）</t>
  </si>
  <si>
    <t>2021租约期外（2021.3.15至2034.1.3）</t>
  </si>
  <si>
    <t>2025租约期内（2013.11.20至2025.6.30）</t>
  </si>
  <si>
    <t>2025租约期外（2025.7.1至2034.1.3）</t>
  </si>
  <si>
    <t>2019</t>
  </si>
  <si>
    <t>2020</t>
  </si>
  <si>
    <t>2024</t>
  </si>
  <si>
    <t>收益法计算（商业）</t>
  </si>
  <si>
    <t>商业</t>
  </si>
  <si>
    <t>Units（单位）</t>
  </si>
  <si>
    <r>
      <t>Survey</t>
    </r>
    <r>
      <rPr>
        <b/>
        <sz val="10"/>
        <color indexed="10"/>
        <rFont val="宋体"/>
        <family val="3"/>
        <charset val="134"/>
      </rPr>
      <t>（测量）</t>
    </r>
  </si>
  <si>
    <t>Contract（合同）</t>
  </si>
  <si>
    <r>
      <t>Vacant</t>
    </r>
    <r>
      <rPr>
        <b/>
        <sz val="10"/>
        <rFont val="宋体"/>
        <family val="3"/>
        <charset val="134"/>
      </rPr>
      <t>（空置）</t>
    </r>
  </si>
  <si>
    <t>Face Rent per GFA  
单位建筑面积租金</t>
  </si>
  <si>
    <t>Effective Rent per GFA
单位建筑面积有效租金</t>
  </si>
  <si>
    <t>Effective Rent per GFA Contract
合同建筑面积有效租金</t>
  </si>
  <si>
    <t>Mgt per GFA
单位建筑面积管理费</t>
  </si>
  <si>
    <t>Monthly Face Rent
月租</t>
  </si>
  <si>
    <t>Monthly Effective Rent
有效月租</t>
  </si>
  <si>
    <t>Monthly</t>
  </si>
  <si>
    <r>
      <t xml:space="preserve">Monthly Mgt Fee
</t>
    </r>
    <r>
      <rPr>
        <b/>
        <sz val="10"/>
        <rFont val="宋体"/>
        <family val="3"/>
        <charset val="134"/>
      </rPr>
      <t>月管理费</t>
    </r>
  </si>
  <si>
    <t>Term（期限）</t>
  </si>
  <si>
    <t>Rent Period（租期）</t>
  </si>
  <si>
    <t>GFA（建筑面积）</t>
  </si>
  <si>
    <t>Effective Rent
有效月租</t>
  </si>
  <si>
    <t>Months（月）</t>
  </si>
  <si>
    <t>SQM平方米</t>
  </si>
  <si>
    <t>RMB人民币</t>
  </si>
  <si>
    <t>USD美金</t>
  </si>
  <si>
    <r>
      <rPr>
        <b/>
        <sz val="10"/>
        <rFont val="宋体"/>
        <family val="3"/>
        <charset val="134"/>
      </rPr>
      <t>柏诚工程技术（北京）有限公司</t>
    </r>
  </si>
  <si>
    <t>16F</t>
  </si>
  <si>
    <t>40</t>
  </si>
  <si>
    <t>北京业宏达经贸有限公司</t>
  </si>
  <si>
    <t>1202,02A,03,05-08A</t>
  </si>
  <si>
    <t>北京泰亿通经贸有限公司</t>
  </si>
  <si>
    <t>海康人寿保险有限公司</t>
  </si>
  <si>
    <t>1201,1210-17A</t>
  </si>
  <si>
    <r>
      <rPr>
        <b/>
        <sz val="10"/>
        <rFont val="宋体"/>
        <family val="3"/>
        <charset val="134"/>
      </rPr>
      <t>北京盛世创捷投资管理有限公司</t>
    </r>
  </si>
  <si>
    <t>1010</t>
  </si>
  <si>
    <t>三和锦信（北京燕德行投资担保有限公司）</t>
  </si>
  <si>
    <t>811,812,815,816,817</t>
  </si>
  <si>
    <t>Boeing (China) Co.,</t>
  </si>
  <si>
    <t>16th-17th/F except 1734,1603,1605,1605A</t>
  </si>
  <si>
    <t>JEPPESEN GmbH</t>
  </si>
  <si>
    <t>1603&amp;1605 1605A</t>
  </si>
  <si>
    <t>北京百华悦邦（百邦优保）电子科技责任有限公司</t>
  </si>
  <si>
    <t>801&amp;817A</t>
  </si>
  <si>
    <r>
      <rPr>
        <b/>
        <sz val="10"/>
        <rFont val="宋体"/>
        <family val="3"/>
        <charset val="134"/>
      </rPr>
      <t>世丹上海商贸有限公司</t>
    </r>
  </si>
  <si>
    <t>7F 703</t>
  </si>
  <si>
    <t>日联汽车零部件贸易（天津）有限公司北京分公司</t>
  </si>
  <si>
    <t>602 &amp; 603</t>
  </si>
  <si>
    <t>峰能斯格尔（北京）可再生能源科技有限公司Feng Neng Sgurr (Beijing) Renewable Energy Technology</t>
  </si>
  <si>
    <t>808A&amp; 809</t>
  </si>
  <si>
    <r>
      <rPr>
        <b/>
        <sz val="10"/>
        <rFont val="宋体"/>
        <family val="3"/>
        <charset val="134"/>
      </rPr>
      <t>北京汇益安国际信息交流有限公司</t>
    </r>
  </si>
  <si>
    <t>607</t>
  </si>
  <si>
    <t xml:space="preserve">Kondensha </t>
  </si>
  <si>
    <t>802</t>
  </si>
  <si>
    <r>
      <rPr>
        <b/>
        <sz val="10"/>
        <rFont val="宋体"/>
        <family val="3"/>
        <charset val="134"/>
      </rPr>
      <t>杰爱士（北京）商务咨询有限公司</t>
    </r>
  </si>
  <si>
    <t>704</t>
  </si>
  <si>
    <t>菱重环环境工业（上海）有限公司</t>
  </si>
  <si>
    <t>1516,1517,1517A</t>
  </si>
  <si>
    <t>马来西亚航空北京办事处</t>
  </si>
  <si>
    <t xml:space="preserve">1008B,9,10,11A </t>
  </si>
  <si>
    <r>
      <rPr>
        <b/>
        <sz val="10"/>
        <rFont val="宋体"/>
        <family val="3"/>
        <charset val="134"/>
      </rPr>
      <t>美夏国际贸易（上海）有限公司北京办事处</t>
    </r>
  </si>
  <si>
    <t>8F 802</t>
  </si>
  <si>
    <r>
      <t>1002A,1002B</t>
    </r>
    <r>
      <rPr>
        <b/>
        <sz val="10"/>
        <rFont val="宋体"/>
        <family val="3"/>
        <charset val="134"/>
      </rPr>
      <t>，</t>
    </r>
    <r>
      <rPr>
        <b/>
        <sz val="10"/>
        <rFont val="Arial"/>
        <family val="2"/>
      </rPr>
      <t>1003</t>
    </r>
  </si>
  <si>
    <r>
      <rPr>
        <b/>
        <sz val="10"/>
        <rFont val="宋体"/>
        <family val="3"/>
        <charset val="134"/>
      </rPr>
      <t>上海博报堂广告有限公司北京分公司</t>
    </r>
  </si>
  <si>
    <t xml:space="preserve"> 1206-1212</t>
  </si>
  <si>
    <r>
      <rPr>
        <b/>
        <sz val="10"/>
        <rFont val="宋体"/>
        <family val="3"/>
        <charset val="134"/>
      </rPr>
      <t>港大思培北京咨询有限公司</t>
    </r>
  </si>
  <si>
    <t>1007</t>
  </si>
  <si>
    <r>
      <rPr>
        <b/>
        <sz val="10"/>
        <rFont val="宋体"/>
        <family val="3"/>
        <charset val="134"/>
      </rPr>
      <t>香港大学进修学院北京代表处</t>
    </r>
  </si>
  <si>
    <t>1008</t>
  </si>
  <si>
    <r>
      <rPr>
        <b/>
        <sz val="10"/>
        <rFont val="宋体"/>
        <family val="3"/>
        <charset val="134"/>
      </rPr>
      <t>新闻集团有限公司北京代表处</t>
    </r>
  </si>
  <si>
    <t>1010A</t>
  </si>
  <si>
    <r>
      <rPr>
        <b/>
        <sz val="10"/>
        <rFont val="宋体"/>
        <family val="3"/>
        <charset val="134"/>
      </rPr>
      <t>北京华文星空广告有限公司</t>
    </r>
  </si>
  <si>
    <t>1011&amp;1012</t>
  </si>
  <si>
    <t>Regus Business</t>
  </si>
  <si>
    <t>14F</t>
  </si>
  <si>
    <r>
      <rPr>
        <b/>
        <sz val="10"/>
        <rFont val="宋体"/>
        <family val="3"/>
        <charset val="134"/>
      </rPr>
      <t>北京</t>
    </r>
    <r>
      <rPr>
        <b/>
        <sz val="10"/>
        <rFont val="Arial"/>
        <family val="2"/>
      </rPr>
      <t>RealNetworks</t>
    </r>
    <r>
      <rPr>
        <b/>
        <sz val="10"/>
        <rFont val="宋体"/>
        <family val="3"/>
        <charset val="134"/>
      </rPr>
      <t>科技有限公司</t>
    </r>
  </si>
  <si>
    <t>1801</t>
  </si>
  <si>
    <r>
      <rPr>
        <b/>
        <sz val="10"/>
        <rFont val="宋体"/>
        <family val="3"/>
        <charset val="134"/>
      </rPr>
      <t>港大思培（北京）咨询有限公司</t>
    </r>
  </si>
  <si>
    <r>
      <rPr>
        <b/>
        <sz val="10"/>
        <rFont val="宋体"/>
        <family val="3"/>
        <charset val="134"/>
      </rPr>
      <t>罗技中国科技有限公司</t>
    </r>
  </si>
  <si>
    <t>702A</t>
  </si>
  <si>
    <r>
      <rPr>
        <b/>
        <sz val="10"/>
        <rFont val="宋体"/>
        <family val="3"/>
        <charset val="134"/>
      </rPr>
      <t>罗技北京贸易有限公司</t>
    </r>
  </si>
  <si>
    <t>702B</t>
  </si>
  <si>
    <r>
      <rPr>
        <b/>
        <sz val="10"/>
        <rFont val="宋体"/>
        <family val="3"/>
        <charset val="134"/>
      </rPr>
      <t>北京瑞奥视科技有限公司</t>
    </r>
    <r>
      <rPr>
        <b/>
        <sz val="10"/>
        <rFont val="Arial"/>
        <family val="2"/>
      </rPr>
      <t xml:space="preserve"> </t>
    </r>
  </si>
  <si>
    <t>1802</t>
  </si>
  <si>
    <r>
      <rPr>
        <b/>
        <sz val="10"/>
        <rFont val="宋体"/>
        <family val="3"/>
        <charset val="134"/>
      </rPr>
      <t>卢森堡大使馆</t>
    </r>
    <r>
      <rPr>
        <b/>
        <sz val="10"/>
        <rFont val="Arial"/>
        <family val="2"/>
      </rPr>
      <t>1701</t>
    </r>
  </si>
  <si>
    <t>1701</t>
  </si>
  <si>
    <r>
      <rPr>
        <b/>
        <sz val="10"/>
        <rFont val="宋体"/>
        <family val="3"/>
        <charset val="134"/>
      </rPr>
      <t>北京东岸兴业商贸有限公司</t>
    </r>
  </si>
  <si>
    <r>
      <t>1001</t>
    </r>
    <r>
      <rPr>
        <b/>
        <sz val="10"/>
        <rFont val="宋体"/>
        <family val="3"/>
        <charset val="134"/>
      </rPr>
      <t>、</t>
    </r>
    <r>
      <rPr>
        <b/>
        <sz val="10"/>
        <rFont val="Arial"/>
        <family val="2"/>
      </rPr>
      <t>1002</t>
    </r>
    <r>
      <rPr>
        <b/>
        <sz val="10"/>
        <rFont val="宋体"/>
        <family val="3"/>
        <charset val="134"/>
      </rPr>
      <t>、</t>
    </r>
    <r>
      <rPr>
        <b/>
        <sz val="10"/>
        <rFont val="Arial"/>
        <family val="2"/>
      </rPr>
      <t>1015</t>
    </r>
    <r>
      <rPr>
        <b/>
        <sz val="10"/>
        <rFont val="宋体"/>
        <family val="3"/>
        <charset val="134"/>
      </rPr>
      <t>、</t>
    </r>
    <r>
      <rPr>
        <b/>
        <sz val="10"/>
        <rFont val="Arial"/>
        <family val="2"/>
      </rPr>
      <t>1016</t>
    </r>
    <r>
      <rPr>
        <b/>
        <sz val="10"/>
        <rFont val="宋体"/>
        <family val="3"/>
        <charset val="134"/>
      </rPr>
      <t>、</t>
    </r>
    <r>
      <rPr>
        <b/>
        <sz val="10"/>
        <rFont val="Arial"/>
        <family val="2"/>
      </rPr>
      <t>1017</t>
    </r>
    <r>
      <rPr>
        <b/>
        <sz val="10"/>
        <rFont val="宋体"/>
        <family val="3"/>
        <charset val="134"/>
      </rPr>
      <t>、</t>
    </r>
    <r>
      <rPr>
        <b/>
        <sz val="10"/>
        <rFont val="Arial"/>
        <family val="2"/>
      </rPr>
      <t>1017A</t>
    </r>
  </si>
  <si>
    <r>
      <rPr>
        <b/>
        <sz val="10"/>
        <rFont val="宋体"/>
        <family val="3"/>
        <charset val="134"/>
      </rPr>
      <t>亚欧联合资本投资顾问（北京）有限公司</t>
    </r>
  </si>
  <si>
    <r>
      <rPr>
        <b/>
        <sz val="10"/>
        <rFont val="宋体"/>
        <family val="3"/>
        <charset val="134"/>
      </rPr>
      <t>盐城国际妇女时装有限公司北京分公司</t>
    </r>
    <r>
      <rPr>
        <b/>
        <sz val="10"/>
        <rFont val="Arial"/>
        <family val="2"/>
      </rPr>
      <t xml:space="preserve"> </t>
    </r>
  </si>
  <si>
    <r>
      <t>1201</t>
    </r>
    <r>
      <rPr>
        <b/>
        <sz val="10"/>
        <rFont val="宋体"/>
        <family val="3"/>
        <charset val="134"/>
      </rPr>
      <t>、</t>
    </r>
    <r>
      <rPr>
        <b/>
        <sz val="10"/>
        <rFont val="Arial"/>
        <family val="2"/>
      </rPr>
      <t>02</t>
    </r>
    <r>
      <rPr>
        <b/>
        <sz val="10"/>
        <rFont val="宋体"/>
        <family val="3"/>
        <charset val="134"/>
      </rPr>
      <t>、</t>
    </r>
    <r>
      <rPr>
        <b/>
        <sz val="10"/>
        <rFont val="Arial"/>
        <family val="2"/>
      </rPr>
      <t>03</t>
    </r>
    <r>
      <rPr>
        <b/>
        <sz val="10"/>
        <rFont val="宋体"/>
        <family val="3"/>
        <charset val="134"/>
      </rPr>
      <t>、</t>
    </r>
    <r>
      <rPr>
        <b/>
        <sz val="10"/>
        <rFont val="Arial"/>
        <family val="2"/>
      </rPr>
      <t>05</t>
    </r>
  </si>
  <si>
    <t>606</t>
  </si>
  <si>
    <r>
      <rPr>
        <b/>
        <sz val="10"/>
        <rFont val="宋体"/>
        <family val="3"/>
        <charset val="134"/>
      </rPr>
      <t>花旗银行（中国）有限公司北京分行</t>
    </r>
  </si>
  <si>
    <t>901,902,903,905,906</t>
  </si>
  <si>
    <r>
      <rPr>
        <b/>
        <sz val="10"/>
        <rFont val="宋体"/>
        <family val="3"/>
        <charset val="134"/>
      </rPr>
      <t>三菱电机汽车部件（中国）有限公司</t>
    </r>
  </si>
  <si>
    <t>907,908,909</t>
  </si>
  <si>
    <t>保护国际基金会</t>
  </si>
  <si>
    <r>
      <t>910A</t>
    </r>
    <r>
      <rPr>
        <b/>
        <sz val="10"/>
        <rFont val="宋体"/>
        <family val="3"/>
        <charset val="134"/>
      </rPr>
      <t>、</t>
    </r>
    <r>
      <rPr>
        <b/>
        <sz val="10"/>
        <rFont val="Arial"/>
        <family val="2"/>
      </rPr>
      <t>911</t>
    </r>
    <r>
      <rPr>
        <b/>
        <sz val="10"/>
        <rFont val="宋体"/>
        <family val="3"/>
        <charset val="134"/>
      </rPr>
      <t>、</t>
    </r>
    <r>
      <rPr>
        <b/>
        <sz val="10"/>
        <rFont val="Arial"/>
        <family val="2"/>
      </rPr>
      <t>912</t>
    </r>
    <r>
      <rPr>
        <b/>
        <sz val="10"/>
        <rFont val="宋体"/>
        <family val="3"/>
        <charset val="134"/>
      </rPr>
      <t>、</t>
    </r>
    <r>
      <rPr>
        <b/>
        <sz val="10"/>
        <rFont val="Arial"/>
        <family val="2"/>
      </rPr>
      <t>915</t>
    </r>
  </si>
  <si>
    <r>
      <rPr>
        <b/>
        <sz val="10"/>
        <rFont val="宋体"/>
        <family val="3"/>
        <charset val="134"/>
      </rPr>
      <t>北京任仕达人力资源服务有限公司</t>
    </r>
  </si>
  <si>
    <t>1117A,1101,1102,1102A,1103A</t>
  </si>
  <si>
    <r>
      <rPr>
        <b/>
        <sz val="10"/>
        <rFont val="宋体"/>
        <family val="3"/>
        <charset val="134"/>
      </rPr>
      <t>北京任仕达企业管理有限责任公司</t>
    </r>
  </si>
  <si>
    <r>
      <t>1107,08</t>
    </r>
    <r>
      <rPr>
        <b/>
        <sz val="10"/>
        <rFont val="宋体"/>
        <family val="3"/>
        <charset val="134"/>
      </rPr>
      <t>，</t>
    </r>
    <r>
      <rPr>
        <b/>
        <sz val="10"/>
        <rFont val="Arial"/>
        <family val="2"/>
      </rPr>
      <t>08A</t>
    </r>
  </si>
  <si>
    <t>1103B,05,06</t>
  </si>
  <si>
    <t>北京晓星芭蕾艺术发展基金会</t>
  </si>
  <si>
    <t>910</t>
  </si>
  <si>
    <t>48</t>
  </si>
  <si>
    <r>
      <rPr>
        <b/>
        <sz val="10"/>
        <rFont val="宋体"/>
        <family val="3"/>
        <charset val="134"/>
      </rPr>
      <t>北京拂晓之星文化有限公司</t>
    </r>
  </si>
  <si>
    <t>909B</t>
  </si>
  <si>
    <r>
      <rPr>
        <b/>
        <sz val="10"/>
        <rFont val="宋体"/>
        <family val="3"/>
        <charset val="134"/>
      </rPr>
      <t>中信银行股份有限公司</t>
    </r>
    <r>
      <rPr>
        <b/>
        <sz val="10"/>
        <rFont val="Arial"/>
        <family val="2"/>
      </rPr>
      <t xml:space="preserve"> </t>
    </r>
  </si>
  <si>
    <t>21-26F</t>
  </si>
  <si>
    <t>61</t>
  </si>
  <si>
    <r>
      <rPr>
        <b/>
        <sz val="10"/>
        <rFont val="宋体"/>
        <family val="3"/>
        <charset val="134"/>
      </rPr>
      <t>华纳盛世音乐版权代理（北京）有限公司</t>
    </r>
  </si>
  <si>
    <t>910A</t>
  </si>
  <si>
    <r>
      <rPr>
        <b/>
        <sz val="10"/>
        <rFont val="宋体"/>
        <family val="3"/>
        <charset val="134"/>
      </rPr>
      <t>丹佛斯自动控制管理（上海）有限公司</t>
    </r>
  </si>
  <si>
    <t>2001</t>
  </si>
  <si>
    <t>丹佛斯（天津）有限公司</t>
  </si>
  <si>
    <t>2002</t>
  </si>
  <si>
    <t>浙江海利普电子科技有限公司</t>
  </si>
  <si>
    <t>19F</t>
  </si>
  <si>
    <t>北京博纳美涛文化传媒有限公司</t>
  </si>
  <si>
    <r>
      <t>1701</t>
    </r>
    <r>
      <rPr>
        <b/>
        <sz val="10"/>
        <rFont val="宋体"/>
        <family val="3"/>
        <charset val="134"/>
      </rPr>
      <t>、</t>
    </r>
    <r>
      <rPr>
        <b/>
        <sz val="10"/>
        <rFont val="Arial"/>
        <family val="2"/>
      </rPr>
      <t>02&amp;11</t>
    </r>
  </si>
  <si>
    <t>TOTAL TOWER A</t>
  </si>
  <si>
    <t>市场比较法（需配位置图）</t>
  </si>
  <si>
    <t>修正幅度</t>
  </si>
  <si>
    <t>40-50年</t>
  </si>
  <si>
    <t>基础设施情况</t>
  </si>
  <si>
    <t>七通一平</t>
  </si>
  <si>
    <t>临街道路级别</t>
  </si>
  <si>
    <t>公共服务设施状况</t>
  </si>
  <si>
    <t>齐全</t>
  </si>
  <si>
    <t>楼层</t>
  </si>
  <si>
    <t>建筑结构</t>
  </si>
  <si>
    <t>建筑规模</t>
  </si>
  <si>
    <t>销售均价</t>
  </si>
  <si>
    <t>各因素等级自定义设定说明</t>
  </si>
  <si>
    <t>比准价格</t>
  </si>
  <si>
    <t>楼面价格</t>
  </si>
  <si>
    <t>30-35（含）</t>
  </si>
  <si>
    <t>35-40（含）</t>
  </si>
  <si>
    <t>房地产总值</t>
  </si>
  <si>
    <t>40-45（含）</t>
  </si>
  <si>
    <t>5（含）-10层</t>
  </si>
  <si>
    <t>小于1万</t>
  </si>
  <si>
    <t>10-15层</t>
  </si>
  <si>
    <t>1-5万</t>
  </si>
  <si>
    <t>15-20层</t>
  </si>
  <si>
    <t>5-10万</t>
  </si>
  <si>
    <t>20层以上</t>
  </si>
  <si>
    <t>10万以上</t>
  </si>
  <si>
    <t>月</t>
  </si>
  <si>
    <t>日</t>
  </si>
  <si>
    <t>土地年限终止日</t>
  </si>
  <si>
    <t>估价期日</t>
  </si>
  <si>
    <t>剩余天数</t>
  </si>
  <si>
    <t>剩余使用年限</t>
  </si>
  <si>
    <t>2014年租期租约期内（2013.11.20至2014.11.30）</t>
  </si>
  <si>
    <t>2014年租期租约期外（2014.12.1至2044.1.3）</t>
  </si>
  <si>
    <t>2015租约期外（2016.1.1至2044.1.3）</t>
  </si>
  <si>
    <t>2016租约期内（2013.11.20至2016.4.14）</t>
  </si>
  <si>
    <t>2016租约期外（2016.4.15至2044.1.3）</t>
  </si>
  <si>
    <t>2017租约期内（2013.11.20至2017.1.31）</t>
  </si>
  <si>
    <t>2017租约期外（2017.2.1至2044.1.3）</t>
  </si>
  <si>
    <t>2019租约期内（2013.11.20至2019.6.30）</t>
  </si>
  <si>
    <t>2019租约期外（2019.7.1至2044.1.3）</t>
  </si>
  <si>
    <t>收益法计算（办公）</t>
  </si>
  <si>
    <t>（一）年总收益</t>
  </si>
  <si>
    <t>项目名称</t>
  </si>
  <si>
    <t>出租天数</t>
  </si>
  <si>
    <t>成本</t>
  </si>
  <si>
    <t>年总收益</t>
  </si>
  <si>
    <t>（三）年经营费用</t>
  </si>
  <si>
    <t>数量</t>
  </si>
  <si>
    <t>备注</t>
  </si>
  <si>
    <t>税费</t>
  </si>
  <si>
    <t>1.1+1.2+1.3</t>
  </si>
  <si>
    <t>两税一费</t>
  </si>
  <si>
    <t>年总收益×税率</t>
  </si>
  <si>
    <t>房屋原值×（1-30%）×税率</t>
  </si>
  <si>
    <t>土地面积×单价</t>
  </si>
  <si>
    <t>房屋重置价格×维修费率</t>
  </si>
  <si>
    <t>房屋现值×保险费率</t>
  </si>
  <si>
    <t>年经营费用</t>
  </si>
  <si>
    <t>（四）房地产价值</t>
  </si>
  <si>
    <t>年纯收益</t>
  </si>
  <si>
    <t>变化率</t>
  </si>
  <si>
    <t>还原利率</t>
  </si>
  <si>
    <r>
      <t>2044</t>
    </r>
    <r>
      <rPr>
        <sz val="10"/>
        <rFont val="宋体"/>
        <family val="3"/>
        <charset val="134"/>
      </rPr>
      <t>.1.3</t>
    </r>
  </si>
  <si>
    <t>2013.11.20</t>
  </si>
  <si>
    <t>收益法计算</t>
  </si>
  <si>
    <t>中区</t>
  </si>
  <si>
    <t>低区</t>
  </si>
  <si>
    <t>其他2</t>
  </si>
  <si>
    <t>其他3</t>
  </si>
  <si>
    <r>
      <t>按建筑物价值的</t>
    </r>
    <r>
      <rPr>
        <sz val="10"/>
        <rFont val="Times New Roman"/>
        <family val="1"/>
      </rPr>
      <t>1%-3%</t>
    </r>
    <r>
      <rPr>
        <sz val="10"/>
        <rFont val="宋体"/>
        <family val="3"/>
        <charset val="134"/>
      </rPr>
      <t>计取</t>
    </r>
  </si>
  <si>
    <r>
      <t>1-</t>
    </r>
    <r>
      <rPr>
        <sz val="10"/>
        <rFont val="宋体"/>
        <family val="3"/>
        <charset val="134"/>
      </rPr>
      <t>2</t>
    </r>
    <r>
      <rPr>
        <sz val="10"/>
        <rFont val="宋体"/>
        <family val="3"/>
        <charset val="134"/>
      </rPr>
      <t>项</t>
    </r>
    <r>
      <rPr>
        <sz val="10"/>
        <rFont val="宋体"/>
        <family val="3"/>
        <charset val="134"/>
      </rPr>
      <t>产生的利润</t>
    </r>
  </si>
  <si>
    <t>建筑物现值</t>
  </si>
  <si>
    <t>建筑物价值比率</t>
  </si>
  <si>
    <t>土地价值比率</t>
  </si>
  <si>
    <t>建筑物现值×保险费率</t>
  </si>
  <si>
    <t>报酬率</t>
  </si>
  <si>
    <t>房地产总价</t>
  </si>
  <si>
    <t>地上</t>
  </si>
  <si>
    <t>地下</t>
  </si>
  <si>
    <t>计算综合资本化率使用，非测算用</t>
  </si>
  <si>
    <t>土地价值</t>
  </si>
  <si>
    <t>房地产总价-建筑物价值</t>
  </si>
  <si>
    <t>建筑物年纯收益</t>
  </si>
  <si>
    <t>土地年纯收益</t>
  </si>
  <si>
    <t>房地年纯收益-建筑物年纯收益</t>
  </si>
  <si>
    <t>土地资本化率</t>
  </si>
  <si>
    <t>土地年纯收益/土地价值</t>
  </si>
  <si>
    <t>综合资本化率</t>
  </si>
  <si>
    <t>建筑物价值比率*建筑物资本化率+土地价值比率*土地资本化率</t>
  </si>
  <si>
    <t>验证</t>
  </si>
  <si>
    <t>资本化率</t>
  </si>
  <si>
    <t>房地年纯收益/房地产价值</t>
  </si>
  <si>
    <r>
      <t>市场比较法</t>
    </r>
    <r>
      <rPr>
        <b/>
        <sz val="16"/>
        <color indexed="10"/>
        <rFont val="楷体_GB2312"/>
        <family val="3"/>
        <charset val="134"/>
      </rPr>
      <t>（需配位置图）</t>
    </r>
  </si>
  <si>
    <t>所在楼层位置</t>
  </si>
  <si>
    <t>周边有无公共停车场</t>
  </si>
  <si>
    <t>无</t>
  </si>
  <si>
    <t>配套类型（地上主用途）</t>
  </si>
  <si>
    <t>停车位面积（以单车位价格比较时暂不修正）</t>
  </si>
  <si>
    <t>车位类型（平面、立体）</t>
  </si>
  <si>
    <t>平面</t>
  </si>
  <si>
    <t>项目停车位配比</t>
  </si>
  <si>
    <t>停车安全设施设备</t>
  </si>
  <si>
    <t>销售单价</t>
  </si>
  <si>
    <t>&lt;1</t>
  </si>
  <si>
    <t>1-2（含）</t>
  </si>
  <si>
    <t>2-3（含）</t>
  </si>
  <si>
    <t>价格</t>
  </si>
  <si>
    <t>元/平方米</t>
  </si>
  <si>
    <t>面积</t>
  </si>
  <si>
    <t>套数</t>
  </si>
  <si>
    <t>元/个</t>
  </si>
  <si>
    <t>行政区域</t>
  </si>
  <si>
    <t>使用年限</t>
  </si>
  <si>
    <t>坐落位置</t>
  </si>
  <si>
    <t>所属商圈</t>
  </si>
  <si>
    <t>房屋所有权证号</t>
  </si>
  <si>
    <t>销售状态</t>
  </si>
  <si>
    <t>2014-6套数</t>
  </si>
  <si>
    <t>2014-6面积</t>
  </si>
  <si>
    <t>2014-6均价</t>
  </si>
  <si>
    <t>正在销售</t>
  </si>
  <si>
    <t>车位</t>
  </si>
  <si>
    <t>收益法计算（车库）</t>
  </si>
  <si>
    <t>车位面积</t>
  </si>
  <si>
    <t>车位个数</t>
  </si>
  <si>
    <t>市场比较法（车库）</t>
  </si>
  <si>
    <t>案例J</t>
  </si>
  <si>
    <t>案例K</t>
  </si>
  <si>
    <t>案例L</t>
  </si>
  <si>
    <t>北京财富中心二期公寓御金台</t>
  </si>
  <si>
    <t>华贸中心</t>
  </si>
  <si>
    <t>30-40年</t>
  </si>
  <si>
    <t>综合类二级</t>
  </si>
  <si>
    <t>综合类一级</t>
  </si>
  <si>
    <t>综合类三级</t>
  </si>
  <si>
    <t>主干道—光华路</t>
  </si>
  <si>
    <t>主干道—建国路</t>
  </si>
  <si>
    <t>实体状况</t>
  </si>
  <si>
    <t>配套类型</t>
  </si>
  <si>
    <t>住宅、写字楼、商业综合体配套</t>
  </si>
  <si>
    <t>住宅配套</t>
  </si>
  <si>
    <t>车位类型</t>
  </si>
  <si>
    <t>＜20</t>
  </si>
  <si>
    <t>39.7</t>
  </si>
  <si>
    <t>33.35</t>
  </si>
  <si>
    <t>31.8</t>
  </si>
  <si>
    <t>20-30</t>
  </si>
  <si>
    <t>30-40</t>
  </si>
  <si>
    <t>＞40</t>
  </si>
  <si>
    <t>收益法计算（停车楼）</t>
  </si>
  <si>
    <t>分楼层单价修正表</t>
  </si>
  <si>
    <t>所在楼层</t>
  </si>
  <si>
    <t>楼层修正系数</t>
  </si>
  <si>
    <t>建筑面积修正系数</t>
  </si>
  <si>
    <t>修正单价</t>
  </si>
  <si>
    <t>大写（万元）</t>
  </si>
  <si>
    <t>房地产估价师知悉的法定优先受偿款（万元）</t>
  </si>
  <si>
    <t>扣除法定优先受偿款的房地产抵押价值（万元）</t>
  </si>
  <si>
    <t>.</t>
  </si>
  <si>
    <t>若估价时点按照评估的房地产价值处置需缴纳的相关税费</t>
  </si>
  <si>
    <t>税（费）种</t>
  </si>
  <si>
    <t>金额（万元）</t>
  </si>
  <si>
    <t>计算方法</t>
  </si>
  <si>
    <t>税（费）率</t>
  </si>
  <si>
    <t>计税基数</t>
  </si>
  <si>
    <t>营业税及附加</t>
  </si>
  <si>
    <t>转让额×税（费）率</t>
  </si>
  <si>
    <t>印花税</t>
  </si>
  <si>
    <t>转让额×税率</t>
  </si>
  <si>
    <t>土地增值税</t>
  </si>
  <si>
    <t>企业所得税</t>
  </si>
  <si>
    <t>合计（万元）</t>
  </si>
  <si>
    <t>小写</t>
  </si>
  <si>
    <t>大写</t>
  </si>
  <si>
    <t>自行开发</t>
  </si>
  <si>
    <t>系数</t>
  </si>
  <si>
    <t>转让收入</t>
  </si>
  <si>
    <t>评估值</t>
  </si>
  <si>
    <t>扣除项合计</t>
  </si>
  <si>
    <t>2.1</t>
  </si>
  <si>
    <t>土地取得成本</t>
  </si>
  <si>
    <t>取得土地使用权所支付的金额，包括支付地价款和有关登记、过户手续费</t>
  </si>
  <si>
    <t>2.1.1</t>
  </si>
  <si>
    <t>土地取得费用</t>
  </si>
  <si>
    <t>依据出让合同</t>
  </si>
  <si>
    <t>2.1.2</t>
  </si>
  <si>
    <t>契税及印花税</t>
  </si>
  <si>
    <t>2.2</t>
  </si>
  <si>
    <t>土地开发费</t>
  </si>
  <si>
    <t>土地取得费用如果为出让金或者毛地价，需在此处计土地开发费（土地征用及拆迁补偿费）</t>
  </si>
  <si>
    <t>或用企业提供的总投，或进行测算</t>
  </si>
  <si>
    <t>包括前期工程费、建筑安装工程费、基础设施费和公共配套费等</t>
  </si>
  <si>
    <t>2.3</t>
  </si>
  <si>
    <t>开发费用扣除</t>
  </si>
  <si>
    <t>土地及建筑总投的5%；含销售、管理、财务费用</t>
  </si>
  <si>
    <t>2.4</t>
  </si>
  <si>
    <t>转让税金支出</t>
  </si>
  <si>
    <t>房地产转让时的两税一费及印花税等</t>
  </si>
  <si>
    <t>2.5</t>
  </si>
  <si>
    <t>加计扣除金额</t>
  </si>
  <si>
    <r>
      <t>对</t>
    </r>
    <r>
      <rPr>
        <b/>
        <sz val="10"/>
        <color indexed="8"/>
        <rFont val="宋体"/>
        <family val="3"/>
        <charset val="134"/>
      </rPr>
      <t>专门从事房地产开发</t>
    </r>
    <r>
      <rPr>
        <sz val="10"/>
        <color indexed="8"/>
        <rFont val="宋体"/>
        <family val="3"/>
        <charset val="134"/>
      </rPr>
      <t>的企业可以按20％计算扣除；</t>
    </r>
    <r>
      <rPr>
        <sz val="10"/>
        <color indexed="10"/>
        <rFont val="宋体"/>
        <family val="3"/>
        <charset val="134"/>
      </rPr>
      <t>如为土地，则仅将土地开发费加计20%扣减</t>
    </r>
  </si>
  <si>
    <t>增值额</t>
  </si>
  <si>
    <t>增值额与扣除项比率</t>
  </si>
  <si>
    <t>应纳增值税税额</t>
  </si>
  <si>
    <t>用途</t>
    <phoneticPr fontId="93" type="noConversion"/>
  </si>
  <si>
    <t>商业</t>
    <phoneticPr fontId="93" type="noConversion"/>
  </si>
  <si>
    <t>地下车库</t>
    <phoneticPr fontId="93" type="noConversion"/>
  </si>
  <si>
    <t>建筑面积</t>
    <phoneticPr fontId="93" type="noConversion"/>
  </si>
  <si>
    <t>楼层</t>
    <phoneticPr fontId="93" type="noConversion"/>
  </si>
  <si>
    <t>合计</t>
    <phoneticPr fontId="93" type="noConversion"/>
  </si>
  <si>
    <t>1-5层</t>
    <phoneticPr fontId="93" type="noConversion"/>
  </si>
  <si>
    <t>地下1层</t>
    <phoneticPr fontId="93" type="noConversion"/>
  </si>
  <si>
    <t>土地面积</t>
    <phoneticPr fontId="93" type="noConversion"/>
  </si>
  <si>
    <t>容积率</t>
    <phoneticPr fontId="93" type="noConversion"/>
  </si>
  <si>
    <t>比较法</t>
    <phoneticPr fontId="93" type="noConversion"/>
  </si>
  <si>
    <t>回龙观东大街1号楼</t>
    <phoneticPr fontId="93" type="noConversion"/>
  </si>
  <si>
    <t>2015.1</t>
    <phoneticPr fontId="93" type="noConversion"/>
  </si>
  <si>
    <t>商业繁华度</t>
    <phoneticPr fontId="93" type="noConversion"/>
  </si>
  <si>
    <t>临街状况</t>
    <phoneticPr fontId="93" type="noConversion"/>
  </si>
  <si>
    <t>可视性</t>
    <phoneticPr fontId="93" type="noConversion"/>
  </si>
  <si>
    <t>商业类型</t>
    <phoneticPr fontId="93" type="noConversion"/>
  </si>
  <si>
    <t>临街道路级别</t>
    <phoneticPr fontId="93" type="noConversion"/>
  </si>
  <si>
    <t>内部装修</t>
    <phoneticPr fontId="93" type="noConversion"/>
  </si>
  <si>
    <t>成新率</t>
    <phoneticPr fontId="93" type="noConversion"/>
  </si>
  <si>
    <r>
      <t>3</t>
    </r>
    <r>
      <rPr>
        <sz val="12"/>
        <rFont val="楷体_GB2312"/>
        <family val="3"/>
        <charset val="134"/>
      </rPr>
      <t>4.27</t>
    </r>
    <phoneticPr fontId="93" type="noConversion"/>
  </si>
  <si>
    <t>一般</t>
    <phoneticPr fontId="93" type="noConversion"/>
  </si>
  <si>
    <t>较好</t>
    <phoneticPr fontId="93" type="noConversion"/>
  </si>
  <si>
    <t>紧邻</t>
    <phoneticPr fontId="93" type="noConversion"/>
  </si>
  <si>
    <t>1层</t>
    <phoneticPr fontId="93" type="noConversion"/>
  </si>
  <si>
    <t>好</t>
    <phoneticPr fontId="93" type="noConversion"/>
  </si>
  <si>
    <t>独立商业楼</t>
    <phoneticPr fontId="93" type="noConversion"/>
  </si>
  <si>
    <t>城市主干道-回龙观东大街</t>
    <phoneticPr fontId="93" type="noConversion"/>
  </si>
  <si>
    <t>毛坯</t>
    <phoneticPr fontId="93" type="noConversion"/>
  </si>
  <si>
    <t>龙腾苑商业</t>
    <phoneticPr fontId="93" type="noConversion"/>
  </si>
  <si>
    <r>
      <t>2</t>
    </r>
    <r>
      <rPr>
        <sz val="12"/>
        <rFont val="楷体_GB2312"/>
        <family val="3"/>
        <charset val="134"/>
      </rPr>
      <t>015.1</t>
    </r>
    <phoneticPr fontId="93" type="noConversion"/>
  </si>
  <si>
    <r>
      <t>2</t>
    </r>
    <r>
      <rPr>
        <sz val="12"/>
        <rFont val="楷体_GB2312"/>
        <family val="3"/>
        <charset val="134"/>
      </rPr>
      <t>0-30年</t>
    </r>
    <phoneticPr fontId="93" type="noConversion"/>
  </si>
  <si>
    <r>
      <t>1</t>
    </r>
    <r>
      <rPr>
        <sz val="12"/>
        <rFont val="楷体_GB2312"/>
        <family val="3"/>
        <charset val="134"/>
      </rPr>
      <t>.56</t>
    </r>
    <phoneticPr fontId="93" type="noConversion"/>
  </si>
  <si>
    <t>龙跃苑东区底商</t>
    <phoneticPr fontId="93" type="noConversion"/>
  </si>
  <si>
    <r>
      <t>2</t>
    </r>
    <r>
      <rPr>
        <sz val="12"/>
        <rFont val="楷体_GB2312"/>
        <family val="3"/>
        <charset val="134"/>
      </rPr>
      <t>.19</t>
    </r>
    <phoneticPr fontId="93" type="noConversion"/>
  </si>
  <si>
    <r>
      <t>1</t>
    </r>
    <r>
      <rPr>
        <sz val="12"/>
        <rFont val="楷体_GB2312"/>
        <family val="3"/>
        <charset val="134"/>
      </rPr>
      <t>24</t>
    </r>
    <phoneticPr fontId="93" type="noConversion"/>
  </si>
  <si>
    <t>住宅底商</t>
    <phoneticPr fontId="93" type="noConversion"/>
  </si>
  <si>
    <t>城市次干道-育知东路</t>
    <phoneticPr fontId="93" type="noConversion"/>
  </si>
  <si>
    <t>简装</t>
    <phoneticPr fontId="93" type="noConversion"/>
  </si>
  <si>
    <r>
      <t>8</t>
    </r>
    <r>
      <rPr>
        <sz val="12"/>
        <rFont val="楷体_GB2312"/>
        <family val="3"/>
        <charset val="134"/>
      </rPr>
      <t>0%</t>
    </r>
    <phoneticPr fontId="93" type="noConversion"/>
  </si>
  <si>
    <t>龙锦苑东四区底商</t>
    <phoneticPr fontId="93" type="noConversion"/>
  </si>
  <si>
    <t>30-40年</t>
    <phoneticPr fontId="93" type="noConversion"/>
  </si>
  <si>
    <r>
      <t>9</t>
    </r>
    <r>
      <rPr>
        <sz val="12"/>
        <rFont val="楷体_GB2312"/>
        <family val="3"/>
        <charset val="134"/>
      </rPr>
      <t>0%</t>
    </r>
    <phoneticPr fontId="93" type="noConversion"/>
  </si>
  <si>
    <r>
      <t>1</t>
    </r>
    <r>
      <rPr>
        <sz val="12"/>
        <rFont val="楷体_GB2312"/>
        <family val="3"/>
        <charset val="134"/>
      </rPr>
      <t>.6</t>
    </r>
    <phoneticPr fontId="93" type="noConversion"/>
  </si>
  <si>
    <r>
      <t>8</t>
    </r>
    <r>
      <rPr>
        <sz val="12"/>
        <rFont val="楷体_GB2312"/>
        <family val="3"/>
        <charset val="134"/>
      </rPr>
      <t>4</t>
    </r>
    <phoneticPr fontId="93" type="noConversion"/>
  </si>
  <si>
    <t>住宅底商</t>
    <phoneticPr fontId="93" type="noConversion"/>
  </si>
  <si>
    <t>城市支路-龙锦三街</t>
    <phoneticPr fontId="93" type="noConversion"/>
  </si>
  <si>
    <t>普装</t>
    <phoneticPr fontId="93" type="noConversion"/>
  </si>
  <si>
    <r>
      <t>9</t>
    </r>
    <r>
      <rPr>
        <sz val="12"/>
        <rFont val="楷体_GB2312"/>
        <family val="3"/>
        <charset val="134"/>
      </rPr>
      <t>4</t>
    </r>
    <phoneticPr fontId="93" type="noConversion"/>
  </si>
  <si>
    <t>小区外道路</t>
    <phoneticPr fontId="93" type="noConversion"/>
  </si>
  <si>
    <r>
      <t>9</t>
    </r>
    <r>
      <rPr>
        <sz val="12"/>
        <rFont val="楷体_GB2312"/>
        <family val="3"/>
        <charset val="134"/>
      </rPr>
      <t>2%</t>
    </r>
    <phoneticPr fontId="93" type="noConversion"/>
  </si>
  <si>
    <t>&lt;100</t>
    <phoneticPr fontId="93" type="noConversion"/>
  </si>
  <si>
    <r>
      <t>1</t>
    </r>
    <r>
      <rPr>
        <sz val="12"/>
        <color indexed="53"/>
        <rFont val="楷体_GB2312"/>
        <family val="3"/>
        <charset val="134"/>
      </rPr>
      <t>00-500</t>
    </r>
    <phoneticPr fontId="93" type="noConversion"/>
  </si>
  <si>
    <r>
      <t>5</t>
    </r>
    <r>
      <rPr>
        <sz val="12"/>
        <color indexed="53"/>
        <rFont val="楷体_GB2312"/>
        <family val="3"/>
        <charset val="134"/>
      </rPr>
      <t>00-1000</t>
    </r>
    <phoneticPr fontId="93" type="noConversion"/>
  </si>
  <si>
    <r>
      <t>1</t>
    </r>
    <r>
      <rPr>
        <sz val="12"/>
        <color indexed="53"/>
        <rFont val="楷体_GB2312"/>
        <family val="3"/>
        <charset val="134"/>
      </rPr>
      <t>0000-5000</t>
    </r>
    <phoneticPr fontId="93" type="noConversion"/>
  </si>
  <si>
    <r>
      <t>5</t>
    </r>
    <r>
      <rPr>
        <sz val="12"/>
        <color rgb="FFFF0000"/>
        <rFont val="宋体"/>
        <family val="3"/>
        <charset val="134"/>
      </rPr>
      <t>000-10000</t>
    </r>
    <phoneticPr fontId="93" type="noConversion"/>
  </si>
  <si>
    <t>商业</t>
    <phoneticPr fontId="97" type="noConversion"/>
  </si>
  <si>
    <t>单价</t>
    <phoneticPr fontId="93" type="noConversion"/>
  </si>
  <si>
    <t>系数</t>
    <phoneticPr fontId="93" type="noConversion"/>
  </si>
  <si>
    <t>2层</t>
    <phoneticPr fontId="93" type="noConversion"/>
  </si>
  <si>
    <t>3层</t>
  </si>
  <si>
    <t>4层</t>
  </si>
  <si>
    <t>5层</t>
  </si>
  <si>
    <t>平均</t>
    <phoneticPr fontId="93" type="noConversion"/>
  </si>
  <si>
    <t>租金</t>
    <phoneticPr fontId="93" type="noConversion"/>
  </si>
  <si>
    <t>单价</t>
    <phoneticPr fontId="97" type="noConversion"/>
  </si>
  <si>
    <t>用途</t>
    <phoneticPr fontId="97" type="noConversion"/>
  </si>
  <si>
    <t>车库</t>
    <phoneticPr fontId="97" type="noConversion"/>
  </si>
  <si>
    <t>商业繁华度/居住社区成熟度</t>
    <phoneticPr fontId="97" type="noConversion"/>
  </si>
  <si>
    <t>较充足</t>
    <phoneticPr fontId="97" type="noConversion"/>
  </si>
  <si>
    <t>较好</t>
    <phoneticPr fontId="97" type="noConversion"/>
  </si>
  <si>
    <t>案例D</t>
    <phoneticPr fontId="97" type="noConversion"/>
  </si>
  <si>
    <t>案例E</t>
    <phoneticPr fontId="97" type="noConversion"/>
  </si>
  <si>
    <t>案例F</t>
    <phoneticPr fontId="97" type="noConversion"/>
  </si>
  <si>
    <t>昌平</t>
  </si>
  <si>
    <t>昌平区天权路2号院</t>
  </si>
  <si>
    <t>亚北地区</t>
  </si>
  <si>
    <t>X京房权证昌字第594499号</t>
  </si>
  <si>
    <t>2014-12套数</t>
  </si>
  <si>
    <t>2014-12面积</t>
  </si>
  <si>
    <t>2014-12均价</t>
  </si>
  <si>
    <t>2014-11套数</t>
  </si>
  <si>
    <t>2014-11面积</t>
  </si>
  <si>
    <t>2014-11均价</t>
  </si>
  <si>
    <t>2014-10套数</t>
  </si>
  <si>
    <t>2014-10面积</t>
  </si>
  <si>
    <t>2014-10均价</t>
  </si>
  <si>
    <t>2014-9套数</t>
  </si>
  <si>
    <t>2014-9面积</t>
  </si>
  <si>
    <t>2014-9均价</t>
  </si>
  <si>
    <t>5号住宅楼等四项</t>
  </si>
  <si>
    <t>昌平区沙顺路91号院</t>
  </si>
  <si>
    <t>X京房权证昌字第515313号</t>
  </si>
  <si>
    <t>目编号</t>
  </si>
  <si>
    <t>2014-8套数</t>
  </si>
  <si>
    <t>2014-8面积</t>
  </si>
  <si>
    <t>2014-8均价</t>
  </si>
  <si>
    <t>2014-7套数</t>
  </si>
  <si>
    <t>2014-7面积</t>
  </si>
  <si>
    <t>2014-7均价</t>
  </si>
  <si>
    <t>龙城花园 (推广名：龙邸)</t>
  </si>
  <si>
    <t>昌平区回龙观镇龙城花园10号楼等10幢楼</t>
  </si>
  <si>
    <t>X京房权证昌其字第349857号</t>
  </si>
  <si>
    <t>安宁佳园</t>
  </si>
  <si>
    <t>海淀</t>
  </si>
  <si>
    <t>地下库房</t>
  </si>
  <si>
    <t>海淀区安宁佳园2号楼等6幢楼</t>
  </si>
  <si>
    <t>清河</t>
  </si>
  <si>
    <t>X京房权证海其字第034840号</t>
  </si>
  <si>
    <t>海淀区白家疃欣麓园</t>
  </si>
  <si>
    <t>后山地区</t>
  </si>
  <si>
    <t>X京房权证海字第236328号</t>
  </si>
  <si>
    <t>上河村三区 (推广名：上河村三区)</t>
  </si>
  <si>
    <t>海淀区上河村三区</t>
  </si>
  <si>
    <t>香山四季青</t>
  </si>
  <si>
    <t>X京房权证海其字第042245号</t>
  </si>
  <si>
    <t>金色漫香苑</t>
    <phoneticPr fontId="97" type="noConversion"/>
  </si>
  <si>
    <t>一般</t>
    <phoneticPr fontId="97" type="noConversion"/>
  </si>
  <si>
    <t>城市次干道-东北路</t>
    <phoneticPr fontId="97" type="noConversion"/>
  </si>
  <si>
    <t>较齐全</t>
    <phoneticPr fontId="97" type="noConversion"/>
  </si>
  <si>
    <t>住宅</t>
    <phoneticPr fontId="97" type="noConversion"/>
  </si>
  <si>
    <r>
      <t>2</t>
    </r>
    <r>
      <rPr>
        <sz val="12"/>
        <rFont val="楷体_GB2312"/>
        <family val="3"/>
        <charset val="134"/>
      </rPr>
      <t>014.10</t>
    </r>
    <phoneticPr fontId="97" type="noConversion"/>
  </si>
  <si>
    <r>
      <t>2</t>
    </r>
    <r>
      <rPr>
        <sz val="12"/>
        <rFont val="楷体_GB2312"/>
        <family val="3"/>
        <charset val="134"/>
      </rPr>
      <t>014.7</t>
    </r>
    <phoneticPr fontId="97" type="noConversion"/>
  </si>
  <si>
    <t>城市支路-二拨子工业园区东路</t>
    <phoneticPr fontId="97" type="noConversion"/>
  </si>
  <si>
    <t>较齐全</t>
    <phoneticPr fontId="97" type="noConversion"/>
  </si>
  <si>
    <t>海淀区白家疃欣麓园</t>
    <phoneticPr fontId="97" type="noConversion"/>
  </si>
  <si>
    <t>城市主干道-温泉路</t>
    <phoneticPr fontId="97" type="noConversion"/>
  </si>
  <si>
    <t>充足</t>
    <phoneticPr fontId="97" type="noConversion"/>
  </si>
  <si>
    <t>销售价格指数</t>
  </si>
  <si>
    <t>月份</t>
  </si>
  <si>
    <t>指数值</t>
  </si>
  <si>
    <t>环比(%)</t>
  </si>
  <si>
    <t>同比(%)</t>
  </si>
  <si>
    <t>每季度上涨</t>
    <phoneticPr fontId="97" type="noConversion"/>
  </si>
  <si>
    <t>车位个数</t>
    <phoneticPr fontId="97" type="noConversion"/>
  </si>
  <si>
    <t>单位价格</t>
    <phoneticPr fontId="97" type="noConversion"/>
  </si>
  <si>
    <r>
      <t>2</t>
    </r>
    <r>
      <rPr>
        <sz val="10"/>
        <rFont val="宋体"/>
        <family val="3"/>
        <charset val="134"/>
      </rPr>
      <t>059.5.3</t>
    </r>
    <phoneticPr fontId="97" type="noConversion"/>
  </si>
  <si>
    <r>
      <t>2</t>
    </r>
    <r>
      <rPr>
        <sz val="10"/>
        <rFont val="宋体"/>
        <family val="3"/>
        <charset val="134"/>
      </rPr>
      <t>015.1.22</t>
    </r>
    <phoneticPr fontId="97" type="noConversion"/>
  </si>
  <si>
    <t>2049.5.3</t>
    <phoneticPr fontId="97" type="noConversion"/>
  </si>
  <si>
    <t>成新率</t>
    <phoneticPr fontId="93" type="noConversion"/>
  </si>
  <si>
    <t>95%（含）-100%</t>
    <phoneticPr fontId="93" type="noConversion"/>
  </si>
  <si>
    <t>车库</t>
    <phoneticPr fontId="97" type="noConversion"/>
  </si>
  <si>
    <t>90%（含）-95%</t>
    <phoneticPr fontId="93" type="noConversion"/>
  </si>
  <si>
    <t>85%（含）-90%</t>
    <phoneticPr fontId="93" type="noConversion"/>
  </si>
  <si>
    <t>80%（含）-85%</t>
    <phoneticPr fontId="93" type="noConversion"/>
  </si>
  <si>
    <t>较好</t>
    <phoneticPr fontId="93" type="noConversion"/>
  </si>
  <si>
    <t>人流量</t>
    <phoneticPr fontId="93" type="noConversion"/>
  </si>
  <si>
    <t>较大</t>
    <phoneticPr fontId="93" type="noConversion"/>
  </si>
  <si>
    <t>一般</t>
    <phoneticPr fontId="93" type="noConversion"/>
  </si>
  <si>
    <t>45-50年</t>
    <phoneticPr fontId="97" type="noConversion"/>
  </si>
  <si>
    <r>
      <t>4</t>
    </r>
    <r>
      <rPr>
        <sz val="12"/>
        <rFont val="楷体_GB2312"/>
        <family val="3"/>
        <charset val="134"/>
      </rPr>
      <t>0-45年</t>
    </r>
    <phoneticPr fontId="9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</si>
  <si>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</si>
  <si>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</si>
  <si>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</si>
  <si>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</si>
  <si>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</si>
  <si>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</si>
  <si>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</si>
  <si>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</si>
  <si>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</si>
  <si>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</si>
  <si>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</si>
  <si>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</si>
  <si>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</si>
  <si>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phoneticPr fontId="115" type="noConversion"/>
  </si>
  <si>
    <t>项目名称</t>
    <phoneticPr fontId="115" type="noConversion"/>
  </si>
  <si>
    <t>市场价值（万元）</t>
  </si>
  <si>
    <t>楼面单价（元/平方米）</t>
    <phoneticPr fontId="115" type="noConversion"/>
  </si>
  <si>
    <t>抵押价值（万元）</t>
  </si>
  <si>
    <t>抵押价值-已注销（万元）</t>
  </si>
  <si>
    <t>抵押净值（万元）</t>
  </si>
  <si>
    <t>估价对象1（本表）</t>
    <phoneticPr fontId="115" type="noConversion"/>
  </si>
  <si>
    <t>估价对象2</t>
  </si>
  <si>
    <t>估价对象3</t>
  </si>
  <si>
    <t>估价对象4</t>
  </si>
  <si>
    <t>估价对象5</t>
  </si>
  <si>
    <t>估价对象6</t>
  </si>
  <si>
    <t>估价对象7</t>
  </si>
  <si>
    <t>估价对象8</t>
  </si>
  <si>
    <t>估价对象9</t>
  </si>
  <si>
    <t>估价对象10</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</si>
</sst>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3" formatCode="_ * #,##0.00_ ;_ * \-#,##0.00_ ;_ * &quot;-&quot;??_ ;_ @_ "/>
    <numFmt numFmtId="176" formatCode="0.00_);[Red]\(0.00\)"/>
    <numFmt numFmtId="177" formatCode="0.00_ "/>
    <numFmt numFmtId="178" formatCode="0_ "/>
    <numFmt numFmtId="179" formatCode="[DBNum2][$-804]General"/>
    <numFmt numFmtId="180" formatCode="0.0%"/>
    <numFmt numFmtId="181" formatCode="0;_쐀"/>
    <numFmt numFmtId="182" formatCode="0_);[Red]\(0\)"/>
    <numFmt numFmtId="183" formatCode="0.0000_ "/>
    <numFmt numFmtId="184" formatCode="0.0_ "/>
    <numFmt numFmtId="185" formatCode="0.000%"/>
    <numFmt numFmtId="186" formatCode="0.000_);[Red]\(0.000\)"/>
    <numFmt numFmtId="187" formatCode="0.000_ "/>
    <numFmt numFmtId="188" formatCode="0.00000_);[Red]\(0.00000\)"/>
    <numFmt numFmtId="189" formatCode="[$-409]mmm/yy;@"/>
    <numFmt numFmtId="190" formatCode="#,##0.00_ "/>
    <numFmt numFmtId="191" formatCode="#,##0.0000_);[Red]\(#,##0.0000\)"/>
    <numFmt numFmtId="192" formatCode="#,##0.000_);[Red]\(#,##0.000\)"/>
    <numFmt numFmtId="193" formatCode="#,##0.000000_);[Red]\(#,##0.000000\)"/>
    <numFmt numFmtId="194" formatCode="#,##0.00000_);[Red]\(#,##0.00000\)"/>
    <numFmt numFmtId="195" formatCode="dd/mmm/yy"/>
    <numFmt numFmtId="196" formatCode="0.00_);\(0.00\)"/>
    <numFmt numFmtId="197" formatCode="yyyy&quot;年&quot;m&quot;月&quot;;@"/>
    <numFmt numFmtId="198" formatCode="0.0_);[Red]\(0.0\)"/>
  </numFmts>
  <fonts count="117">
    <font>
      <sz val="11"/>
      <color indexed="8"/>
      <name val="宋体"/>
      <charset val="134"/>
    </font>
    <font>
      <sz val="12"/>
      <name val="宋体"/>
      <family val="3"/>
      <charset val="134"/>
    </font>
    <font>
      <b/>
      <sz val="12"/>
      <name val="宋体"/>
      <family val="3"/>
      <charset val="134"/>
    </font>
    <font>
      <sz val="10"/>
      <name val="宋体"/>
      <family val="3"/>
      <charset val="134"/>
    </font>
    <font>
      <b/>
      <sz val="10"/>
      <name val="宋体"/>
      <family val="3"/>
      <charset val="134"/>
    </font>
    <font>
      <b/>
      <sz val="12"/>
      <color indexed="8"/>
      <name val="楷体_GB2312"/>
      <family val="3"/>
      <charset val="134"/>
    </font>
    <font>
      <sz val="12"/>
      <color indexed="8"/>
      <name val="楷体_GB2312"/>
      <family val="3"/>
      <charset val="134"/>
    </font>
    <font>
      <b/>
      <sz val="11"/>
      <color indexed="8"/>
      <name val="宋体"/>
      <family val="3"/>
      <charset val="134"/>
    </font>
    <font>
      <b/>
      <sz val="10"/>
      <color indexed="8"/>
      <name val="宋体"/>
      <family val="3"/>
      <charset val="134"/>
    </font>
    <font>
      <sz val="10"/>
      <color indexed="8"/>
      <name val="宋体"/>
      <family val="3"/>
      <charset val="134"/>
    </font>
    <font>
      <sz val="10"/>
      <color indexed="10"/>
      <name val="宋体"/>
      <family val="3"/>
      <charset val="134"/>
    </font>
    <font>
      <b/>
      <sz val="10"/>
      <color indexed="10"/>
      <name val="宋体"/>
      <family val="3"/>
      <charset val="134"/>
    </font>
    <font>
      <sz val="10"/>
      <name val="Times New Roman"/>
      <family val="1"/>
    </font>
    <font>
      <b/>
      <sz val="10"/>
      <color indexed="53"/>
      <name val="宋体"/>
      <family val="3"/>
      <charset val="134"/>
    </font>
    <font>
      <sz val="11"/>
      <name val="宋体"/>
      <family val="3"/>
      <charset val="134"/>
    </font>
    <font>
      <b/>
      <sz val="12"/>
      <name val="楷体_GB2312"/>
      <family val="3"/>
      <charset val="134"/>
    </font>
    <font>
      <b/>
      <sz val="10"/>
      <name val="楷体_GB2312"/>
      <family val="3"/>
      <charset val="134"/>
    </font>
    <font>
      <sz val="10"/>
      <name val="楷体_GB2312"/>
      <family val="3"/>
      <charset val="134"/>
    </font>
    <font>
      <sz val="10"/>
      <color indexed="8"/>
      <name val="楷体_GB2312"/>
      <family val="3"/>
      <charset val="134"/>
    </font>
    <font>
      <sz val="8"/>
      <name val="宋体"/>
      <family val="3"/>
      <charset val="134"/>
    </font>
    <font>
      <sz val="8"/>
      <color indexed="8"/>
      <name val="宋体"/>
      <family val="3"/>
      <charset val="134"/>
    </font>
    <font>
      <b/>
      <sz val="11"/>
      <color indexed="10"/>
      <name val="宋体"/>
      <family val="3"/>
      <charset val="134"/>
    </font>
    <font>
      <b/>
      <sz val="16"/>
      <name val="楷体_GB2312"/>
      <family val="3"/>
      <charset val="134"/>
    </font>
    <font>
      <sz val="12"/>
      <name val="楷体_GB2312"/>
      <family val="3"/>
      <charset val="134"/>
    </font>
    <font>
      <sz val="12"/>
      <color indexed="53"/>
      <name val="楷体_GB2312"/>
      <family val="3"/>
      <charset val="134"/>
    </font>
    <font>
      <b/>
      <sz val="10"/>
      <color indexed="8"/>
      <name val="楷体_GB2312"/>
      <family val="3"/>
      <charset val="134"/>
    </font>
    <font>
      <b/>
      <sz val="11"/>
      <color indexed="8"/>
      <name val="楷体_GB2312"/>
      <family val="3"/>
      <charset val="134"/>
    </font>
    <font>
      <sz val="12"/>
      <color indexed="8"/>
      <name val="宋体"/>
      <family val="3"/>
      <charset val="134"/>
    </font>
    <font>
      <sz val="8"/>
      <color indexed="10"/>
      <name val="宋体"/>
      <family val="3"/>
      <charset val="134"/>
    </font>
    <font>
      <b/>
      <sz val="10"/>
      <name val="Arial"/>
      <family val="2"/>
    </font>
    <font>
      <b/>
      <u/>
      <sz val="10"/>
      <name val="Arial"/>
      <family val="2"/>
    </font>
    <font>
      <sz val="10"/>
      <name val="Arial"/>
      <family val="2"/>
    </font>
    <font>
      <u/>
      <sz val="12"/>
      <color indexed="12"/>
      <name val="宋体"/>
      <family val="3"/>
      <charset val="134"/>
    </font>
    <font>
      <sz val="10"/>
      <color indexed="8"/>
      <name val="Arial"/>
      <family val="2"/>
    </font>
    <font>
      <sz val="9"/>
      <color indexed="63"/>
      <name val="Arial"/>
      <family val="2"/>
    </font>
    <font>
      <b/>
      <sz val="10"/>
      <color indexed="8"/>
      <name val="Arial"/>
      <family val="2"/>
    </font>
    <font>
      <b/>
      <sz val="12"/>
      <color indexed="8"/>
      <name val="宋体"/>
      <family val="3"/>
      <charset val="134"/>
    </font>
    <font>
      <sz val="11"/>
      <color indexed="8"/>
      <name val="楷体_GB2312"/>
      <family val="3"/>
      <charset val="134"/>
    </font>
    <font>
      <sz val="9"/>
      <color indexed="8"/>
      <name val="宋体"/>
      <family val="3"/>
      <charset val="134"/>
    </font>
    <font>
      <b/>
      <sz val="9"/>
      <color indexed="8"/>
      <name val="宋体"/>
      <family val="3"/>
      <charset val="134"/>
    </font>
    <font>
      <b/>
      <sz val="16"/>
      <color indexed="8"/>
      <name val="宋体"/>
      <family val="3"/>
      <charset val="134"/>
    </font>
    <font>
      <sz val="11"/>
      <color indexed="8"/>
      <name val="Tahoma"/>
      <family val="2"/>
    </font>
    <font>
      <sz val="11"/>
      <color indexed="9"/>
      <name val="Tahoma"/>
      <family val="2"/>
    </font>
    <font>
      <sz val="11"/>
      <color indexed="8"/>
      <name val="Calibri"/>
      <family val="2"/>
    </font>
    <font>
      <sz val="11"/>
      <color indexed="60"/>
      <name val="Tahoma"/>
      <family val="2"/>
    </font>
    <font>
      <b/>
      <sz val="11"/>
      <color indexed="56"/>
      <name val="Calibri"/>
      <family val="2"/>
    </font>
    <font>
      <b/>
      <sz val="11"/>
      <color indexed="9"/>
      <name val="Calibri"/>
      <family val="2"/>
    </font>
    <font>
      <sz val="11"/>
      <color indexed="17"/>
      <name val="Tahoma"/>
      <family val="2"/>
    </font>
    <font>
      <b/>
      <sz val="11"/>
      <color indexed="56"/>
      <name val="Tahoma"/>
      <family val="2"/>
    </font>
    <font>
      <b/>
      <sz val="13"/>
      <color indexed="56"/>
      <name val="Tahoma"/>
      <family val="2"/>
    </font>
    <font>
      <sz val="11"/>
      <color indexed="60"/>
      <name val="Calibri"/>
      <family val="2"/>
    </font>
    <font>
      <b/>
      <sz val="15"/>
      <color indexed="56"/>
      <name val="Tahoma"/>
      <family val="2"/>
    </font>
    <font>
      <b/>
      <sz val="18"/>
      <color indexed="56"/>
      <name val="宋体"/>
      <family val="3"/>
      <charset val="134"/>
    </font>
    <font>
      <b/>
      <sz val="11"/>
      <color indexed="63"/>
      <name val="宋体"/>
      <family val="3"/>
      <charset val="134"/>
    </font>
    <font>
      <b/>
      <sz val="11"/>
      <color indexed="9"/>
      <name val="宋体"/>
      <family val="3"/>
      <charset val="134"/>
    </font>
    <font>
      <b/>
      <sz val="13"/>
      <color indexed="56"/>
      <name val="Calibri"/>
      <family val="2"/>
    </font>
    <font>
      <sz val="11"/>
      <color indexed="20"/>
      <name val="Tahoma"/>
      <family val="2"/>
    </font>
    <font>
      <sz val="11"/>
      <color indexed="10"/>
      <name val="Calibri"/>
      <family val="2"/>
    </font>
    <font>
      <sz val="11"/>
      <color indexed="9"/>
      <name val="Calibri"/>
      <family val="2"/>
    </font>
    <font>
      <i/>
      <sz val="11"/>
      <color indexed="23"/>
      <name val="Tahoma"/>
      <family val="2"/>
    </font>
    <font>
      <sz val="11"/>
      <color indexed="20"/>
      <name val="宋体"/>
      <family val="3"/>
      <charset val="134"/>
    </font>
    <font>
      <sz val="11"/>
      <color indexed="9"/>
      <name val="宋体"/>
      <family val="3"/>
      <charset val="134"/>
    </font>
    <font>
      <sz val="11"/>
      <color indexed="10"/>
      <name val="Tahoma"/>
      <family val="2"/>
    </font>
    <font>
      <b/>
      <sz val="18"/>
      <color indexed="56"/>
      <name val="Cambria"/>
      <family val="1"/>
    </font>
    <font>
      <sz val="11"/>
      <color indexed="52"/>
      <name val="Calibri"/>
      <family val="2"/>
    </font>
    <font>
      <b/>
      <sz val="11"/>
      <color indexed="8"/>
      <name val="Calibri"/>
      <family val="2"/>
    </font>
    <font>
      <i/>
      <sz val="11"/>
      <color indexed="23"/>
      <name val="Calibri"/>
      <family val="2"/>
    </font>
    <font>
      <b/>
      <sz val="11"/>
      <color indexed="63"/>
      <name val="Calibri"/>
      <family val="2"/>
    </font>
    <font>
      <sz val="11"/>
      <color indexed="17"/>
      <name val="Calibri"/>
      <family val="2"/>
    </font>
    <font>
      <b/>
      <sz val="15"/>
      <color indexed="56"/>
      <name val="Calibri"/>
      <family val="2"/>
    </font>
    <font>
      <sz val="11"/>
      <color indexed="62"/>
      <name val="Calibri"/>
      <family val="2"/>
    </font>
    <font>
      <sz val="12"/>
      <name val="新細明體"/>
      <family val="1"/>
    </font>
    <font>
      <b/>
      <sz val="11"/>
      <color indexed="52"/>
      <name val="Calibri"/>
      <family val="2"/>
    </font>
    <font>
      <sz val="11"/>
      <color indexed="20"/>
      <name val="Calibri"/>
      <family val="2"/>
    </font>
    <font>
      <b/>
      <sz val="15"/>
      <color indexed="56"/>
      <name val="宋体"/>
      <family val="3"/>
      <charset val="134"/>
    </font>
    <font>
      <b/>
      <sz val="13"/>
      <color indexed="56"/>
      <name val="宋体"/>
      <family val="3"/>
      <charset val="134"/>
    </font>
    <font>
      <b/>
      <sz val="11"/>
      <color indexed="56"/>
      <name val="宋体"/>
      <family val="3"/>
      <charset val="134"/>
    </font>
    <font>
      <i/>
      <sz val="11"/>
      <color indexed="23"/>
      <name val="宋体"/>
      <family val="3"/>
      <charset val="134"/>
    </font>
    <font>
      <sz val="11"/>
      <color indexed="62"/>
      <name val="Tahoma"/>
      <family val="2"/>
    </font>
    <font>
      <b/>
      <sz val="11"/>
      <color indexed="52"/>
      <name val="Tahoma"/>
      <family val="2"/>
    </font>
    <font>
      <b/>
      <sz val="11"/>
      <color indexed="63"/>
      <name val="Tahoma"/>
      <family val="2"/>
    </font>
    <font>
      <sz val="11"/>
      <color indexed="10"/>
      <name val="宋体"/>
      <family val="3"/>
      <charset val="134"/>
    </font>
    <font>
      <b/>
      <sz val="11"/>
      <color indexed="8"/>
      <name val="Tahoma"/>
      <family val="2"/>
    </font>
    <font>
      <b/>
      <sz val="11"/>
      <color indexed="52"/>
      <name val="宋体"/>
      <family val="3"/>
      <charset val="134"/>
    </font>
    <font>
      <b/>
      <sz val="11"/>
      <color indexed="9"/>
      <name val="Tahoma"/>
      <family val="2"/>
    </font>
    <font>
      <sz val="11"/>
      <color indexed="52"/>
      <name val="宋体"/>
      <family val="3"/>
      <charset val="134"/>
    </font>
    <font>
      <sz val="11"/>
      <color indexed="52"/>
      <name val="Tahoma"/>
      <family val="2"/>
    </font>
    <font>
      <u/>
      <sz val="11"/>
      <color indexed="12"/>
      <name val="宋体"/>
      <family val="3"/>
      <charset val="134"/>
    </font>
    <font>
      <u/>
      <sz val="11"/>
      <color indexed="12"/>
      <name val="Tahoma"/>
      <family val="2"/>
    </font>
    <font>
      <sz val="11"/>
      <color indexed="17"/>
      <name val="宋体"/>
      <family val="3"/>
      <charset val="134"/>
    </font>
    <font>
      <sz val="11"/>
      <color indexed="60"/>
      <name val="宋体"/>
      <family val="3"/>
      <charset val="134"/>
    </font>
    <font>
      <sz val="11"/>
      <color indexed="62"/>
      <name val="宋体"/>
      <family val="3"/>
      <charset val="134"/>
    </font>
    <font>
      <b/>
      <sz val="16"/>
      <color indexed="10"/>
      <name val="楷体_GB2312"/>
      <family val="3"/>
      <charset val="134"/>
    </font>
    <font>
      <sz val="9"/>
      <name val="宋体"/>
      <family val="3"/>
      <charset val="134"/>
    </font>
    <font>
      <sz val="11"/>
      <color indexed="8"/>
      <name val="宋体"/>
      <family val="3"/>
      <charset val="134"/>
    </font>
    <font>
      <sz val="12"/>
      <name val="楷体_GB2312"/>
      <family val="3"/>
      <charset val="134"/>
    </font>
    <font>
      <sz val="12"/>
      <color indexed="8"/>
      <name val="楷体_GB2312"/>
      <family val="3"/>
      <charset val="134"/>
    </font>
    <font>
      <sz val="9"/>
      <name val="宋体"/>
      <family val="3"/>
      <charset val="134"/>
    </font>
    <font>
      <sz val="10"/>
      <color indexed="8"/>
      <name val="宋体"/>
      <family val="3"/>
      <charset val="134"/>
    </font>
    <font>
      <sz val="11"/>
      <color indexed="8"/>
      <name val="楷体_GB2312"/>
      <family val="3"/>
      <charset val="134"/>
    </font>
    <font>
      <sz val="12"/>
      <color indexed="53"/>
      <name val="楷体_GB2312"/>
      <family val="3"/>
      <charset val="134"/>
    </font>
    <font>
      <sz val="12"/>
      <name val="宋体"/>
      <family val="3"/>
      <charset val="134"/>
    </font>
    <font>
      <sz val="12"/>
      <color rgb="FFFF0000"/>
      <name val="宋体"/>
      <family val="3"/>
      <charset val="134"/>
    </font>
    <font>
      <sz val="10"/>
      <name val="宋体"/>
      <family val="3"/>
      <charset val="134"/>
    </font>
    <font>
      <sz val="11"/>
      <color indexed="8"/>
      <name val="宋体"/>
      <family val="3"/>
      <charset val="134"/>
    </font>
    <font>
      <b/>
      <sz val="12"/>
      <name val="楷体_GB2312"/>
      <family val="3"/>
      <charset val="134"/>
    </font>
    <font>
      <sz val="11"/>
      <color rgb="FF000066"/>
      <name val="宋体"/>
      <family val="3"/>
      <charset val="134"/>
    </font>
    <font>
      <b/>
      <sz val="11"/>
      <color rgb="FFFFFFFF"/>
      <name val="宋体"/>
      <family val="3"/>
      <charset val="134"/>
    </font>
    <font>
      <b/>
      <sz val="10"/>
      <color indexed="8"/>
      <name val="宋体"/>
      <family val="3"/>
      <charset val="134"/>
    </font>
    <font>
      <b/>
      <sz val="10"/>
      <color indexed="63"/>
      <name val="宋体"/>
      <family val="3"/>
      <charset val="134"/>
    </font>
    <font>
      <sz val="9"/>
      <color indexed="8"/>
      <name val="宋体"/>
      <family val="3"/>
      <charset val="134"/>
    </font>
    <font>
      <sz val="9"/>
      <color indexed="63"/>
      <name val="宋体"/>
      <family val="3"/>
      <charset val="134"/>
    </font>
    <font>
      <sz val="11"/>
      <color theme="1"/>
      <name val="宋体"/>
      <family val="2"/>
      <scheme val="minor"/>
    </font>
    <font>
      <sz val="11"/>
      <color rgb="FF666666"/>
      <name val="微软雅黑"/>
      <family val="2"/>
      <charset val="134"/>
    </font>
    <font>
      <sz val="11"/>
      <color theme="1"/>
      <name val="宋体"/>
      <family val="3"/>
      <charset val="134"/>
      <scheme val="minor"/>
    </font>
    <font>
      <sz val="9"/>
      <name val="宋体"/>
      <family val="3"/>
      <charset val="134"/>
      <scheme val="minor"/>
    </font>
    <font>
      <sz val="12"/>
      <color theme="1"/>
      <name val="楷体_GB2312"/>
      <family val="2"/>
      <charset val="134"/>
    </font>
  </fonts>
  <fills count="33">
    <fill>
      <patternFill patternType="none"/>
    </fill>
    <fill>
      <patternFill patternType="gray125"/>
    </fill>
    <fill>
      <patternFill patternType="solid">
        <fgColor indexed="42"/>
        <bgColor indexed="64"/>
      </patternFill>
    </fill>
    <fill>
      <patternFill patternType="solid">
        <fgColor indexed="10"/>
        <bgColor indexed="64"/>
      </patternFill>
    </fill>
    <fill>
      <patternFill patternType="solid">
        <fgColor indexed="27"/>
        <bgColor indexed="64"/>
      </patternFill>
    </fill>
    <fill>
      <patternFill patternType="solid">
        <fgColor indexed="11"/>
        <bgColor indexed="64"/>
      </patternFill>
    </fill>
    <fill>
      <patternFill patternType="solid">
        <fgColor indexed="46"/>
        <bgColor indexed="64"/>
      </patternFill>
    </fill>
    <fill>
      <patternFill patternType="solid">
        <fgColor indexed="45"/>
        <bgColor indexed="64"/>
      </patternFill>
    </fill>
    <fill>
      <patternFill patternType="solid">
        <fgColor indexed="29"/>
        <bgColor indexed="64"/>
      </patternFill>
    </fill>
    <fill>
      <patternFill patternType="solid">
        <fgColor indexed="31"/>
        <bgColor indexed="64"/>
      </patternFill>
    </fill>
    <fill>
      <patternFill patternType="solid">
        <fgColor indexed="30"/>
        <bgColor indexed="64"/>
      </patternFill>
    </fill>
    <fill>
      <patternFill patternType="solid">
        <fgColor indexed="47"/>
        <bgColor indexed="64"/>
      </patternFill>
    </fill>
    <fill>
      <patternFill patternType="solid">
        <fgColor indexed="44"/>
        <bgColor indexed="64"/>
      </patternFill>
    </fill>
    <fill>
      <patternFill patternType="solid">
        <fgColor indexed="26"/>
        <bgColor indexed="64"/>
      </patternFill>
    </fill>
    <fill>
      <patternFill patternType="solid">
        <fgColor indexed="53"/>
        <bgColor indexed="64"/>
      </patternFill>
    </fill>
    <fill>
      <patternFill patternType="solid">
        <fgColor indexed="55"/>
        <bgColor indexed="64"/>
      </patternFill>
    </fill>
    <fill>
      <patternFill patternType="solid">
        <fgColor indexed="22"/>
        <bgColor indexed="64"/>
      </patternFill>
    </fill>
    <fill>
      <patternFill patternType="solid">
        <fgColor indexed="52"/>
        <bgColor indexed="64"/>
      </patternFill>
    </fill>
    <fill>
      <patternFill patternType="solid">
        <fgColor indexed="36"/>
        <bgColor indexed="64"/>
      </patternFill>
    </fill>
    <fill>
      <patternFill patternType="solid">
        <fgColor indexed="43"/>
        <bgColor indexed="64"/>
      </patternFill>
    </fill>
    <fill>
      <patternFill patternType="solid">
        <fgColor indexed="51"/>
        <bgColor indexed="64"/>
      </patternFill>
    </fill>
    <fill>
      <patternFill patternType="solid">
        <fgColor indexed="62"/>
        <bgColor indexed="64"/>
      </patternFill>
    </fill>
    <fill>
      <patternFill patternType="solid">
        <fgColor indexed="57"/>
        <bgColor indexed="64"/>
      </patternFill>
    </fill>
    <fill>
      <patternFill patternType="solid">
        <fgColor indexed="49"/>
        <bgColor indexed="64"/>
      </patternFill>
    </fill>
    <fill>
      <patternFill patternType="solid">
        <fgColor indexed="13"/>
        <bgColor indexed="64"/>
      </patternFill>
    </fill>
    <fill>
      <patternFill patternType="solid">
        <fgColor indexed="9"/>
        <bgColor indexed="64"/>
      </patternFill>
    </fill>
    <fill>
      <patternFill patternType="solid">
        <fgColor indexed="23"/>
        <bgColor indexed="64"/>
      </patternFill>
    </fill>
    <fill>
      <patternFill patternType="solid">
        <fgColor indexed="41"/>
        <bgColor indexed="64"/>
      </patternFill>
    </fill>
    <fill>
      <patternFill patternType="solid">
        <fgColor rgb="FFFFFF00"/>
        <bgColor indexed="64"/>
      </patternFill>
    </fill>
    <fill>
      <patternFill patternType="solid">
        <fgColor rgb="FFFFFFFF"/>
        <bgColor indexed="64"/>
      </patternFill>
    </fill>
    <fill>
      <patternFill patternType="solid">
        <fgColor rgb="FF006699"/>
        <bgColor indexed="64"/>
      </patternFill>
    </fill>
    <fill>
      <patternFill patternType="solid">
        <fgColor theme="0"/>
        <bgColor indexed="64"/>
      </patternFill>
    </fill>
    <fill>
      <patternFill patternType="solid">
        <fgColor theme="0" tint="-0.249977111117893"/>
        <bgColor indexed="64"/>
      </patternFill>
    </fill>
  </fills>
  <borders count="43">
    <border>
      <left/>
      <right/>
      <top/>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rgb="FFCCCCCC"/>
      </left>
      <right style="thin">
        <color rgb="FF000000"/>
      </right>
      <top style="medium">
        <color rgb="FFCCCCCC"/>
      </top>
      <bottom style="medium">
        <color rgb="FFCCCCCC"/>
      </bottom>
      <diagonal/>
    </border>
    <border>
      <left style="thin">
        <color rgb="FF000000"/>
      </left>
      <right style="thin">
        <color rgb="FF000000"/>
      </right>
      <top style="medium">
        <color rgb="FFCCCCCC"/>
      </top>
      <bottom style="medium">
        <color rgb="FFCCCCCC"/>
      </bottom>
      <diagonal/>
    </border>
    <border>
      <left style="thin">
        <color rgb="FF000000"/>
      </left>
      <right style="medium">
        <color rgb="FFCCCCCC"/>
      </right>
      <top style="medium">
        <color rgb="FFCCCCCC"/>
      </top>
      <bottom style="medium">
        <color rgb="FFCCCCCC"/>
      </bottom>
      <diagonal/>
    </border>
  </borders>
  <cellStyleXfs count="1753">
    <xf numFmtId="0" fontId="0" fillId="0" borderId="0">
      <alignment vertical="center"/>
    </xf>
    <xf numFmtId="0" fontId="43" fillId="2" borderId="0" applyNumberFormat="0" applyBorder="0" applyAlignment="0" applyProtection="0"/>
    <xf numFmtId="0" fontId="42" fillId="3" borderId="0" applyNumberFormat="0" applyBorder="0" applyAlignment="0" applyProtection="0">
      <alignment vertical="center"/>
    </xf>
    <xf numFmtId="0" fontId="41" fillId="4" borderId="0" applyNumberFormat="0" applyBorder="0" applyAlignment="0" applyProtection="0">
      <alignment vertical="center"/>
    </xf>
    <xf numFmtId="0" fontId="42" fillId="5" borderId="0" applyNumberFormat="0" applyBorder="0" applyAlignment="0" applyProtection="0">
      <alignment vertical="center"/>
    </xf>
    <xf numFmtId="0" fontId="41" fillId="6" borderId="0" applyNumberFormat="0" applyBorder="0" applyAlignment="0" applyProtection="0">
      <alignment vertical="center"/>
    </xf>
    <xf numFmtId="43" fontId="94" fillId="0" borderId="0" applyFont="0" applyFill="0" applyBorder="0" applyAlignment="0" applyProtection="0">
      <alignment vertical="center"/>
    </xf>
    <xf numFmtId="0" fontId="1" fillId="0" borderId="0"/>
    <xf numFmtId="0" fontId="41" fillId="7" borderId="0" applyNumberFormat="0" applyBorder="0" applyAlignment="0" applyProtection="0">
      <alignment vertical="center"/>
    </xf>
    <xf numFmtId="0" fontId="41" fillId="6" borderId="0" applyNumberFormat="0" applyBorder="0" applyAlignment="0" applyProtection="0">
      <alignment vertical="center"/>
    </xf>
    <xf numFmtId="9" fontId="94" fillId="0" borderId="0" applyFont="0" applyFill="0" applyBorder="0" applyAlignment="0" applyProtection="0">
      <alignment vertical="center"/>
    </xf>
    <xf numFmtId="0" fontId="48" fillId="0" borderId="1" applyNumberFormat="0" applyFill="0" applyAlignment="0" applyProtection="0">
      <alignment vertical="center"/>
    </xf>
    <xf numFmtId="0" fontId="1" fillId="0" borderId="0">
      <alignment vertical="center"/>
    </xf>
    <xf numFmtId="3" fontId="1" fillId="0" borderId="2"/>
    <xf numFmtId="0" fontId="41" fillId="8" borderId="0" applyNumberFormat="0" applyBorder="0" applyAlignment="0" applyProtection="0">
      <alignment vertical="center"/>
    </xf>
    <xf numFmtId="0" fontId="1" fillId="0" borderId="0"/>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1" fillId="2" borderId="0" applyNumberFormat="0" applyBorder="0" applyAlignment="0" applyProtection="0">
      <alignment vertical="center"/>
    </xf>
    <xf numFmtId="0" fontId="48" fillId="0" borderId="1" applyNumberFormat="0" applyFill="0" applyAlignment="0" applyProtection="0">
      <alignment vertical="center"/>
    </xf>
    <xf numFmtId="0" fontId="52" fillId="0" borderId="0" applyNumberFormat="0" applyFill="0" applyBorder="0" applyAlignment="0" applyProtection="0">
      <alignment vertical="center"/>
    </xf>
    <xf numFmtId="0" fontId="42" fillId="8" borderId="0" applyNumberFormat="0" applyBorder="0" applyAlignment="0" applyProtection="0">
      <alignment vertical="center"/>
    </xf>
    <xf numFmtId="0" fontId="41" fillId="6" borderId="0" applyNumberFormat="0" applyBorder="0" applyAlignment="0" applyProtection="0">
      <alignment vertical="center"/>
    </xf>
    <xf numFmtId="0" fontId="51" fillId="0" borderId="3" applyNumberFormat="0" applyFill="0" applyAlignment="0" applyProtection="0">
      <alignment vertical="center"/>
    </xf>
    <xf numFmtId="0" fontId="43" fillId="9" borderId="0" applyNumberFormat="0" applyBorder="0" applyAlignment="0" applyProtection="0"/>
    <xf numFmtId="0" fontId="42" fillId="3" borderId="0" applyNumberFormat="0" applyBorder="0" applyAlignment="0" applyProtection="0">
      <alignment vertical="center"/>
    </xf>
    <xf numFmtId="0" fontId="41" fillId="7" borderId="0" applyNumberFormat="0" applyBorder="0" applyAlignment="0" applyProtection="0">
      <alignment vertical="center"/>
    </xf>
    <xf numFmtId="0" fontId="51" fillId="0" borderId="3" applyNumberFormat="0" applyFill="0" applyAlignment="0" applyProtection="0">
      <alignment vertical="center"/>
    </xf>
    <xf numFmtId="0" fontId="42" fillId="5" borderId="0" applyNumberFormat="0" applyBorder="0" applyAlignment="0" applyProtection="0">
      <alignment vertical="center"/>
    </xf>
    <xf numFmtId="0" fontId="41" fillId="4" borderId="0" applyNumberFormat="0" applyBorder="0" applyAlignment="0" applyProtection="0">
      <alignment vertical="center"/>
    </xf>
    <xf numFmtId="0" fontId="43" fillId="7" borderId="0" applyNumberFormat="0" applyBorder="0" applyAlignment="0" applyProtection="0"/>
    <xf numFmtId="0" fontId="42" fillId="3" borderId="0" applyNumberFormat="0" applyBorder="0" applyAlignment="0" applyProtection="0">
      <alignment vertical="center"/>
    </xf>
    <xf numFmtId="0" fontId="42" fillId="5" borderId="0" applyNumberFormat="0" applyBorder="0" applyAlignment="0" applyProtection="0">
      <alignment vertical="center"/>
    </xf>
    <xf numFmtId="0" fontId="43" fillId="6" borderId="0" applyNumberFormat="0" applyBorder="0" applyAlignment="0" applyProtection="0"/>
    <xf numFmtId="0" fontId="42" fillId="3" borderId="0" applyNumberFormat="0" applyBorder="0" applyAlignment="0" applyProtection="0">
      <alignment vertical="center"/>
    </xf>
    <xf numFmtId="0" fontId="42" fillId="5" borderId="0" applyNumberFormat="0" applyBorder="0" applyAlignment="0" applyProtection="0">
      <alignment vertical="center"/>
    </xf>
    <xf numFmtId="0" fontId="43" fillId="4" borderId="0" applyNumberFormat="0" applyBorder="0" applyAlignment="0" applyProtection="0"/>
    <xf numFmtId="0" fontId="42" fillId="3" borderId="0" applyNumberFormat="0" applyBorder="0" applyAlignment="0" applyProtection="0">
      <alignment vertical="center"/>
    </xf>
    <xf numFmtId="0" fontId="42" fillId="5" borderId="0" applyNumberFormat="0" applyBorder="0" applyAlignment="0" applyProtection="0">
      <alignment vertical="center"/>
    </xf>
    <xf numFmtId="0" fontId="43" fillId="11" borderId="0" applyNumberFormat="0" applyBorder="0" applyAlignment="0" applyProtection="0"/>
    <xf numFmtId="0" fontId="94" fillId="9" borderId="0" applyNumberFormat="0" applyBorder="0" applyAlignment="0" applyProtection="0">
      <alignment vertical="center"/>
    </xf>
    <xf numFmtId="0" fontId="1" fillId="0" borderId="0">
      <alignment vertical="center"/>
    </xf>
    <xf numFmtId="0" fontId="41" fillId="12" borderId="0" applyNumberFormat="0" applyBorder="0" applyAlignment="0" applyProtection="0">
      <alignment vertical="center"/>
    </xf>
    <xf numFmtId="0" fontId="47" fillId="2" borderId="0" applyNumberFormat="0" applyBorder="0" applyAlignment="0" applyProtection="0">
      <alignment vertical="center"/>
    </xf>
    <xf numFmtId="0" fontId="41" fillId="9" borderId="0" applyNumberFormat="0" applyBorder="0" applyAlignment="0" applyProtection="0">
      <alignment vertical="center"/>
    </xf>
    <xf numFmtId="0" fontId="41" fillId="9" borderId="0" applyNumberFormat="0" applyBorder="0" applyAlignment="0" applyProtection="0">
      <alignment vertical="center"/>
    </xf>
    <xf numFmtId="0" fontId="94" fillId="2" borderId="0" applyNumberFormat="0" applyBorder="0" applyAlignment="0" applyProtection="0">
      <alignment vertical="center"/>
    </xf>
    <xf numFmtId="0" fontId="1" fillId="0" borderId="0">
      <alignment vertical="center"/>
    </xf>
    <xf numFmtId="0" fontId="94" fillId="13" borderId="4" applyNumberFormat="0" applyFont="0" applyAlignment="0" applyProtection="0"/>
    <xf numFmtId="0" fontId="1" fillId="0" borderId="0"/>
    <xf numFmtId="0" fontId="41" fillId="9" borderId="0" applyNumberFormat="0" applyBorder="0" applyAlignment="0" applyProtection="0">
      <alignment vertical="center"/>
    </xf>
    <xf numFmtId="0" fontId="55" fillId="0" borderId="5" applyNumberFormat="0" applyFill="0" applyAlignment="0" applyProtection="0"/>
    <xf numFmtId="0" fontId="41" fillId="2" borderId="0" applyNumberFormat="0" applyBorder="0" applyAlignment="0" applyProtection="0">
      <alignment vertical="center"/>
    </xf>
    <xf numFmtId="0" fontId="1" fillId="0" borderId="0">
      <alignment vertical="center"/>
    </xf>
    <xf numFmtId="0" fontId="1" fillId="0" borderId="0">
      <alignment vertical="center"/>
    </xf>
    <xf numFmtId="3" fontId="1" fillId="0" borderId="2"/>
    <xf numFmtId="0" fontId="41" fillId="8" borderId="0" applyNumberFormat="0" applyBorder="0" applyAlignment="0" applyProtection="0">
      <alignment vertical="center"/>
    </xf>
    <xf numFmtId="0" fontId="41" fillId="9" borderId="0" applyNumberFormat="0" applyBorder="0" applyAlignment="0" applyProtection="0">
      <alignment vertical="center"/>
    </xf>
    <xf numFmtId="0" fontId="45" fillId="0" borderId="1" applyNumberFormat="0" applyFill="0" applyAlignment="0" applyProtection="0"/>
    <xf numFmtId="0" fontId="41" fillId="2" borderId="0" applyNumberFormat="0" applyBorder="0" applyAlignment="0" applyProtection="0">
      <alignment vertical="center"/>
    </xf>
    <xf numFmtId="0" fontId="1" fillId="0" borderId="0">
      <alignment vertical="center"/>
    </xf>
    <xf numFmtId="0" fontId="1" fillId="0" borderId="0">
      <alignment vertical="center"/>
    </xf>
    <xf numFmtId="0" fontId="41" fillId="2" borderId="0" applyNumberFormat="0" applyBorder="0" applyAlignment="0" applyProtection="0">
      <alignment vertical="center"/>
    </xf>
    <xf numFmtId="0" fontId="42" fillId="10" borderId="0" applyNumberFormat="0" applyBorder="0" applyAlignment="0" applyProtection="0">
      <alignment vertical="center"/>
    </xf>
    <xf numFmtId="0" fontId="45" fillId="0" borderId="0" applyNumberFormat="0" applyFill="0" applyBorder="0" applyAlignment="0" applyProtection="0"/>
    <xf numFmtId="0" fontId="41" fillId="9" borderId="0" applyNumberFormat="0" applyBorder="0" applyAlignment="0" applyProtection="0">
      <alignment vertical="center"/>
    </xf>
    <xf numFmtId="0" fontId="1" fillId="0" borderId="0"/>
    <xf numFmtId="0" fontId="41" fillId="8" borderId="0" applyNumberFormat="0" applyBorder="0" applyAlignment="0" applyProtection="0">
      <alignment vertical="center"/>
    </xf>
    <xf numFmtId="3" fontId="1" fillId="0" borderId="2"/>
    <xf numFmtId="0" fontId="1" fillId="0" borderId="0">
      <alignment vertical="center"/>
    </xf>
    <xf numFmtId="0" fontId="41" fillId="9" borderId="0" applyNumberFormat="0" applyBorder="0" applyAlignment="0" applyProtection="0">
      <alignment vertical="center"/>
    </xf>
    <xf numFmtId="0" fontId="41" fillId="8" borderId="0" applyNumberFormat="0" applyBorder="0" applyAlignment="0" applyProtection="0">
      <alignment vertical="center"/>
    </xf>
    <xf numFmtId="3" fontId="1" fillId="0" borderId="2"/>
    <xf numFmtId="0" fontId="42" fillId="14" borderId="0" applyNumberFormat="0" applyBorder="0" applyAlignment="0" applyProtection="0">
      <alignment vertical="center"/>
    </xf>
    <xf numFmtId="0" fontId="1" fillId="0" borderId="0">
      <alignment vertical="center"/>
    </xf>
    <xf numFmtId="0" fontId="94" fillId="6" borderId="0" applyNumberFormat="0" applyBorder="0" applyAlignment="0" applyProtection="0">
      <alignment vertical="center"/>
    </xf>
    <xf numFmtId="0" fontId="52" fillId="0" borderId="0" applyNumberFormat="0" applyFill="0" applyBorder="0" applyAlignment="0" applyProtection="0">
      <alignment vertical="center"/>
    </xf>
    <xf numFmtId="0" fontId="41" fillId="9" borderId="0" applyNumberFormat="0" applyBorder="0" applyAlignment="0" applyProtection="0">
      <alignment vertical="center"/>
    </xf>
    <xf numFmtId="0" fontId="41" fillId="9" borderId="0" applyNumberFormat="0" applyBorder="0" applyAlignment="0" applyProtection="0">
      <alignment vertical="center"/>
    </xf>
    <xf numFmtId="0" fontId="41" fillId="7" borderId="0" applyNumberFormat="0" applyBorder="0" applyAlignment="0" applyProtection="0">
      <alignment vertical="center"/>
    </xf>
    <xf numFmtId="0" fontId="41" fillId="9" borderId="0" applyNumberFormat="0" applyBorder="0" applyAlignment="0" applyProtection="0">
      <alignment vertical="center"/>
    </xf>
    <xf numFmtId="0" fontId="1" fillId="0" borderId="0">
      <alignment vertical="center"/>
    </xf>
    <xf numFmtId="0" fontId="41" fillId="7" borderId="0" applyNumberFormat="0" applyBorder="0" applyAlignment="0" applyProtection="0">
      <alignment vertical="center"/>
    </xf>
    <xf numFmtId="0" fontId="41" fillId="9" borderId="0" applyNumberFormat="0" applyBorder="0" applyAlignment="0" applyProtection="0">
      <alignment vertical="center"/>
    </xf>
    <xf numFmtId="0" fontId="41" fillId="6" borderId="0" applyNumberFormat="0" applyBorder="0" applyAlignment="0" applyProtection="0">
      <alignment vertical="center"/>
    </xf>
    <xf numFmtId="0" fontId="54" fillId="15" borderId="6" applyNumberFormat="0" applyAlignment="0" applyProtection="0">
      <alignment vertical="center"/>
    </xf>
    <xf numFmtId="0" fontId="1" fillId="0" borderId="0">
      <alignment vertical="center"/>
    </xf>
    <xf numFmtId="0" fontId="41" fillId="9" borderId="0" applyNumberFormat="0" applyBorder="0" applyAlignment="0" applyProtection="0">
      <alignment vertical="center"/>
    </xf>
    <xf numFmtId="0" fontId="41" fillId="9" borderId="0" applyNumberFormat="0" applyBorder="0" applyAlignment="0" applyProtection="0">
      <alignment vertical="center"/>
    </xf>
    <xf numFmtId="0" fontId="1" fillId="0" borderId="0">
      <alignment vertical="center"/>
    </xf>
    <xf numFmtId="0" fontId="94"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2" borderId="0" applyNumberFormat="0" applyBorder="0" applyAlignment="0" applyProtection="0">
      <alignment vertical="center"/>
    </xf>
    <xf numFmtId="0" fontId="53" fillId="16" borderId="7" applyNumberFormat="0" applyAlignment="0" applyProtection="0">
      <alignment vertical="center"/>
    </xf>
    <xf numFmtId="0" fontId="94" fillId="0" borderId="0">
      <alignment vertical="center"/>
    </xf>
    <xf numFmtId="0" fontId="41" fillId="7" borderId="0" applyNumberFormat="0" applyBorder="0" applyAlignment="0" applyProtection="0">
      <alignment vertical="center"/>
    </xf>
    <xf numFmtId="0" fontId="41" fillId="2" borderId="0" applyNumberFormat="0" applyBorder="0" applyAlignment="0" applyProtection="0">
      <alignment vertical="center"/>
    </xf>
    <xf numFmtId="0" fontId="94" fillId="0" borderId="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7" borderId="0" applyNumberFormat="0" applyBorder="0" applyAlignment="0" applyProtection="0">
      <alignment vertical="center"/>
    </xf>
    <xf numFmtId="0" fontId="41" fillId="2" borderId="0" applyNumberFormat="0" applyBorder="0" applyAlignment="0" applyProtection="0">
      <alignment vertical="center"/>
    </xf>
    <xf numFmtId="0" fontId="41" fillId="2" borderId="0" applyNumberFormat="0" applyBorder="0" applyAlignment="0" applyProtection="0">
      <alignment vertical="center"/>
    </xf>
    <xf numFmtId="0" fontId="41" fillId="2" borderId="0" applyNumberFormat="0" applyBorder="0" applyAlignment="0" applyProtection="0">
      <alignment vertical="center"/>
    </xf>
    <xf numFmtId="0" fontId="41" fillId="6" borderId="0" applyNumberFormat="0" applyBorder="0" applyAlignment="0" applyProtection="0">
      <alignment vertical="center"/>
    </xf>
    <xf numFmtId="0" fontId="41" fillId="2" borderId="0" applyNumberFormat="0" applyBorder="0" applyAlignment="0" applyProtection="0">
      <alignment vertical="center"/>
    </xf>
    <xf numFmtId="0" fontId="42" fillId="10" borderId="0" applyNumberFormat="0" applyBorder="0" applyAlignment="0" applyProtection="0">
      <alignment vertical="center"/>
    </xf>
    <xf numFmtId="0" fontId="41" fillId="6" borderId="0" applyNumberFormat="0" applyBorder="0" applyAlignment="0" applyProtection="0">
      <alignment vertical="center"/>
    </xf>
    <xf numFmtId="0" fontId="41" fillId="2" borderId="0" applyNumberFormat="0" applyBorder="0" applyAlignment="0" applyProtection="0">
      <alignment vertical="center"/>
    </xf>
    <xf numFmtId="0" fontId="42" fillId="10" borderId="0" applyNumberFormat="0" applyBorder="0" applyAlignment="0" applyProtection="0">
      <alignment vertical="center"/>
    </xf>
    <xf numFmtId="0" fontId="41" fillId="2" borderId="0" applyNumberFormat="0" applyBorder="0" applyAlignment="0" applyProtection="0">
      <alignment vertical="center"/>
    </xf>
    <xf numFmtId="0" fontId="1" fillId="0" borderId="0"/>
    <xf numFmtId="0" fontId="41" fillId="2"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2" fillId="8" borderId="0" applyNumberFormat="0" applyBorder="0" applyAlignment="0" applyProtection="0">
      <alignment vertical="center"/>
    </xf>
    <xf numFmtId="0" fontId="41" fillId="6" borderId="0" applyNumberFormat="0" applyBorder="0" applyAlignment="0" applyProtection="0">
      <alignment vertical="center"/>
    </xf>
    <xf numFmtId="0" fontId="42" fillId="8" borderId="0" applyNumberFormat="0" applyBorder="0" applyAlignment="0" applyProtection="0">
      <alignment vertical="center"/>
    </xf>
    <xf numFmtId="0" fontId="41" fillId="6" borderId="0" applyNumberFormat="0" applyBorder="0" applyAlignment="0" applyProtection="0">
      <alignment vertical="center"/>
    </xf>
    <xf numFmtId="0" fontId="94" fillId="13" borderId="4" applyNumberFormat="0" applyFont="0" applyAlignment="0" applyProtection="0">
      <alignment vertical="center"/>
    </xf>
    <xf numFmtId="0" fontId="42" fillId="8" borderId="0" applyNumberFormat="0" applyBorder="0" applyAlignment="0" applyProtection="0">
      <alignment vertical="center"/>
    </xf>
    <xf numFmtId="0" fontId="41" fillId="6" borderId="0" applyNumberFormat="0" applyBorder="0" applyAlignment="0" applyProtection="0">
      <alignment vertical="center"/>
    </xf>
    <xf numFmtId="0" fontId="1" fillId="0" borderId="0"/>
    <xf numFmtId="0" fontId="41" fillId="6" borderId="0" applyNumberFormat="0" applyBorder="0" applyAlignment="0" applyProtection="0">
      <alignment vertical="center"/>
    </xf>
    <xf numFmtId="0" fontId="42" fillId="8" borderId="0" applyNumberFormat="0" applyBorder="0" applyAlignment="0" applyProtection="0">
      <alignment vertical="center"/>
    </xf>
    <xf numFmtId="0" fontId="94" fillId="4" borderId="0" applyNumberFormat="0" applyBorder="0" applyAlignment="0" applyProtection="0">
      <alignment vertical="center"/>
    </xf>
    <xf numFmtId="0" fontId="52" fillId="0" borderId="0" applyNumberFormat="0" applyFill="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1" fillId="0" borderId="0">
      <protection locked="0"/>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2" fillId="5" borderId="0" applyNumberFormat="0" applyBorder="0" applyAlignment="0" applyProtection="0">
      <alignment vertical="center"/>
    </xf>
    <xf numFmtId="0" fontId="41" fillId="4" borderId="0" applyNumberFormat="0" applyBorder="0" applyAlignment="0" applyProtection="0">
      <alignment vertical="center"/>
    </xf>
    <xf numFmtId="0" fontId="42" fillId="5" borderId="0" applyNumberFormat="0" applyBorder="0" applyAlignment="0" applyProtection="0">
      <alignment vertical="center"/>
    </xf>
    <xf numFmtId="0" fontId="41" fillId="4" borderId="0" applyNumberFormat="0" applyBorder="0" applyAlignment="0" applyProtection="0">
      <alignment vertical="center"/>
    </xf>
    <xf numFmtId="0" fontId="1" fillId="0" borderId="0"/>
    <xf numFmtId="0" fontId="41" fillId="4" borderId="0" applyNumberFormat="0" applyBorder="0" applyAlignment="0" applyProtection="0">
      <alignment vertical="center"/>
    </xf>
    <xf numFmtId="0" fontId="94" fillId="11" borderId="0" applyNumberFormat="0" applyBorder="0" applyAlignment="0" applyProtection="0">
      <alignment vertical="center"/>
    </xf>
    <xf numFmtId="0" fontId="42" fillId="8" borderId="0" applyNumberFormat="0" applyBorder="0" applyAlignment="0" applyProtection="0">
      <alignment vertical="center"/>
    </xf>
    <xf numFmtId="0" fontId="41" fillId="11" borderId="0" applyNumberFormat="0" applyBorder="0" applyAlignment="0" applyProtection="0">
      <alignment vertical="center"/>
    </xf>
    <xf numFmtId="0" fontId="42" fillId="17" borderId="0" applyNumberFormat="0" applyBorder="0" applyAlignment="0" applyProtection="0">
      <alignment vertical="center"/>
    </xf>
    <xf numFmtId="0" fontId="41" fillId="6" borderId="0" applyNumberFormat="0" applyBorder="0" applyAlignment="0" applyProtection="0">
      <alignment vertical="center"/>
    </xf>
    <xf numFmtId="0" fontId="41" fillId="11" borderId="0" applyNumberFormat="0" applyBorder="0" applyAlignment="0" applyProtection="0">
      <alignment vertical="center"/>
    </xf>
    <xf numFmtId="0" fontId="1" fillId="0" borderId="0">
      <alignment vertical="center"/>
    </xf>
    <xf numFmtId="0" fontId="41" fillId="6" borderId="0" applyNumberFormat="0" applyBorder="0" applyAlignment="0" applyProtection="0">
      <alignment vertical="center"/>
    </xf>
    <xf numFmtId="0" fontId="41" fillId="11" borderId="0" applyNumberFormat="0" applyBorder="0" applyAlignment="0" applyProtection="0">
      <alignment vertical="center"/>
    </xf>
    <xf numFmtId="0" fontId="1" fillId="0" borderId="0">
      <alignment vertical="center"/>
    </xf>
    <xf numFmtId="0" fontId="41" fillId="11" borderId="0" applyNumberFormat="0" applyBorder="0" applyAlignment="0" applyProtection="0">
      <alignment vertical="center"/>
    </xf>
    <xf numFmtId="0" fontId="1" fillId="0" borderId="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1" fillId="11" borderId="0" applyNumberFormat="0" applyBorder="0" applyAlignment="0" applyProtection="0">
      <alignment vertical="center"/>
    </xf>
    <xf numFmtId="0" fontId="42" fillId="17" borderId="0" applyNumberFormat="0" applyBorder="0" applyAlignment="0" applyProtection="0">
      <alignment vertical="center"/>
    </xf>
    <xf numFmtId="0" fontId="41" fillId="11" borderId="0" applyNumberFormat="0" applyBorder="0" applyAlignment="0" applyProtection="0">
      <alignment vertical="center"/>
    </xf>
    <xf numFmtId="0" fontId="42" fillId="18" borderId="0" applyNumberFormat="0" applyBorder="0" applyAlignment="0" applyProtection="0">
      <alignment vertical="center"/>
    </xf>
    <xf numFmtId="0" fontId="42" fillId="17" borderId="0" applyNumberFormat="0" applyBorder="0" applyAlignment="0" applyProtection="0">
      <alignment vertical="center"/>
    </xf>
    <xf numFmtId="0" fontId="50" fillId="19" borderId="0" applyNumberFormat="0" applyBorder="0" applyAlignment="0" applyProtection="0"/>
    <xf numFmtId="0" fontId="41" fillId="20" borderId="0" applyNumberFormat="0" applyBorder="0" applyAlignment="0" applyProtection="0">
      <alignment vertical="center"/>
    </xf>
    <xf numFmtId="0" fontId="42" fillId="18" borderId="0" applyNumberFormat="0" applyBorder="0" applyAlignment="0" applyProtection="0">
      <alignment vertical="center"/>
    </xf>
    <xf numFmtId="0" fontId="49" fillId="0" borderId="5" applyNumberFormat="0" applyFill="0" applyAlignment="0" applyProtection="0">
      <alignment vertical="center"/>
    </xf>
    <xf numFmtId="0" fontId="44" fillId="19" borderId="0" applyNumberFormat="0" applyBorder="0" applyAlignment="0" applyProtection="0">
      <alignment vertical="center"/>
    </xf>
    <xf numFmtId="0" fontId="1" fillId="0" borderId="0">
      <alignment vertical="center"/>
    </xf>
    <xf numFmtId="0" fontId="41" fillId="11" borderId="0" applyNumberFormat="0" applyBorder="0" applyAlignment="0" applyProtection="0">
      <alignment vertical="center"/>
    </xf>
    <xf numFmtId="0" fontId="1" fillId="0" borderId="0">
      <alignment vertical="center"/>
    </xf>
    <xf numFmtId="0" fontId="41" fillId="20" borderId="0" applyNumberFormat="0" applyBorder="0" applyAlignment="0" applyProtection="0">
      <alignment vertical="center"/>
    </xf>
    <xf numFmtId="0" fontId="42" fillId="18" borderId="0" applyNumberFormat="0" applyBorder="0" applyAlignment="0" applyProtection="0">
      <alignment vertical="center"/>
    </xf>
    <xf numFmtId="0" fontId="44" fillId="19" borderId="0" applyNumberFormat="0" applyBorder="0" applyAlignment="0" applyProtection="0">
      <alignment vertical="center"/>
    </xf>
    <xf numFmtId="0" fontId="1" fillId="0" borderId="0">
      <alignment vertical="center"/>
    </xf>
    <xf numFmtId="0" fontId="41" fillId="11" borderId="0" applyNumberFormat="0" applyBorder="0" applyAlignment="0" applyProtection="0">
      <alignment vertical="center"/>
    </xf>
    <xf numFmtId="0" fontId="1" fillId="0" borderId="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2" fillId="18" borderId="0" applyNumberFormat="0" applyBorder="0" applyAlignment="0" applyProtection="0">
      <alignment vertical="center"/>
    </xf>
    <xf numFmtId="0" fontId="46" fillId="15" borderId="6" applyNumberFormat="0" applyAlignment="0" applyProtection="0"/>
    <xf numFmtId="0" fontId="1" fillId="0" borderId="0">
      <alignment vertical="center"/>
    </xf>
    <xf numFmtId="0" fontId="1" fillId="0" borderId="0">
      <alignment vertical="center"/>
    </xf>
    <xf numFmtId="0" fontId="1" fillId="0" borderId="0">
      <alignment vertical="center"/>
    </xf>
    <xf numFmtId="0" fontId="41" fillId="1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41" fillId="11" borderId="0" applyNumberFormat="0" applyBorder="0" applyAlignment="0" applyProtection="0">
      <alignment vertical="center"/>
    </xf>
    <xf numFmtId="0" fontId="1" fillId="0" borderId="0">
      <alignment vertical="center"/>
    </xf>
    <xf numFmtId="0" fontId="43" fillId="12" borderId="0" applyNumberFormat="0" applyBorder="0" applyAlignment="0" applyProtection="0"/>
    <xf numFmtId="0" fontId="43" fillId="8" borderId="0" applyNumberFormat="0" applyBorder="0" applyAlignment="0" applyProtection="0"/>
    <xf numFmtId="0" fontId="43" fillId="5" borderId="0" applyNumberFormat="0" applyBorder="0" applyAlignment="0" applyProtection="0"/>
    <xf numFmtId="0" fontId="1" fillId="0" borderId="0">
      <alignment vertical="center"/>
    </xf>
    <xf numFmtId="0" fontId="1" fillId="0" borderId="0">
      <alignment vertical="center"/>
    </xf>
    <xf numFmtId="0" fontId="42" fillId="18" borderId="0" applyNumberFormat="0" applyBorder="0" applyAlignment="0" applyProtection="0">
      <alignment vertical="center"/>
    </xf>
    <xf numFmtId="0" fontId="43" fillId="6" borderId="0" applyNumberFormat="0" applyBorder="0" applyAlignment="0" applyProtection="0"/>
    <xf numFmtId="0" fontId="1" fillId="0" borderId="0">
      <alignment vertical="center"/>
    </xf>
    <xf numFmtId="0" fontId="1" fillId="0" borderId="0">
      <alignment vertical="center"/>
    </xf>
    <xf numFmtId="0" fontId="42" fillId="18" borderId="0" applyNumberFormat="0" applyBorder="0" applyAlignment="0" applyProtection="0">
      <alignment vertical="center"/>
    </xf>
    <xf numFmtId="0" fontId="62" fillId="0" borderId="0" applyNumberFormat="0" applyFill="0" applyBorder="0" applyAlignment="0" applyProtection="0">
      <alignment vertical="center"/>
    </xf>
    <xf numFmtId="0" fontId="43" fillId="12" borderId="0" applyNumberFormat="0" applyBorder="0" applyAlignment="0" applyProtection="0"/>
    <xf numFmtId="0" fontId="62" fillId="0" borderId="0" applyNumberFormat="0" applyFill="0" applyBorder="0" applyAlignment="0" applyProtection="0">
      <alignment vertical="center"/>
    </xf>
    <xf numFmtId="0" fontId="43" fillId="20" borderId="0" applyNumberFormat="0" applyBorder="0" applyAlignment="0" applyProtection="0"/>
    <xf numFmtId="0" fontId="94" fillId="12" borderId="0" applyNumberFormat="0" applyBorder="0" applyAlignment="0" applyProtection="0">
      <alignment vertical="center"/>
    </xf>
    <xf numFmtId="0" fontId="52" fillId="0" borderId="0" applyNumberFormat="0" applyFill="0" applyBorder="0" applyAlignment="0" applyProtection="0">
      <alignment vertical="center"/>
    </xf>
    <xf numFmtId="0" fontId="41" fillId="12" borderId="0" applyNumberFormat="0" applyBorder="0" applyAlignment="0" applyProtection="0">
      <alignment vertical="center"/>
    </xf>
    <xf numFmtId="0" fontId="94" fillId="13" borderId="4" applyNumberFormat="0" applyFont="0" applyAlignment="0" applyProtection="0"/>
    <xf numFmtId="0" fontId="52" fillId="0" borderId="0" applyNumberFormat="0" applyFill="0" applyBorder="0" applyAlignment="0" applyProtection="0">
      <alignment vertical="center"/>
    </xf>
    <xf numFmtId="0" fontId="1" fillId="0" borderId="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1" fillId="0" borderId="0">
      <alignment vertical="center"/>
    </xf>
    <xf numFmtId="0" fontId="1" fillId="0" borderId="0">
      <alignment vertical="center"/>
    </xf>
    <xf numFmtId="0" fontId="41" fillId="12" borderId="0" applyNumberFormat="0" applyBorder="0" applyAlignment="0" applyProtection="0">
      <alignment vertical="center"/>
    </xf>
    <xf numFmtId="0" fontId="1" fillId="0" borderId="0">
      <alignment vertical="center"/>
    </xf>
    <xf numFmtId="0" fontId="1" fillId="0" borderId="0"/>
    <xf numFmtId="0" fontId="41" fillId="12" borderId="0" applyNumberFormat="0" applyBorder="0" applyAlignment="0" applyProtection="0">
      <alignment vertical="center"/>
    </xf>
    <xf numFmtId="0" fontId="94" fillId="13" borderId="4" applyNumberFormat="0" applyFont="0" applyAlignment="0" applyProtection="0"/>
    <xf numFmtId="0" fontId="52" fillId="0" borderId="0" applyNumberFormat="0" applyFill="0" applyBorder="0" applyAlignment="0" applyProtection="0">
      <alignment vertical="center"/>
    </xf>
    <xf numFmtId="0" fontId="58" fillId="21" borderId="0" applyNumberFormat="0" applyBorder="0" applyAlignment="0" applyProtection="0"/>
    <xf numFmtId="0" fontId="1" fillId="0" borderId="0">
      <alignment vertical="center"/>
    </xf>
    <xf numFmtId="0" fontId="1" fillId="0" borderId="0">
      <alignment vertical="center"/>
    </xf>
    <xf numFmtId="0" fontId="1" fillId="0" borderId="0"/>
    <xf numFmtId="0" fontId="41" fillId="12" borderId="0" applyNumberFormat="0" applyBorder="0" applyAlignment="0" applyProtection="0">
      <alignment vertical="center"/>
    </xf>
    <xf numFmtId="0" fontId="58" fillId="3" borderId="0" applyNumberFormat="0" applyBorder="0" applyAlignment="0" applyProtection="0"/>
    <xf numFmtId="0" fontId="1" fillId="0" borderId="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1" fillId="0" borderId="0">
      <alignment vertical="center"/>
    </xf>
    <xf numFmtId="0" fontId="41" fillId="12" borderId="0" applyNumberFormat="0" applyBorder="0" applyAlignment="0" applyProtection="0">
      <alignment vertical="center"/>
    </xf>
    <xf numFmtId="0" fontId="42" fillId="14" borderId="0" applyNumberFormat="0" applyBorder="0" applyAlignment="0" applyProtection="0">
      <alignment vertical="center"/>
    </xf>
    <xf numFmtId="0" fontId="58" fillId="22" borderId="0" applyNumberFormat="0" applyBorder="0" applyAlignment="0" applyProtection="0"/>
    <xf numFmtId="0" fontId="1" fillId="0" borderId="0">
      <alignment vertical="center"/>
    </xf>
    <xf numFmtId="0" fontId="41" fillId="12" borderId="0" applyNumberFormat="0" applyBorder="0" applyAlignment="0" applyProtection="0">
      <alignment vertical="center"/>
    </xf>
    <xf numFmtId="0" fontId="41" fillId="12" borderId="0" applyNumberFormat="0" applyBorder="0" applyAlignment="0" applyProtection="0">
      <alignment vertical="center"/>
    </xf>
    <xf numFmtId="0" fontId="1" fillId="0" borderId="0">
      <alignment vertical="center"/>
    </xf>
    <xf numFmtId="0" fontId="65" fillId="0" borderId="8" applyNumberFormat="0" applyFill="0" applyAlignment="0" applyProtection="0"/>
    <xf numFmtId="0" fontId="94" fillId="8" borderId="0" applyNumberFormat="0" applyBorder="0" applyAlignment="0" applyProtection="0">
      <alignment vertical="center"/>
    </xf>
    <xf numFmtId="3" fontId="1" fillId="0" borderId="2"/>
    <xf numFmtId="0" fontId="52" fillId="0" borderId="0" applyNumberFormat="0" applyFill="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1" fillId="0" borderId="0">
      <alignment vertical="center"/>
    </xf>
    <xf numFmtId="0" fontId="41" fillId="8" borderId="0" applyNumberFormat="0" applyBorder="0" applyAlignment="0" applyProtection="0">
      <alignment vertical="center"/>
    </xf>
    <xf numFmtId="0" fontId="1" fillId="0" borderId="0">
      <alignment vertical="center"/>
    </xf>
    <xf numFmtId="0" fontId="41" fillId="8" borderId="0" applyNumberFormat="0" applyBorder="0" applyAlignment="0" applyProtection="0">
      <alignment vertical="center"/>
    </xf>
    <xf numFmtId="0" fontId="59" fillId="0" borderId="0" applyNumberFormat="0" applyFill="0" applyBorder="0" applyAlignment="0" applyProtection="0">
      <alignment vertical="center"/>
    </xf>
    <xf numFmtId="0" fontId="56" fillId="7" borderId="0" applyNumberFormat="0" applyBorder="0" applyAlignment="0" applyProtection="0">
      <alignment vertical="center"/>
    </xf>
    <xf numFmtId="0" fontId="41" fillId="8" borderId="0" applyNumberFormat="0" applyBorder="0" applyAlignment="0" applyProtection="0">
      <alignment vertical="center"/>
    </xf>
    <xf numFmtId="0" fontId="56" fillId="7" borderId="0" applyNumberFormat="0" applyBorder="0" applyAlignment="0" applyProtection="0">
      <alignment vertical="center"/>
    </xf>
    <xf numFmtId="0" fontId="41" fillId="8" borderId="0" applyNumberFormat="0" applyBorder="0" applyAlignment="0" applyProtection="0">
      <alignment vertical="center"/>
    </xf>
    <xf numFmtId="0" fontId="41" fillId="8" borderId="0" applyNumberFormat="0" applyBorder="0" applyAlignment="0" applyProtection="0">
      <alignment vertical="center"/>
    </xf>
    <xf numFmtId="0" fontId="1" fillId="0" borderId="0">
      <alignment vertical="center"/>
    </xf>
    <xf numFmtId="0" fontId="1" fillId="0" borderId="0">
      <alignment vertical="center"/>
    </xf>
    <xf numFmtId="0" fontId="94" fillId="5" borderId="0" applyNumberFormat="0" applyBorder="0" applyAlignment="0" applyProtection="0">
      <alignment vertical="center"/>
    </xf>
    <xf numFmtId="0" fontId="52" fillId="0" borderId="0" applyNumberFormat="0" applyFill="0" applyBorder="0" applyAlignment="0" applyProtection="0">
      <alignment vertical="center"/>
    </xf>
    <xf numFmtId="0" fontId="41" fillId="5" borderId="0" applyNumberFormat="0" applyBorder="0" applyAlignment="0" applyProtection="0">
      <alignment vertical="center"/>
    </xf>
    <xf numFmtId="0" fontId="1" fillId="0" borderId="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94" fillId="13" borderId="4" applyNumberFormat="0" applyFont="0" applyAlignment="0" applyProtection="0"/>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1" fillId="0" borderId="0">
      <alignment vertical="center"/>
    </xf>
    <xf numFmtId="0" fontId="41" fillId="5" borderId="0" applyNumberFormat="0" applyBorder="0" applyAlignment="0" applyProtection="0">
      <alignment vertical="center"/>
    </xf>
    <xf numFmtId="0" fontId="1" fillId="0" borderId="0">
      <alignment vertical="center"/>
    </xf>
    <xf numFmtId="0" fontId="41" fillId="5" borderId="0" applyNumberFormat="0" applyBorder="0" applyAlignment="0" applyProtection="0">
      <alignment vertical="center"/>
    </xf>
    <xf numFmtId="0" fontId="1" fillId="0" borderId="0">
      <alignment vertical="center"/>
    </xf>
    <xf numFmtId="0" fontId="94" fillId="0" borderId="0">
      <alignment vertical="center"/>
    </xf>
    <xf numFmtId="0" fontId="1" fillId="0" borderId="0">
      <alignment vertical="center"/>
    </xf>
    <xf numFmtId="0" fontId="41" fillId="5" borderId="0" applyNumberFormat="0" applyBorder="0" applyAlignment="0" applyProtection="0">
      <alignment vertical="center"/>
    </xf>
    <xf numFmtId="0" fontId="94" fillId="0" borderId="0">
      <alignment vertical="center"/>
    </xf>
    <xf numFmtId="0" fontId="1" fillId="0" borderId="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1" fillId="0" borderId="0">
      <alignment vertical="center"/>
    </xf>
    <xf numFmtId="0" fontId="41" fillId="5" borderId="0" applyNumberFormat="0" applyBorder="0" applyAlignment="0" applyProtection="0">
      <alignment vertical="center"/>
    </xf>
    <xf numFmtId="0" fontId="41" fillId="5" borderId="0" applyNumberFormat="0" applyBorder="0" applyAlignment="0" applyProtection="0">
      <alignment vertical="center"/>
    </xf>
    <xf numFmtId="0" fontId="60" fillId="7" borderId="0" applyNumberFormat="0" applyBorder="0" applyAlignment="0" applyProtection="0">
      <alignment vertical="center"/>
    </xf>
    <xf numFmtId="0" fontId="1" fillId="0" borderId="0">
      <alignment vertical="center"/>
    </xf>
    <xf numFmtId="0" fontId="1" fillId="0" borderId="0">
      <alignment vertical="center"/>
    </xf>
    <xf numFmtId="0" fontId="94" fillId="6" borderId="0" applyNumberFormat="0" applyBorder="0" applyAlignment="0" applyProtection="0">
      <alignment vertical="center"/>
    </xf>
    <xf numFmtId="0" fontId="1" fillId="0" borderId="0">
      <alignment vertical="center"/>
    </xf>
    <xf numFmtId="0" fontId="41" fillId="6" borderId="0" applyNumberFormat="0" applyBorder="0" applyAlignment="0" applyProtection="0">
      <alignment vertical="center"/>
    </xf>
    <xf numFmtId="0" fontId="64" fillId="0" borderId="9" applyNumberFormat="0" applyFill="0" applyAlignment="0" applyProtection="0"/>
    <xf numFmtId="43" fontId="94" fillId="0" borderId="0" applyFont="0" applyFill="0" applyBorder="0" applyAlignment="0" applyProtection="0">
      <alignment vertical="center"/>
    </xf>
    <xf numFmtId="0" fontId="48" fillId="0" borderId="0" applyNumberFormat="0" applyFill="0" applyBorder="0" applyAlignment="0" applyProtection="0">
      <alignment vertical="center"/>
    </xf>
    <xf numFmtId="0" fontId="41" fillId="6" borderId="0" applyNumberFormat="0" applyBorder="0" applyAlignment="0" applyProtection="0">
      <alignment vertical="center"/>
    </xf>
    <xf numFmtId="43" fontId="94" fillId="0" borderId="0" applyFont="0" applyFill="0" applyBorder="0" applyAlignment="0" applyProtection="0">
      <alignment vertical="center"/>
    </xf>
    <xf numFmtId="0" fontId="48" fillId="0" borderId="0" applyNumberFormat="0" applyFill="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1" fillId="0" borderId="0">
      <alignment vertical="center"/>
    </xf>
    <xf numFmtId="0" fontId="1" fillId="0" borderId="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1" fillId="0" borderId="0">
      <alignment vertical="center"/>
    </xf>
    <xf numFmtId="0" fontId="1" fillId="0" borderId="0">
      <alignment vertical="center"/>
    </xf>
    <xf numFmtId="0" fontId="94" fillId="12" borderId="0" applyNumberFormat="0" applyBorder="0" applyAlignment="0" applyProtection="0">
      <alignment vertical="center"/>
    </xf>
    <xf numFmtId="0" fontId="41" fillId="12" borderId="0" applyNumberFormat="0" applyBorder="0" applyAlignment="0" applyProtection="0">
      <alignment vertical="center"/>
    </xf>
    <xf numFmtId="0" fontId="42" fillId="18" borderId="0" applyNumberFormat="0" applyBorder="0" applyAlignment="0" applyProtection="0">
      <alignment vertical="center"/>
    </xf>
    <xf numFmtId="0" fontId="41" fillId="12" borderId="0" applyNumberFormat="0" applyBorder="0" applyAlignment="0" applyProtection="0">
      <alignment vertical="center"/>
    </xf>
    <xf numFmtId="0" fontId="42" fillId="18" borderId="0" applyNumberFormat="0" applyBorder="0" applyAlignment="0" applyProtection="0">
      <alignment vertical="center"/>
    </xf>
    <xf numFmtId="0" fontId="41" fillId="12" borderId="0" applyNumberFormat="0" applyBorder="0" applyAlignment="0" applyProtection="0">
      <alignment vertical="center"/>
    </xf>
    <xf numFmtId="0" fontId="1" fillId="0" borderId="0">
      <alignment vertical="center"/>
    </xf>
    <xf numFmtId="0" fontId="1" fillId="0" borderId="0">
      <alignment vertical="center"/>
    </xf>
    <xf numFmtId="0" fontId="41" fillId="12" borderId="0" applyNumberFormat="0" applyBorder="0" applyAlignment="0" applyProtection="0">
      <alignment vertical="center"/>
    </xf>
    <xf numFmtId="0" fontId="47" fillId="2" borderId="0" applyNumberFormat="0" applyBorder="0" applyAlignment="0" applyProtection="0">
      <alignment vertical="center"/>
    </xf>
    <xf numFmtId="0" fontId="41" fillId="12" borderId="0" applyNumberFormat="0" applyBorder="0" applyAlignment="0" applyProtection="0">
      <alignment vertical="center"/>
    </xf>
    <xf numFmtId="0" fontId="1" fillId="0" borderId="0">
      <alignment vertical="center"/>
    </xf>
    <xf numFmtId="0" fontId="47" fillId="2" borderId="0" applyNumberFormat="0" applyBorder="0" applyAlignment="0" applyProtection="0">
      <alignment vertical="center"/>
    </xf>
    <xf numFmtId="0" fontId="41" fillId="12" borderId="0" applyNumberFormat="0" applyBorder="0" applyAlignment="0" applyProtection="0">
      <alignment vertical="center"/>
    </xf>
    <xf numFmtId="0" fontId="1" fillId="0" borderId="0">
      <alignment vertical="center"/>
    </xf>
    <xf numFmtId="0" fontId="41" fillId="12" borderId="0" applyNumberFormat="0" applyBorder="0" applyAlignment="0" applyProtection="0">
      <alignment vertical="center"/>
    </xf>
    <xf numFmtId="0" fontId="42" fillId="17" borderId="0" applyNumberFormat="0" applyBorder="0" applyAlignment="0" applyProtection="0">
      <alignment vertical="center"/>
    </xf>
    <xf numFmtId="0" fontId="1" fillId="0" borderId="0"/>
    <xf numFmtId="0" fontId="41" fillId="12" borderId="0" applyNumberFormat="0" applyBorder="0" applyAlignment="0" applyProtection="0">
      <alignment vertical="center"/>
    </xf>
    <xf numFmtId="0" fontId="42" fillId="17" borderId="0" applyNumberFormat="0" applyBorder="0" applyAlignment="0" applyProtection="0">
      <alignment vertical="center"/>
    </xf>
    <xf numFmtId="0" fontId="47" fillId="2" borderId="0" applyNumberFormat="0" applyBorder="0" applyAlignment="0" applyProtection="0">
      <alignment vertical="center"/>
    </xf>
    <xf numFmtId="0" fontId="41" fillId="12" borderId="0" applyNumberFormat="0" applyBorder="0" applyAlignment="0" applyProtection="0">
      <alignment vertical="center"/>
    </xf>
    <xf numFmtId="9" fontId="94" fillId="0" borderId="0" applyFont="0" applyFill="0" applyBorder="0" applyAlignment="0" applyProtection="0">
      <alignment vertical="center"/>
    </xf>
    <xf numFmtId="0" fontId="1" fillId="0" borderId="0">
      <alignment vertical="center"/>
    </xf>
    <xf numFmtId="0" fontId="41" fillId="12" borderId="0" applyNumberFormat="0" applyBorder="0" applyAlignment="0" applyProtection="0">
      <alignment vertical="center"/>
    </xf>
    <xf numFmtId="0" fontId="57" fillId="0" borderId="0" applyNumberFormat="0" applyFill="0" applyBorder="0" applyAlignment="0" applyProtection="0"/>
    <xf numFmtId="0" fontId="41" fillId="12" borderId="0" applyNumberFormat="0" applyBorder="0" applyAlignment="0" applyProtection="0">
      <alignment vertical="center"/>
    </xf>
    <xf numFmtId="0" fontId="1" fillId="0" borderId="0">
      <alignment vertical="center"/>
    </xf>
    <xf numFmtId="0" fontId="1" fillId="0" borderId="0">
      <alignment vertical="center"/>
    </xf>
    <xf numFmtId="0" fontId="94" fillId="20" borderId="0" applyNumberFormat="0" applyBorder="0" applyAlignment="0" applyProtection="0">
      <alignment vertical="center"/>
    </xf>
    <xf numFmtId="0" fontId="41" fillId="20" borderId="0" applyNumberFormat="0" applyBorder="0" applyAlignment="0" applyProtection="0">
      <alignment vertical="center"/>
    </xf>
    <xf numFmtId="0" fontId="49" fillId="0" borderId="5" applyNumberFormat="0" applyFill="0" applyAlignment="0" applyProtection="0">
      <alignment vertical="center"/>
    </xf>
    <xf numFmtId="0" fontId="44" fillId="19" borderId="0" applyNumberFormat="0" applyBorder="0" applyAlignment="0" applyProtection="0">
      <alignment vertical="center"/>
    </xf>
    <xf numFmtId="0" fontId="1" fillId="0" borderId="0">
      <alignment vertical="center"/>
    </xf>
    <xf numFmtId="0" fontId="1" fillId="0" borderId="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1" fillId="0" borderId="0">
      <alignment vertical="center"/>
    </xf>
    <xf numFmtId="0" fontId="1" fillId="0" borderId="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49" fillId="0" borderId="5" applyNumberFormat="0" applyFill="0" applyAlignment="0" applyProtection="0">
      <alignment vertical="center"/>
    </xf>
    <xf numFmtId="0" fontId="44" fillId="19" borderId="0" applyNumberFormat="0" applyBorder="0" applyAlignment="0" applyProtection="0">
      <alignment vertical="center"/>
    </xf>
    <xf numFmtId="0" fontId="1" fillId="0" borderId="0">
      <alignment vertical="center"/>
    </xf>
    <xf numFmtId="0" fontId="1" fillId="0" borderId="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51" fillId="0" borderId="3" applyNumberFormat="0" applyFill="0" applyAlignment="0" applyProtection="0">
      <alignment vertical="center"/>
    </xf>
    <xf numFmtId="0" fontId="41" fillId="20" borderId="0" applyNumberFormat="0" applyBorder="0" applyAlignment="0" applyProtection="0">
      <alignment vertical="center"/>
    </xf>
    <xf numFmtId="0" fontId="41" fillId="20" borderId="0" applyNumberFormat="0" applyBorder="0" applyAlignment="0" applyProtection="0">
      <alignment vertical="center"/>
    </xf>
    <xf numFmtId="0" fontId="58" fillId="10" borderId="0" applyNumberFormat="0" applyBorder="0" applyAlignment="0" applyProtection="0"/>
    <xf numFmtId="0" fontId="1" fillId="0" borderId="0">
      <alignment vertical="center"/>
    </xf>
    <xf numFmtId="0" fontId="1" fillId="0" borderId="0">
      <alignment vertical="center"/>
    </xf>
    <xf numFmtId="0" fontId="58" fillId="8" borderId="0" applyNumberFormat="0" applyBorder="0" applyAlignment="0" applyProtection="0"/>
    <xf numFmtId="0" fontId="58" fillId="5" borderId="0" applyNumberFormat="0" applyBorder="0" applyAlignment="0" applyProtection="0"/>
    <xf numFmtId="0" fontId="58" fillId="18" borderId="0" applyNumberFormat="0" applyBorder="0" applyAlignment="0" applyProtection="0"/>
    <xf numFmtId="0" fontId="42" fillId="18" borderId="0" applyNumberFormat="0" applyBorder="0" applyAlignment="0" applyProtection="0">
      <alignment vertical="center"/>
    </xf>
    <xf numFmtId="0" fontId="58" fillId="23" borderId="0" applyNumberFormat="0" applyBorder="0" applyAlignment="0" applyProtection="0"/>
    <xf numFmtId="0" fontId="42" fillId="18" borderId="0" applyNumberFormat="0" applyBorder="0" applyAlignment="0" applyProtection="0">
      <alignment vertical="center"/>
    </xf>
    <xf numFmtId="0" fontId="58" fillId="17" borderId="0" applyNumberFormat="0" applyBorder="0" applyAlignment="0" applyProtection="0"/>
    <xf numFmtId="0" fontId="61"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63" fillId="0" borderId="0" applyNumberFormat="0" applyFill="0" applyBorder="0" applyAlignment="0" applyProtection="0"/>
    <xf numFmtId="0" fontId="42" fillId="10" borderId="0" applyNumberFormat="0" applyBorder="0" applyAlignment="0" applyProtection="0">
      <alignment vertical="center"/>
    </xf>
    <xf numFmtId="0" fontId="1" fillId="0" borderId="0"/>
    <xf numFmtId="0" fontId="42" fillId="10" borderId="0" applyNumberFormat="0" applyBorder="0" applyAlignment="0" applyProtection="0">
      <alignment vertical="center"/>
    </xf>
    <xf numFmtId="43" fontId="94" fillId="0" borderId="0" applyFont="0" applyFill="0" applyBorder="0" applyAlignment="0" applyProtection="0">
      <alignment vertical="center"/>
    </xf>
    <xf numFmtId="0" fontId="48" fillId="0" borderId="0" applyNumberFormat="0" applyFill="0" applyBorder="0" applyAlignment="0" applyProtection="0">
      <alignment vertical="center"/>
    </xf>
    <xf numFmtId="0" fontId="1" fillId="0" borderId="0"/>
    <xf numFmtId="0" fontId="42" fillId="10" borderId="0" applyNumberFormat="0" applyBorder="0" applyAlignment="0" applyProtection="0">
      <alignment vertical="center"/>
    </xf>
    <xf numFmtId="43" fontId="94" fillId="0" borderId="0" applyFont="0" applyFill="0" applyBorder="0" applyAlignment="0" applyProtection="0">
      <alignment vertical="center"/>
    </xf>
    <xf numFmtId="0" fontId="48" fillId="0" borderId="0" applyNumberFormat="0" applyFill="0" applyBorder="0" applyAlignment="0" applyProtection="0">
      <alignment vertical="center"/>
    </xf>
    <xf numFmtId="0" fontId="42" fillId="10" borderId="0" applyNumberFormat="0" applyBorder="0" applyAlignment="0" applyProtection="0">
      <alignment vertical="center"/>
    </xf>
    <xf numFmtId="0" fontId="1" fillId="0" borderId="0"/>
    <xf numFmtId="0" fontId="42" fillId="10" borderId="0" applyNumberFormat="0" applyBorder="0" applyAlignment="0" applyProtection="0">
      <alignment vertical="center"/>
    </xf>
    <xf numFmtId="0" fontId="1" fillId="0" borderId="0"/>
    <xf numFmtId="0" fontId="42" fillId="10" borderId="0" applyNumberFormat="0" applyBorder="0" applyAlignment="0" applyProtection="0">
      <alignment vertical="center"/>
    </xf>
    <xf numFmtId="0" fontId="61"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52" fillId="0" borderId="0" applyNumberFormat="0" applyFill="0" applyBorder="0" applyAlignment="0" applyProtection="0">
      <alignment vertical="center"/>
    </xf>
    <xf numFmtId="0" fontId="42" fillId="8" borderId="0" applyNumberFormat="0" applyBorder="0" applyAlignment="0" applyProtection="0">
      <alignment vertical="center"/>
    </xf>
    <xf numFmtId="0" fontId="42" fillId="8" borderId="0" applyNumberFormat="0" applyBorder="0" applyAlignment="0" applyProtection="0">
      <alignment vertical="center"/>
    </xf>
    <xf numFmtId="0" fontId="61"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42" fillId="5" borderId="0" applyNumberFormat="0" applyBorder="0" applyAlignment="0" applyProtection="0">
      <alignment vertical="center"/>
    </xf>
    <xf numFmtId="0" fontId="61" fillId="18" borderId="0" applyNumberFormat="0" applyBorder="0" applyAlignment="0" applyProtection="0">
      <alignment vertical="center"/>
    </xf>
    <xf numFmtId="0" fontId="42" fillId="18" borderId="0" applyNumberFormat="0" applyBorder="0" applyAlignment="0" applyProtection="0">
      <alignment vertical="center"/>
    </xf>
    <xf numFmtId="0" fontId="44" fillId="19" borderId="0" applyNumberFormat="0" applyBorder="0" applyAlignment="0" applyProtection="0">
      <alignment vertical="center"/>
    </xf>
    <xf numFmtId="0" fontId="1" fillId="0" borderId="0">
      <alignment vertical="center"/>
    </xf>
    <xf numFmtId="0" fontId="1" fillId="0" borderId="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61" fillId="23" borderId="0" applyNumberFormat="0" applyBorder="0" applyAlignment="0" applyProtection="0">
      <alignment vertical="center"/>
    </xf>
    <xf numFmtId="0" fontId="51" fillId="0" borderId="3" applyNumberFormat="0" applyFill="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8" fillId="0" borderId="1" applyNumberFormat="0" applyFill="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43" fontId="94" fillId="0" borderId="0" applyFont="0" applyFill="0" applyBorder="0" applyAlignment="0" applyProtection="0">
      <alignment vertical="center"/>
    </xf>
    <xf numFmtId="0" fontId="48" fillId="0" borderId="0" applyNumberFormat="0" applyFill="0" applyBorder="0" applyAlignment="0" applyProtection="0">
      <alignment vertical="center"/>
    </xf>
    <xf numFmtId="0" fontId="42" fillId="23" borderId="0" applyNumberFormat="0" applyBorder="0" applyAlignment="0" applyProtection="0">
      <alignment vertical="center"/>
    </xf>
    <xf numFmtId="43" fontId="94" fillId="0" borderId="0" applyFont="0" applyFill="0" applyBorder="0" applyAlignment="0" applyProtection="0">
      <alignment vertical="center"/>
    </xf>
    <xf numFmtId="0" fontId="48" fillId="0" borderId="0" applyNumberFormat="0" applyFill="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1" fillId="0" borderId="0">
      <alignment vertical="center"/>
    </xf>
    <xf numFmtId="0" fontId="1" fillId="0" borderId="0">
      <alignment vertical="center"/>
    </xf>
    <xf numFmtId="0" fontId="42" fillId="23" borderId="0" applyNumberFormat="0" applyBorder="0" applyAlignment="0" applyProtection="0">
      <alignment vertical="center"/>
    </xf>
    <xf numFmtId="0" fontId="1" fillId="0" borderId="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61" fillId="17" borderId="0" applyNumberFormat="0" applyBorder="0" applyAlignment="0" applyProtection="0">
      <alignment vertical="center"/>
    </xf>
    <xf numFmtId="0" fontId="51" fillId="0" borderId="3" applyNumberFormat="0" applyFill="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43" fontId="94" fillId="0" borderId="0" applyFont="0" applyFill="0" applyBorder="0" applyAlignment="0" applyProtection="0">
      <alignment vertical="center"/>
    </xf>
    <xf numFmtId="0" fontId="48" fillId="0" borderId="0" applyNumberFormat="0" applyFill="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61" fillId="23" borderId="0" applyNumberFormat="0" applyBorder="0" applyAlignment="0" applyProtection="0">
      <alignment vertical="center"/>
    </xf>
    <xf numFmtId="0" fontId="42" fillId="17" borderId="0" applyNumberFormat="0" applyBorder="0" applyAlignment="0" applyProtection="0">
      <alignment vertical="center"/>
    </xf>
    <xf numFmtId="0" fontId="61" fillId="14" borderId="0" applyNumberFormat="0" applyBorder="0" applyAlignment="0" applyProtection="0">
      <alignment vertical="center"/>
    </xf>
    <xf numFmtId="0" fontId="42" fillId="17" borderId="0" applyNumberFormat="0" applyBorder="0" applyAlignment="0" applyProtection="0">
      <alignment vertical="center"/>
    </xf>
    <xf numFmtId="0" fontId="42" fillId="14" borderId="0" applyNumberFormat="0" applyBorder="0" applyAlignment="0" applyProtection="0">
      <alignment vertical="center"/>
    </xf>
    <xf numFmtId="0" fontId="58" fillId="18" borderId="0" applyNumberFormat="0" applyBorder="0" applyAlignment="0" applyProtection="0"/>
    <xf numFmtId="0" fontId="1" fillId="0" borderId="0">
      <alignment vertical="center"/>
    </xf>
    <xf numFmtId="0" fontId="58" fillId="23" borderId="0" applyNumberFormat="0" applyBorder="0" applyAlignment="0" applyProtection="0"/>
    <xf numFmtId="0" fontId="58" fillId="14" borderId="0" applyNumberFormat="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3" fillId="7" borderId="0" applyNumberFormat="0" applyBorder="0" applyAlignment="0" applyProtection="0"/>
    <xf numFmtId="0" fontId="72" fillId="16" borderId="10" applyNumberFormat="0" applyAlignment="0" applyProtection="0"/>
    <xf numFmtId="3" fontId="1" fillId="0" borderId="2"/>
    <xf numFmtId="3" fontId="1" fillId="0" borderId="2"/>
    <xf numFmtId="0" fontId="42" fillId="14" borderId="0" applyNumberFormat="0" applyBorder="0" applyAlignment="0" applyProtection="0">
      <alignment vertical="center"/>
    </xf>
    <xf numFmtId="0" fontId="1" fillId="0" borderId="0">
      <alignment vertical="center"/>
    </xf>
    <xf numFmtId="3" fontId="1" fillId="0" borderId="2"/>
    <xf numFmtId="3" fontId="1" fillId="0" borderId="2"/>
    <xf numFmtId="3" fontId="1" fillId="0" borderId="2"/>
    <xf numFmtId="0" fontId="66" fillId="0" borderId="0" applyNumberFormat="0" applyFill="0" applyBorder="0" applyAlignment="0" applyProtection="0"/>
    <xf numFmtId="0" fontId="68" fillId="2" borderId="0" applyNumberFormat="0" applyBorder="0" applyAlignment="0" applyProtection="0"/>
    <xf numFmtId="0" fontId="94" fillId="0" borderId="0"/>
    <xf numFmtId="0" fontId="1" fillId="0" borderId="0">
      <alignment vertical="center"/>
    </xf>
    <xf numFmtId="0" fontId="1" fillId="0" borderId="0">
      <alignment vertical="center"/>
    </xf>
    <xf numFmtId="0" fontId="69" fillId="0" borderId="3" applyNumberFormat="0" applyFill="0" applyAlignment="0" applyProtection="0"/>
    <xf numFmtId="0" fontId="70" fillId="11" borderId="10" applyNumberFormat="0" applyAlignment="0" applyProtection="0"/>
    <xf numFmtId="176" fontId="71" fillId="0" borderId="0"/>
    <xf numFmtId="0" fontId="1" fillId="0" borderId="0">
      <alignment vertical="center"/>
    </xf>
    <xf numFmtId="0" fontId="94" fillId="13" borderId="4" applyNumberFormat="0" applyFont="0" applyAlignment="0" applyProtection="0"/>
    <xf numFmtId="9" fontId="94" fillId="0" borderId="0" applyFont="0" applyFill="0" applyBorder="0" applyAlignment="0" applyProtection="0">
      <alignment vertical="center"/>
    </xf>
    <xf numFmtId="0" fontId="52" fillId="0" borderId="0" applyNumberFormat="0" applyFill="0" applyBorder="0" applyAlignment="0" applyProtection="0">
      <alignment vertical="center"/>
    </xf>
    <xf numFmtId="0" fontId="1" fillId="0" borderId="0">
      <alignment vertical="center"/>
    </xf>
    <xf numFmtId="0" fontId="94" fillId="13" borderId="4" applyNumberFormat="0" applyFont="0" applyAlignment="0" applyProtection="0"/>
    <xf numFmtId="9" fontId="94" fillId="0" borderId="0" applyFont="0" applyFill="0" applyBorder="0" applyAlignment="0" applyProtection="0">
      <alignment vertical="center"/>
    </xf>
    <xf numFmtId="0" fontId="52" fillId="0" borderId="0" applyNumberFormat="0" applyFill="0" applyBorder="0" applyAlignment="0" applyProtection="0">
      <alignment vertical="center"/>
    </xf>
    <xf numFmtId="0" fontId="1" fillId="0" borderId="0">
      <alignment vertical="center"/>
    </xf>
    <xf numFmtId="0" fontId="94" fillId="13" borderId="4" applyNumberFormat="0" applyFont="0" applyAlignment="0" applyProtection="0"/>
    <xf numFmtId="0" fontId="52" fillId="0" borderId="0" applyNumberFormat="0" applyFill="0" applyBorder="0" applyAlignment="0" applyProtection="0">
      <alignment vertical="center"/>
    </xf>
    <xf numFmtId="0" fontId="94" fillId="13" borderId="4" applyNumberFormat="0" applyFont="0" applyAlignment="0" applyProtection="0"/>
    <xf numFmtId="0" fontId="52" fillId="0" borderId="0" applyNumberFormat="0" applyFill="0" applyBorder="0" applyAlignment="0" applyProtection="0">
      <alignment vertical="center"/>
    </xf>
    <xf numFmtId="0" fontId="1" fillId="0" borderId="0">
      <alignment vertical="center"/>
    </xf>
    <xf numFmtId="0" fontId="94" fillId="13" borderId="4" applyNumberFormat="0" applyFont="0" applyAlignment="0" applyProtection="0"/>
    <xf numFmtId="0" fontId="1" fillId="0" borderId="0">
      <alignment vertical="center"/>
    </xf>
    <xf numFmtId="0" fontId="1" fillId="0" borderId="0">
      <alignment vertical="center"/>
    </xf>
    <xf numFmtId="0" fontId="1" fillId="0" borderId="0">
      <alignment vertical="center"/>
    </xf>
    <xf numFmtId="0" fontId="94" fillId="13" borderId="4" applyNumberFormat="0" applyFont="0" applyAlignment="0" applyProtection="0"/>
    <xf numFmtId="0" fontId="1" fillId="0" borderId="0">
      <alignment vertical="center"/>
    </xf>
    <xf numFmtId="0" fontId="1" fillId="0" borderId="0">
      <alignment vertical="center"/>
    </xf>
    <xf numFmtId="0" fontId="67" fillId="16" borderId="7" applyNumberFormat="0" applyAlignment="0" applyProtection="0"/>
    <xf numFmtId="9" fontId="94" fillId="0" borderId="0" applyFont="0" applyFill="0" applyBorder="0" applyAlignment="0" applyProtection="0">
      <alignment vertical="center"/>
    </xf>
    <xf numFmtId="0" fontId="1" fillId="0" borderId="0">
      <alignment vertical="center"/>
    </xf>
    <xf numFmtId="9" fontId="94" fillId="0" borderId="0" applyFont="0" applyFill="0" applyBorder="0" applyAlignment="0" applyProtection="0">
      <alignment vertical="center"/>
    </xf>
    <xf numFmtId="9" fontId="94" fillId="0" borderId="0" applyFont="0" applyFill="0" applyBorder="0" applyAlignment="0" applyProtection="0">
      <alignment vertical="center"/>
    </xf>
    <xf numFmtId="0" fontId="56" fillId="7" borderId="0" applyNumberFormat="0" applyBorder="0" applyAlignment="0" applyProtection="0">
      <alignment vertical="center"/>
    </xf>
    <xf numFmtId="9" fontId="94" fillId="0" borderId="0" applyFont="0" applyFill="0" applyBorder="0" applyAlignment="0" applyProtection="0">
      <alignment vertical="center"/>
    </xf>
    <xf numFmtId="0" fontId="56" fillId="7" borderId="0" applyNumberFormat="0" applyBorder="0" applyAlignment="0" applyProtection="0">
      <alignment vertical="center"/>
    </xf>
    <xf numFmtId="9" fontId="94" fillId="0" borderId="0" applyFont="0" applyFill="0" applyBorder="0" applyAlignment="0" applyProtection="0">
      <alignment vertical="center"/>
    </xf>
    <xf numFmtId="0" fontId="74" fillId="0" borderId="3" applyNumberFormat="0" applyFill="0" applyAlignment="0" applyProtection="0">
      <alignment vertical="center"/>
    </xf>
    <xf numFmtId="9" fontId="94" fillId="0" borderId="0" applyFont="0" applyFill="0" applyBorder="0" applyAlignment="0" applyProtection="0">
      <alignment vertical="center"/>
    </xf>
    <xf numFmtId="0" fontId="75" fillId="0" borderId="5" applyNumberFormat="0" applyFill="0" applyAlignment="0" applyProtection="0">
      <alignment vertical="center"/>
    </xf>
    <xf numFmtId="9" fontId="94" fillId="0" borderId="0" applyFont="0" applyFill="0" applyBorder="0" applyAlignment="0" applyProtection="0">
      <alignment vertical="center"/>
    </xf>
    <xf numFmtId="0" fontId="76" fillId="0" borderId="1" applyNumberFormat="0" applyFill="0" applyAlignment="0" applyProtection="0">
      <alignment vertical="center"/>
    </xf>
    <xf numFmtId="9" fontId="94" fillId="0" borderId="0" applyFont="0" applyFill="0" applyBorder="0" applyAlignment="0" applyProtection="0">
      <alignment vertical="center"/>
    </xf>
    <xf numFmtId="0" fontId="76" fillId="0" borderId="0" applyNumberFormat="0" applyFill="0" applyBorder="0" applyAlignment="0" applyProtection="0">
      <alignment vertical="center"/>
    </xf>
    <xf numFmtId="9" fontId="94" fillId="0" borderId="0" applyFont="0" applyFill="0" applyBorder="0" applyAlignment="0" applyProtection="0">
      <alignment vertical="center"/>
    </xf>
    <xf numFmtId="0" fontId="51" fillId="0" borderId="3" applyNumberFormat="0" applyFill="0" applyAlignment="0" applyProtection="0">
      <alignment vertical="center"/>
    </xf>
    <xf numFmtId="0" fontId="1" fillId="0" borderId="0">
      <alignment vertical="center"/>
    </xf>
    <xf numFmtId="0" fontId="51" fillId="0" borderId="3" applyNumberFormat="0" applyFill="0" applyAlignment="0" applyProtection="0">
      <alignment vertical="center"/>
    </xf>
    <xf numFmtId="0" fontId="51" fillId="0" borderId="3" applyNumberFormat="0" applyFill="0" applyAlignment="0" applyProtection="0">
      <alignment vertical="center"/>
    </xf>
    <xf numFmtId="0" fontId="51" fillId="0" borderId="3" applyNumberFormat="0" applyFill="0" applyAlignment="0" applyProtection="0">
      <alignment vertical="center"/>
    </xf>
    <xf numFmtId="0" fontId="51" fillId="0" borderId="3" applyNumberFormat="0" applyFill="0" applyAlignment="0" applyProtection="0">
      <alignment vertical="center"/>
    </xf>
    <xf numFmtId="0" fontId="51" fillId="0" borderId="3" applyNumberFormat="0" applyFill="0" applyAlignment="0" applyProtection="0">
      <alignment vertical="center"/>
    </xf>
    <xf numFmtId="0" fontId="51" fillId="0" borderId="3" applyNumberFormat="0" applyFill="0" applyAlignment="0" applyProtection="0">
      <alignment vertical="center"/>
    </xf>
    <xf numFmtId="0" fontId="77" fillId="0" borderId="0" applyNumberFormat="0" applyFill="0" applyBorder="0" applyAlignment="0" applyProtection="0">
      <alignment vertical="center"/>
    </xf>
    <xf numFmtId="0" fontId="51" fillId="0" borderId="3" applyNumberFormat="0" applyFill="0" applyAlignment="0" applyProtection="0">
      <alignment vertical="center"/>
    </xf>
    <xf numFmtId="0" fontId="49" fillId="0" borderId="5" applyNumberFormat="0" applyFill="0" applyAlignment="0" applyProtection="0">
      <alignment vertical="center"/>
    </xf>
    <xf numFmtId="0" fontId="1" fillId="0" borderId="0">
      <alignment vertical="center"/>
    </xf>
    <xf numFmtId="0" fontId="1" fillId="0" borderId="0">
      <alignment vertical="center"/>
    </xf>
    <xf numFmtId="0" fontId="49" fillId="0" borderId="5" applyNumberFormat="0" applyFill="0" applyAlignment="0" applyProtection="0">
      <alignment vertical="center"/>
    </xf>
    <xf numFmtId="0" fontId="1" fillId="0" borderId="0">
      <alignment vertical="center"/>
    </xf>
    <xf numFmtId="0" fontId="1" fillId="0" borderId="0">
      <alignment vertical="center"/>
    </xf>
    <xf numFmtId="0" fontId="49" fillId="0" borderId="5" applyNumberFormat="0" applyFill="0" applyAlignment="0" applyProtection="0">
      <alignment vertical="center"/>
    </xf>
    <xf numFmtId="0" fontId="49" fillId="0" borderId="5" applyNumberFormat="0" applyFill="0" applyAlignment="0" applyProtection="0">
      <alignment vertical="center"/>
    </xf>
    <xf numFmtId="0" fontId="49" fillId="0" borderId="5" applyNumberFormat="0" applyFill="0" applyAlignment="0" applyProtection="0">
      <alignment vertical="center"/>
    </xf>
    <xf numFmtId="0" fontId="49" fillId="0" borderId="5" applyNumberFormat="0" applyFill="0" applyAlignment="0" applyProtection="0">
      <alignment vertical="center"/>
    </xf>
    <xf numFmtId="0" fontId="49" fillId="0" borderId="5" applyNumberFormat="0" applyFill="0" applyAlignment="0" applyProtection="0">
      <alignment vertical="center"/>
    </xf>
    <xf numFmtId="0" fontId="49" fillId="0" borderId="5" applyNumberFormat="0" applyFill="0" applyAlignment="0" applyProtection="0">
      <alignment vertical="center"/>
    </xf>
    <xf numFmtId="0" fontId="49" fillId="0" borderId="5" applyNumberFormat="0" applyFill="0" applyAlignment="0" applyProtection="0">
      <alignment vertical="center"/>
    </xf>
    <xf numFmtId="0" fontId="49" fillId="0" borderId="5" applyNumberFormat="0" applyFill="0" applyAlignment="0" applyProtection="0">
      <alignment vertical="center"/>
    </xf>
    <xf numFmtId="0" fontId="48" fillId="0" borderId="1" applyNumberFormat="0" applyFill="0" applyAlignment="0" applyProtection="0">
      <alignment vertical="center"/>
    </xf>
    <xf numFmtId="0" fontId="48" fillId="0" borderId="1" applyNumberFormat="0" applyFill="0" applyAlignment="0" applyProtection="0">
      <alignment vertical="center"/>
    </xf>
    <xf numFmtId="0" fontId="47" fillId="2" borderId="0" applyNumberFormat="0" applyBorder="0" applyAlignment="0" applyProtection="0">
      <alignment vertical="center"/>
    </xf>
    <xf numFmtId="0" fontId="48" fillId="0" borderId="1" applyNumberFormat="0" applyFill="0" applyAlignment="0" applyProtection="0">
      <alignment vertical="center"/>
    </xf>
    <xf numFmtId="0" fontId="48" fillId="0" borderId="1" applyNumberFormat="0" applyFill="0" applyAlignment="0" applyProtection="0">
      <alignment vertical="center"/>
    </xf>
    <xf numFmtId="0" fontId="48" fillId="0" borderId="1" applyNumberFormat="0" applyFill="0" applyAlignment="0" applyProtection="0">
      <alignment vertical="center"/>
    </xf>
    <xf numFmtId="0" fontId="48" fillId="0" borderId="1" applyNumberFormat="0" applyFill="0" applyAlignment="0" applyProtection="0">
      <alignment vertical="center"/>
    </xf>
    <xf numFmtId="0" fontId="48" fillId="0" borderId="1" applyNumberFormat="0" applyFill="0" applyAlignment="0" applyProtection="0">
      <alignment vertical="center"/>
    </xf>
    <xf numFmtId="0" fontId="48" fillId="0" borderId="1" applyNumberFormat="0" applyFill="0" applyAlignment="0" applyProtection="0">
      <alignment vertical="center"/>
    </xf>
    <xf numFmtId="0" fontId="48" fillId="0" borderId="1" applyNumberFormat="0" applyFill="0" applyAlignment="0" applyProtection="0">
      <alignment vertical="center"/>
    </xf>
    <xf numFmtId="0" fontId="48" fillId="0" borderId="1" applyNumberFormat="0" applyFill="0" applyAlignment="0" applyProtection="0">
      <alignment vertical="center"/>
    </xf>
    <xf numFmtId="0" fontId="48" fillId="0" borderId="0" applyNumberFormat="0" applyFill="0" applyBorder="0" applyAlignment="0" applyProtection="0">
      <alignment vertical="center"/>
    </xf>
    <xf numFmtId="43" fontId="94" fillId="0" borderId="0" applyFont="0" applyFill="0" applyBorder="0" applyAlignment="0" applyProtection="0">
      <alignment vertical="center"/>
    </xf>
    <xf numFmtId="0" fontId="48" fillId="0" borderId="0" applyNumberFormat="0" applyFill="0" applyBorder="0" applyAlignment="0" applyProtection="0">
      <alignment vertical="center"/>
    </xf>
    <xf numFmtId="43" fontId="94" fillId="0" borderId="0" applyFon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 fillId="0" borderId="0">
      <alignment vertical="center"/>
    </xf>
    <xf numFmtId="0" fontId="52" fillId="0" borderId="0" applyNumberFormat="0" applyFill="0" applyBorder="0" applyAlignment="0" applyProtection="0">
      <alignment vertical="center"/>
    </xf>
    <xf numFmtId="0" fontId="1"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94" fillId="0" borderId="0"/>
    <xf numFmtId="0" fontId="52" fillId="0" borderId="0" applyNumberFormat="0" applyFill="0" applyBorder="0" applyAlignment="0" applyProtection="0">
      <alignment vertical="center"/>
    </xf>
    <xf numFmtId="0" fontId="94" fillId="0" borderId="0">
      <alignment vertical="center"/>
    </xf>
    <xf numFmtId="0" fontId="94" fillId="0" borderId="0"/>
    <xf numFmtId="0" fontId="52" fillId="0" borderId="0" applyNumberFormat="0" applyFill="0" applyBorder="0" applyAlignment="0" applyProtection="0">
      <alignment vertical="center"/>
    </xf>
    <xf numFmtId="0" fontId="94" fillId="0" borderId="0">
      <alignment vertical="center"/>
    </xf>
    <xf numFmtId="0" fontId="78" fillId="11" borderId="10" applyNumberFormat="0" applyAlignment="0" applyProtection="0">
      <alignment vertical="center"/>
    </xf>
    <xf numFmtId="0" fontId="56" fillId="7" borderId="0" applyNumberFormat="0" applyBorder="0" applyAlignment="0" applyProtection="0">
      <alignment vertical="center"/>
    </xf>
    <xf numFmtId="0" fontId="59" fillId="0" borderId="0" applyNumberFormat="0" applyFill="0" applyBorder="0" applyAlignment="0" applyProtection="0">
      <alignment vertical="center"/>
    </xf>
    <xf numFmtId="0" fontId="56" fillId="7" borderId="0" applyNumberFormat="0" applyBorder="0" applyAlignment="0" applyProtection="0">
      <alignment vertical="center"/>
    </xf>
    <xf numFmtId="0" fontId="59" fillId="0" borderId="0" applyNumberFormat="0" applyFill="0" applyBorder="0" applyAlignment="0" applyProtection="0">
      <alignment vertical="center"/>
    </xf>
    <xf numFmtId="0" fontId="56" fillId="7" borderId="0" applyNumberFormat="0" applyBorder="0" applyAlignment="0" applyProtection="0">
      <alignment vertical="center"/>
    </xf>
    <xf numFmtId="0" fontId="1" fillId="0" borderId="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56" fillId="7"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7" fillId="2" borderId="0" applyNumberFormat="0" applyBorder="0" applyAlignment="0" applyProtection="0">
      <alignment vertical="center"/>
    </xf>
    <xf numFmtId="0" fontId="1" fillId="0" borderId="0">
      <alignment vertical="center"/>
    </xf>
    <xf numFmtId="0" fontId="1" fillId="0" borderId="0">
      <alignment vertical="center"/>
    </xf>
    <xf numFmtId="0" fontId="62" fillId="0" borderId="0" applyNumberFormat="0" applyFill="0" applyBorder="0" applyAlignment="0" applyProtection="0">
      <alignment vertical="center"/>
    </xf>
    <xf numFmtId="0" fontId="1" fillId="0" borderId="0">
      <alignment vertical="center"/>
    </xf>
    <xf numFmtId="0" fontId="94" fillId="0" borderId="0"/>
    <xf numFmtId="0" fontId="94" fillId="0" borderId="0"/>
    <xf numFmtId="0" fontId="94" fillId="0" borderId="0"/>
    <xf numFmtId="0" fontId="94"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7"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4" fillId="13" borderId="4" applyNumberFormat="0" applyFont="0" applyAlignment="0" applyProtection="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4" fillId="19" borderId="0" applyNumberFormat="0" applyBorder="0" applyAlignment="0" applyProtection="0">
      <alignment vertical="center"/>
    </xf>
    <xf numFmtId="0" fontId="1" fillId="0" borderId="0">
      <alignment vertical="center"/>
    </xf>
    <xf numFmtId="0" fontId="1" fillId="0" borderId="0">
      <alignment vertical="center"/>
    </xf>
    <xf numFmtId="0" fontId="44" fillId="1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94" fillId="13" borderId="4"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4" fillId="19" borderId="0" applyNumberFormat="0" applyBorder="0" applyAlignment="0" applyProtection="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44" fillId="19"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4" fillId="0" borderId="0">
      <alignment vertical="center"/>
    </xf>
    <xf numFmtId="0" fontId="94" fillId="0" borderId="0">
      <alignment vertical="center"/>
    </xf>
    <xf numFmtId="0" fontId="42" fillId="22"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alignment vertical="center"/>
    </xf>
    <xf numFmtId="0" fontId="42" fillId="22" borderId="0" applyNumberFormat="0" applyBorder="0" applyAlignment="0" applyProtection="0">
      <alignment vertical="center"/>
    </xf>
    <xf numFmtId="0" fontId="94" fillId="0" borderId="0">
      <alignment vertical="center"/>
    </xf>
    <xf numFmtId="0" fontId="42" fillId="22" borderId="0" applyNumberFormat="0" applyBorder="0" applyAlignment="0" applyProtection="0">
      <alignment vertical="center"/>
    </xf>
    <xf numFmtId="0" fontId="94" fillId="0" borderId="0">
      <alignment vertical="center"/>
    </xf>
    <xf numFmtId="0" fontId="42" fillId="22" borderId="0" applyNumberFormat="0" applyBorder="0" applyAlignment="0" applyProtection="0">
      <alignment vertical="center"/>
    </xf>
    <xf numFmtId="0" fontId="94" fillId="0" borderId="0">
      <alignment vertical="center"/>
    </xf>
    <xf numFmtId="0" fontId="42" fillId="22"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1" fillId="0" borderId="0"/>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78" fillId="11" borderId="10" applyNumberFormat="0" applyAlignment="0" applyProtection="0">
      <alignment vertical="center"/>
    </xf>
    <xf numFmtId="0" fontId="94" fillId="0" borderId="0">
      <alignment vertical="center"/>
    </xf>
    <xf numFmtId="0" fontId="78" fillId="11" borderId="10" applyNumberFormat="0" applyAlignment="0" applyProtection="0">
      <alignment vertical="center"/>
    </xf>
    <xf numFmtId="0" fontId="94" fillId="0" borderId="0">
      <alignment vertical="center"/>
    </xf>
    <xf numFmtId="0" fontId="78" fillId="11" borderId="10" applyNumberFormat="0" applyAlignment="0" applyProtection="0">
      <alignment vertical="center"/>
    </xf>
    <xf numFmtId="0" fontId="94" fillId="0" borderId="0">
      <alignment vertical="center"/>
    </xf>
    <xf numFmtId="0" fontId="1" fillId="0" borderId="0"/>
    <xf numFmtId="0" fontId="94"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4" fillId="0" borderId="0">
      <alignment vertical="center"/>
    </xf>
    <xf numFmtId="0" fontId="80" fillId="16" borderId="7"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9" fillId="16" borderId="10"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94"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4" fillId="0" borderId="0">
      <alignment vertical="center"/>
    </xf>
    <xf numFmtId="0" fontId="80" fillId="16" borderId="7" applyNumberFormat="0" applyAlignment="0" applyProtection="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7"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7" fillId="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1"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94" fillId="13" borderId="4"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94" fillId="13" borderId="4" applyNumberFormat="0" applyFon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4" fillId="0" borderId="0">
      <alignment vertical="center"/>
    </xf>
    <xf numFmtId="0" fontId="1" fillId="0" borderId="0">
      <alignment vertical="center"/>
    </xf>
    <xf numFmtId="0" fontId="94" fillId="0" borderId="0">
      <alignment vertical="center"/>
    </xf>
    <xf numFmtId="0" fontId="1" fillId="0" borderId="0">
      <alignment vertical="center"/>
    </xf>
    <xf numFmtId="0" fontId="94" fillId="0" borderId="0">
      <alignment vertical="center"/>
    </xf>
    <xf numFmtId="0" fontId="1" fillId="0" borderId="0">
      <alignment vertical="center"/>
    </xf>
    <xf numFmtId="0" fontId="94" fillId="0" borderId="0">
      <alignment vertical="center"/>
    </xf>
    <xf numFmtId="0" fontId="1" fillId="0" borderId="0">
      <alignment vertical="center"/>
    </xf>
    <xf numFmtId="0" fontId="94" fillId="0" borderId="0">
      <alignment vertical="center"/>
    </xf>
    <xf numFmtId="0" fontId="1" fillId="0" borderId="0">
      <alignment vertical="center"/>
    </xf>
    <xf numFmtId="0" fontId="9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4" fillId="0" borderId="0">
      <alignment vertical="center"/>
    </xf>
    <xf numFmtId="0" fontId="1" fillId="0" borderId="0">
      <alignment vertical="center"/>
    </xf>
    <xf numFmtId="0" fontId="1" fillId="0" borderId="0">
      <alignment vertical="center"/>
    </xf>
    <xf numFmtId="0" fontId="1" fillId="0" borderId="0">
      <alignment vertical="center"/>
    </xf>
    <xf numFmtId="0" fontId="42" fillId="21" borderId="0" applyNumberFormat="0" applyBorder="0" applyAlignment="0" applyProtection="0">
      <alignment vertical="center"/>
    </xf>
    <xf numFmtId="0" fontId="1" fillId="0" borderId="0">
      <alignment vertical="center"/>
    </xf>
    <xf numFmtId="0" fontId="42" fillId="21" borderId="0" applyNumberFormat="0" applyBorder="0" applyAlignment="0" applyProtection="0">
      <alignment vertical="center"/>
    </xf>
    <xf numFmtId="0" fontId="1" fillId="0" borderId="0">
      <alignment vertical="center"/>
    </xf>
    <xf numFmtId="0" fontId="42" fillId="21" borderId="0" applyNumberFormat="0" applyBorder="0" applyAlignment="0" applyProtection="0">
      <alignment vertical="center"/>
    </xf>
    <xf numFmtId="0" fontId="1" fillId="0" borderId="0">
      <alignment vertical="center"/>
    </xf>
    <xf numFmtId="0" fontId="42" fillId="21" borderId="0" applyNumberFormat="0" applyBorder="0" applyAlignment="0" applyProtection="0">
      <alignment vertical="center"/>
    </xf>
    <xf numFmtId="0" fontId="1" fillId="0" borderId="0">
      <alignment vertical="center"/>
    </xf>
    <xf numFmtId="0" fontId="42" fillId="21" borderId="0" applyNumberFormat="0" applyBorder="0" applyAlignment="0" applyProtection="0">
      <alignment vertical="center"/>
    </xf>
    <xf numFmtId="0" fontId="1" fillId="0" borderId="0">
      <alignment vertical="center"/>
    </xf>
    <xf numFmtId="0" fontId="1" fillId="0" borderId="0">
      <alignment vertical="center"/>
    </xf>
    <xf numFmtId="0" fontId="9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42" fillId="21" borderId="0" applyNumberFormat="0" applyBorder="0" applyAlignment="0" applyProtection="0">
      <alignment vertical="center"/>
    </xf>
    <xf numFmtId="0" fontId="94" fillId="0" borderId="0">
      <alignment vertical="center"/>
    </xf>
    <xf numFmtId="0" fontId="42" fillId="21" borderId="0" applyNumberFormat="0" applyBorder="0" applyAlignment="0" applyProtection="0">
      <alignment vertical="center"/>
    </xf>
    <xf numFmtId="0" fontId="94" fillId="0" borderId="0">
      <alignment vertical="center"/>
    </xf>
    <xf numFmtId="0" fontId="94" fillId="0" borderId="0">
      <alignment vertical="center"/>
    </xf>
    <xf numFmtId="0" fontId="94" fillId="0" borderId="0">
      <alignment vertical="center"/>
    </xf>
    <xf numFmtId="0" fontId="94"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94" fillId="0" borderId="0">
      <alignment vertical="center"/>
    </xf>
    <xf numFmtId="0" fontId="94" fillId="0" borderId="0">
      <alignment vertical="center"/>
    </xf>
    <xf numFmtId="0" fontId="9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7"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9" fillId="2" borderId="0" applyNumberFormat="0" applyBorder="0" applyAlignment="0" applyProtection="0">
      <alignment vertical="center"/>
    </xf>
    <xf numFmtId="0" fontId="47" fillId="2" borderId="0" applyNumberFormat="0" applyBorder="0" applyAlignment="0" applyProtection="0">
      <alignment vertical="center"/>
    </xf>
    <xf numFmtId="0" fontId="47" fillId="2" borderId="0" applyNumberFormat="0" applyBorder="0" applyAlignment="0" applyProtection="0">
      <alignment vertical="center"/>
    </xf>
    <xf numFmtId="0" fontId="47" fillId="2" borderId="0" applyNumberFormat="0" applyBorder="0" applyAlignment="0" applyProtection="0">
      <alignment vertical="center"/>
    </xf>
    <xf numFmtId="0" fontId="47" fillId="2" borderId="0" applyNumberFormat="0" applyBorder="0" applyAlignment="0" applyProtection="0">
      <alignment vertical="center"/>
    </xf>
    <xf numFmtId="0" fontId="7"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2" fillId="0" borderId="8" applyNumberFormat="0" applyFill="0" applyAlignment="0" applyProtection="0">
      <alignment vertical="center"/>
    </xf>
    <xf numFmtId="0" fontId="83" fillId="16" borderId="10" applyNumberFormat="0" applyAlignment="0" applyProtection="0">
      <alignment vertical="center"/>
    </xf>
    <xf numFmtId="0" fontId="79" fillId="16" borderId="10" applyNumberFormat="0" applyAlignment="0" applyProtection="0">
      <alignment vertical="center"/>
    </xf>
    <xf numFmtId="0" fontId="79" fillId="16" borderId="10" applyNumberFormat="0" applyAlignment="0" applyProtection="0">
      <alignment vertical="center"/>
    </xf>
    <xf numFmtId="0" fontId="79" fillId="16" borderId="10" applyNumberFormat="0" applyAlignment="0" applyProtection="0">
      <alignment vertical="center"/>
    </xf>
    <xf numFmtId="0" fontId="79" fillId="16" borderId="10" applyNumberFormat="0" applyAlignment="0" applyProtection="0">
      <alignment vertical="center"/>
    </xf>
    <xf numFmtId="0" fontId="79" fillId="16" borderId="10" applyNumberFormat="0" applyAlignment="0" applyProtection="0">
      <alignment vertical="center"/>
    </xf>
    <xf numFmtId="0" fontId="79" fillId="16" borderId="10" applyNumberFormat="0" applyAlignment="0" applyProtection="0">
      <alignment vertical="center"/>
    </xf>
    <xf numFmtId="0" fontId="79" fillId="16" borderId="10" applyNumberFormat="0" applyAlignment="0" applyProtection="0">
      <alignment vertical="center"/>
    </xf>
    <xf numFmtId="0" fontId="79" fillId="16" borderId="10" applyNumberFormat="0" applyAlignment="0" applyProtection="0">
      <alignment vertical="center"/>
    </xf>
    <xf numFmtId="0" fontId="79" fillId="16" borderId="10" applyNumberFormat="0" applyAlignment="0" applyProtection="0">
      <alignment vertical="center"/>
    </xf>
    <xf numFmtId="0" fontId="79" fillId="16" borderId="10" applyNumberFormat="0" applyAlignment="0" applyProtection="0">
      <alignment vertical="center"/>
    </xf>
    <xf numFmtId="0" fontId="79" fillId="16" borderId="10" applyNumberFormat="0" applyAlignment="0" applyProtection="0">
      <alignment vertical="center"/>
    </xf>
    <xf numFmtId="0" fontId="79" fillId="16" borderId="10"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84" fillId="15" borderId="6" applyNumberFormat="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85"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0" fontId="86" fillId="0" borderId="9" applyNumberFormat="0" applyFill="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43" fontId="94" fillId="0" borderId="0" applyFont="0" applyFill="0" applyBorder="0" applyAlignment="0" applyProtection="0">
      <alignment vertical="center"/>
    </xf>
    <xf numFmtId="0" fontId="61"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80" fillId="16" borderId="7" applyNumberFormat="0" applyAlignment="0" applyProtection="0">
      <alignment vertical="center"/>
    </xf>
    <xf numFmtId="0" fontId="42" fillId="21" borderId="0" applyNumberFormat="0" applyBorder="0" applyAlignment="0" applyProtection="0">
      <alignment vertical="center"/>
    </xf>
    <xf numFmtId="0" fontId="80" fillId="16" borderId="7" applyNumberFormat="0" applyAlignment="0" applyProtection="0">
      <alignment vertical="center"/>
    </xf>
    <xf numFmtId="0" fontId="61"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42" fillId="3" borderId="0" applyNumberFormat="0" applyBorder="0" applyAlignment="0" applyProtection="0">
      <alignment vertical="center"/>
    </xf>
    <xf numFmtId="0" fontId="61" fillId="22" borderId="0" applyNumberFormat="0" applyBorder="0" applyAlignment="0" applyProtection="0">
      <alignment vertical="center"/>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61"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23"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42" fillId="14" borderId="0" applyNumberFormat="0" applyBorder="0" applyAlignment="0" applyProtection="0">
      <alignment vertical="center"/>
    </xf>
    <xf numFmtId="0" fontId="90" fillId="19" borderId="0" applyNumberFormat="0" applyBorder="0" applyAlignment="0" applyProtection="0">
      <alignment vertical="center"/>
    </xf>
    <xf numFmtId="0" fontId="44" fillId="19" borderId="0" applyNumberFormat="0" applyBorder="0" applyAlignment="0" applyProtection="0">
      <alignment vertical="center"/>
    </xf>
    <xf numFmtId="0" fontId="44" fillId="19" borderId="0" applyNumberFormat="0" applyBorder="0" applyAlignment="0" applyProtection="0">
      <alignment vertical="center"/>
    </xf>
    <xf numFmtId="0" fontId="44" fillId="19" borderId="0" applyNumberFormat="0" applyBorder="0" applyAlignment="0" applyProtection="0">
      <alignment vertical="center"/>
    </xf>
    <xf numFmtId="0" fontId="44" fillId="19" borderId="0" applyNumberFormat="0" applyBorder="0" applyAlignment="0" applyProtection="0">
      <alignment vertical="center"/>
    </xf>
    <xf numFmtId="0" fontId="80" fillId="16" borderId="7" applyNumberFormat="0" applyAlignment="0" applyProtection="0">
      <alignment vertical="center"/>
    </xf>
    <xf numFmtId="0" fontId="80" fillId="16" borderId="7" applyNumberFormat="0" applyAlignment="0" applyProtection="0">
      <alignment vertical="center"/>
    </xf>
    <xf numFmtId="0" fontId="80" fillId="16" borderId="7" applyNumberFormat="0" applyAlignment="0" applyProtection="0">
      <alignment vertical="center"/>
    </xf>
    <xf numFmtId="0" fontId="80" fillId="16" borderId="7" applyNumberFormat="0" applyAlignment="0" applyProtection="0">
      <alignment vertical="center"/>
    </xf>
    <xf numFmtId="0" fontId="80" fillId="16" borderId="7" applyNumberFormat="0" applyAlignment="0" applyProtection="0">
      <alignment vertical="center"/>
    </xf>
    <xf numFmtId="0" fontId="80" fillId="16" borderId="7" applyNumberFormat="0" applyAlignment="0" applyProtection="0">
      <alignment vertical="center"/>
    </xf>
    <xf numFmtId="0" fontId="80" fillId="16" borderId="7" applyNumberFormat="0" applyAlignment="0" applyProtection="0">
      <alignment vertical="center"/>
    </xf>
    <xf numFmtId="0" fontId="80" fillId="16" borderId="7" applyNumberFormat="0" applyAlignment="0" applyProtection="0">
      <alignment vertical="center"/>
    </xf>
    <xf numFmtId="0" fontId="80" fillId="16" borderId="7" applyNumberFormat="0" applyAlignment="0" applyProtection="0">
      <alignment vertical="center"/>
    </xf>
    <xf numFmtId="0" fontId="91" fillId="11" borderId="10" applyNumberFormat="0" applyAlignment="0" applyProtection="0">
      <alignment vertical="center"/>
    </xf>
    <xf numFmtId="0" fontId="78" fillId="11" borderId="10" applyNumberFormat="0" applyAlignment="0" applyProtection="0">
      <alignment vertical="center"/>
    </xf>
    <xf numFmtId="0" fontId="78" fillId="11" borderId="10" applyNumberFormat="0" applyAlignment="0" applyProtection="0">
      <alignment vertical="center"/>
    </xf>
    <xf numFmtId="0" fontId="78" fillId="11" borderId="10" applyNumberFormat="0" applyAlignment="0" applyProtection="0">
      <alignment vertical="center"/>
    </xf>
    <xf numFmtId="0" fontId="78" fillId="11" borderId="10" applyNumberFormat="0" applyAlignment="0" applyProtection="0">
      <alignment vertical="center"/>
    </xf>
    <xf numFmtId="0" fontId="78" fillId="11" borderId="10" applyNumberFormat="0" applyAlignment="0" applyProtection="0">
      <alignment vertical="center"/>
    </xf>
    <xf numFmtId="0" fontId="78" fillId="11" borderId="10" applyNumberFormat="0" applyAlignment="0" applyProtection="0">
      <alignment vertical="center"/>
    </xf>
    <xf numFmtId="0" fontId="78" fillId="11" borderId="10" applyNumberFormat="0" applyAlignment="0" applyProtection="0">
      <alignment vertical="center"/>
    </xf>
    <xf numFmtId="0" fontId="78" fillId="11" borderId="10" applyNumberFormat="0" applyAlignment="0" applyProtection="0">
      <alignment vertical="center"/>
    </xf>
    <xf numFmtId="0" fontId="78" fillId="11" borderId="10" applyNumberFormat="0" applyAlignment="0" applyProtection="0">
      <alignment vertical="center"/>
    </xf>
    <xf numFmtId="0" fontId="94" fillId="13" borderId="4" applyNumberFormat="0" applyFont="0" applyAlignment="0" applyProtection="0">
      <alignment vertical="center"/>
    </xf>
    <xf numFmtId="0" fontId="94" fillId="13" borderId="4" applyNumberFormat="0" applyFont="0" applyAlignment="0" applyProtection="0">
      <alignment vertical="center"/>
    </xf>
    <xf numFmtId="0" fontId="94" fillId="13" borderId="4" applyNumberFormat="0" applyFont="0" applyAlignment="0" applyProtection="0">
      <alignment vertical="center"/>
    </xf>
    <xf numFmtId="0" fontId="94" fillId="13" borderId="4" applyNumberFormat="0" applyFont="0" applyAlignment="0" applyProtection="0">
      <alignment vertical="center"/>
    </xf>
    <xf numFmtId="0" fontId="94" fillId="13" borderId="4" applyNumberFormat="0" applyFont="0" applyAlignment="0" applyProtection="0">
      <alignment vertical="center"/>
    </xf>
    <xf numFmtId="0" fontId="94" fillId="13" borderId="4" applyNumberFormat="0" applyFont="0" applyAlignment="0" applyProtection="0">
      <alignment vertical="center"/>
    </xf>
    <xf numFmtId="0" fontId="94" fillId="13" borderId="4" applyNumberFormat="0" applyFont="0" applyAlignment="0" applyProtection="0">
      <alignment vertical="center"/>
    </xf>
    <xf numFmtId="0" fontId="94" fillId="13" borderId="4" applyNumberFormat="0" applyFont="0" applyAlignment="0" applyProtection="0">
      <alignment vertical="center"/>
    </xf>
    <xf numFmtId="0" fontId="94" fillId="13" borderId="4" applyNumberFormat="0" applyFont="0" applyAlignment="0" applyProtection="0">
      <alignment vertical="center"/>
    </xf>
    <xf numFmtId="0" fontId="112" fillId="0" borderId="0"/>
    <xf numFmtId="0" fontId="114" fillId="0" borderId="0">
      <alignment vertical="center"/>
    </xf>
    <xf numFmtId="0" fontId="114" fillId="0" borderId="0">
      <alignment vertical="center"/>
    </xf>
    <xf numFmtId="0" fontId="116" fillId="0" borderId="0">
      <alignment vertical="center"/>
    </xf>
  </cellStyleXfs>
  <cellXfs count="1227">
    <xf numFmtId="0" fontId="0" fillId="0" borderId="0" xfId="0">
      <alignment vertical="center"/>
    </xf>
    <xf numFmtId="0" fontId="1" fillId="24" borderId="0" xfId="611" applyFill="1"/>
    <xf numFmtId="0" fontId="1" fillId="0" borderId="0" xfId="611"/>
    <xf numFmtId="0" fontId="3" fillId="0" borderId="2" xfId="611" applyFont="1" applyFill="1" applyBorder="1" applyAlignment="1">
      <alignment horizontal="center" vertical="center"/>
    </xf>
    <xf numFmtId="177" fontId="3" fillId="0" borderId="2" xfId="611" applyNumberFormat="1" applyFont="1" applyFill="1" applyBorder="1" applyAlignment="1">
      <alignment horizontal="center" vertical="center"/>
    </xf>
    <xf numFmtId="0" fontId="3" fillId="0" borderId="2" xfId="611" applyFont="1" applyFill="1" applyBorder="1" applyAlignment="1">
      <alignment horizontal="center" vertical="center" wrapText="1"/>
    </xf>
    <xf numFmtId="178" fontId="3" fillId="0" borderId="2" xfId="611" applyNumberFormat="1" applyFont="1" applyFill="1" applyBorder="1" applyAlignment="1">
      <alignment horizontal="center" vertical="center"/>
    </xf>
    <xf numFmtId="0" fontId="3" fillId="0" borderId="2" xfId="611" applyNumberFormat="1" applyFont="1" applyFill="1" applyBorder="1" applyAlignment="1">
      <alignment horizontal="center" vertical="center"/>
    </xf>
    <xf numFmtId="0" fontId="5" fillId="0" borderId="2" xfId="611" applyFont="1" applyBorder="1" applyAlignment="1">
      <alignment horizontal="center" vertical="center" wrapText="1"/>
    </xf>
    <xf numFmtId="0" fontId="6" fillId="0" borderId="2" xfId="611" applyFont="1" applyBorder="1" applyAlignment="1">
      <alignment horizontal="center" vertical="center" wrapText="1"/>
    </xf>
    <xf numFmtId="0" fontId="1" fillId="0" borderId="0" xfId="611" applyAlignment="1">
      <alignment vertical="center"/>
    </xf>
    <xf numFmtId="0" fontId="4" fillId="0" borderId="17" xfId="611" applyFont="1" applyBorder="1" applyAlignment="1">
      <alignment horizontal="center" vertical="center" wrapText="1"/>
    </xf>
    <xf numFmtId="0" fontId="4" fillId="0" borderId="18" xfId="611" applyFont="1" applyBorder="1" applyAlignment="1">
      <alignment horizontal="center" vertical="center" wrapText="1"/>
    </xf>
    <xf numFmtId="0" fontId="4" fillId="0" borderId="2" xfId="611" applyFont="1" applyBorder="1" applyAlignment="1">
      <alignment horizontal="left" vertical="center" wrapText="1"/>
    </xf>
    <xf numFmtId="178" fontId="4" fillId="24" borderId="2" xfId="611" applyNumberFormat="1" applyFont="1" applyFill="1" applyBorder="1" applyAlignment="1">
      <alignment horizontal="center" vertical="center" wrapText="1"/>
    </xf>
    <xf numFmtId="0" fontId="3" fillId="0" borderId="2" xfId="611" applyFont="1" applyBorder="1" applyAlignment="1">
      <alignment horizontal="center" vertical="center" wrapText="1"/>
    </xf>
    <xf numFmtId="0" fontId="8" fillId="0" borderId="18" xfId="611" applyFont="1" applyBorder="1" applyAlignment="1">
      <alignment horizontal="center" vertical="center" wrapText="1"/>
    </xf>
    <xf numFmtId="0" fontId="8" fillId="0" borderId="2" xfId="611" applyFont="1" applyBorder="1" applyAlignment="1">
      <alignment horizontal="left" vertical="center" wrapText="1"/>
    </xf>
    <xf numFmtId="178" fontId="4" fillId="0" borderId="2" xfId="611" applyNumberFormat="1" applyFont="1" applyBorder="1" applyAlignment="1">
      <alignment horizontal="center" vertical="center" wrapText="1"/>
    </xf>
    <xf numFmtId="49" fontId="9" fillId="0" borderId="18" xfId="611" applyNumberFormat="1" applyFont="1" applyBorder="1" applyAlignment="1">
      <alignment horizontal="center" vertical="center" wrapText="1"/>
    </xf>
    <xf numFmtId="0" fontId="3" fillId="0" borderId="2" xfId="611" applyFont="1" applyBorder="1" applyAlignment="1">
      <alignment horizontal="left" vertical="center" wrapText="1"/>
    </xf>
    <xf numFmtId="0" fontId="3" fillId="0" borderId="2" xfId="611" applyFont="1" applyBorder="1" applyAlignment="1">
      <alignment horizontal="right" vertical="center" wrapText="1"/>
    </xf>
    <xf numFmtId="0" fontId="10" fillId="24" borderId="2" xfId="611" applyFont="1" applyFill="1" applyBorder="1" applyAlignment="1">
      <alignment horizontal="center" vertical="center" wrapText="1"/>
    </xf>
    <xf numFmtId="10" fontId="3" fillId="0" borderId="2" xfId="611" applyNumberFormat="1" applyFont="1" applyBorder="1" applyAlignment="1">
      <alignment horizontal="center" vertical="center" wrapText="1"/>
    </xf>
    <xf numFmtId="49" fontId="9" fillId="24" borderId="18" xfId="611" applyNumberFormat="1" applyFont="1" applyFill="1" applyBorder="1" applyAlignment="1">
      <alignment horizontal="center" vertical="center" wrapText="1"/>
    </xf>
    <xf numFmtId="0" fontId="3" fillId="24" borderId="2" xfId="611" applyFont="1" applyFill="1" applyBorder="1" applyAlignment="1">
      <alignment horizontal="left" vertical="center" wrapText="1"/>
    </xf>
    <xf numFmtId="178" fontId="3" fillId="24" borderId="2" xfId="611" applyNumberFormat="1" applyFont="1" applyFill="1" applyBorder="1" applyAlignment="1">
      <alignment horizontal="center" vertical="center" wrapText="1"/>
    </xf>
    <xf numFmtId="180" fontId="3" fillId="0" borderId="2" xfId="611" applyNumberFormat="1" applyFont="1" applyBorder="1" applyAlignment="1">
      <alignment horizontal="center" vertical="center" wrapText="1"/>
    </xf>
    <xf numFmtId="181" fontId="3" fillId="0" borderId="2" xfId="611" applyNumberFormat="1" applyFont="1" applyBorder="1" applyAlignment="1">
      <alignment horizontal="center" vertical="center" wrapText="1"/>
    </xf>
    <xf numFmtId="10" fontId="9" fillId="0" borderId="2" xfId="611" applyNumberFormat="1" applyFont="1" applyBorder="1" applyAlignment="1">
      <alignment horizontal="center" vertical="center" wrapText="1"/>
    </xf>
    <xf numFmtId="10" fontId="9" fillId="24" borderId="2" xfId="611" applyNumberFormat="1" applyFont="1" applyFill="1" applyBorder="1" applyAlignment="1">
      <alignment horizontal="center" vertical="center" wrapText="1"/>
    </xf>
    <xf numFmtId="49" fontId="8" fillId="0" borderId="18" xfId="611" applyNumberFormat="1" applyFont="1" applyBorder="1" applyAlignment="1">
      <alignment horizontal="center" vertical="center" wrapText="1"/>
    </xf>
    <xf numFmtId="180" fontId="4" fillId="0" borderId="2" xfId="611" applyNumberFormat="1" applyFont="1" applyBorder="1" applyAlignment="1">
      <alignment horizontal="center" vertical="center" wrapText="1"/>
    </xf>
    <xf numFmtId="49" fontId="8" fillId="0" borderId="19" xfId="611" applyNumberFormat="1" applyFont="1" applyBorder="1" applyAlignment="1">
      <alignment horizontal="center" vertical="center" wrapText="1"/>
    </xf>
    <xf numFmtId="0" fontId="4" fillId="0" borderId="20" xfId="611" applyFont="1" applyBorder="1" applyAlignment="1">
      <alignment horizontal="left" vertical="center" wrapText="1"/>
    </xf>
    <xf numFmtId="0" fontId="11" fillId="19" borderId="20" xfId="611" applyFont="1" applyFill="1" applyBorder="1" applyAlignment="1">
      <alignment horizontal="center" vertical="center" wrapText="1"/>
    </xf>
    <xf numFmtId="0" fontId="3" fillId="0" borderId="20" xfId="611" applyFont="1" applyBorder="1" applyAlignment="1">
      <alignment horizontal="center" vertical="center" wrapText="1"/>
    </xf>
    <xf numFmtId="182" fontId="3" fillId="0" borderId="2" xfId="611" applyNumberFormat="1" applyFont="1" applyFill="1" applyBorder="1" applyAlignment="1">
      <alignment horizontal="center" vertical="center"/>
    </xf>
    <xf numFmtId="0" fontId="1" fillId="0" borderId="0" xfId="611" applyFont="1"/>
    <xf numFmtId="0" fontId="1" fillId="0" borderId="2" xfId="611" applyBorder="1" applyAlignment="1">
      <alignment vertical="center"/>
    </xf>
    <xf numFmtId="0" fontId="5" fillId="0" borderId="2" xfId="611" applyFont="1" applyFill="1" applyBorder="1" applyAlignment="1">
      <alignment horizontal="center" vertical="center" wrapText="1"/>
    </xf>
    <xf numFmtId="178" fontId="1" fillId="0" borderId="0" xfId="611" applyNumberFormat="1"/>
    <xf numFmtId="10" fontId="6" fillId="0" borderId="2" xfId="611" applyNumberFormat="1" applyFont="1" applyBorder="1" applyAlignment="1">
      <alignment horizontal="center" vertical="center"/>
    </xf>
    <xf numFmtId="178" fontId="1" fillId="0" borderId="2" xfId="611" applyNumberFormat="1" applyBorder="1" applyAlignment="1">
      <alignment horizontal="center" vertical="center"/>
    </xf>
    <xf numFmtId="0" fontId="9" fillId="0" borderId="23" xfId="611" applyFont="1" applyBorder="1" applyAlignment="1">
      <alignment vertical="center" wrapText="1"/>
    </xf>
    <xf numFmtId="0" fontId="0" fillId="0" borderId="0" xfId="0" applyAlignment="1"/>
    <xf numFmtId="0" fontId="0" fillId="0" borderId="0" xfId="0" applyAlignment="1">
      <alignment horizontal="center"/>
    </xf>
    <xf numFmtId="0" fontId="3" fillId="0" borderId="2" xfId="0" applyFont="1" applyBorder="1" applyAlignment="1">
      <alignment horizontal="center"/>
    </xf>
    <xf numFmtId="0" fontId="3" fillId="0" borderId="2" xfId="0" applyFont="1" applyBorder="1" applyAlignment="1"/>
    <xf numFmtId="182" fontId="3" fillId="0" borderId="2" xfId="0" applyNumberFormat="1" applyFont="1" applyBorder="1" applyAlignment="1">
      <alignment horizontal="center"/>
    </xf>
    <xf numFmtId="0" fontId="3" fillId="0" borderId="2" xfId="334" applyFont="1" applyBorder="1" applyAlignment="1">
      <alignment horizontal="center" vertical="center" wrapText="1"/>
    </xf>
    <xf numFmtId="0" fontId="3" fillId="0" borderId="2" xfId="0" applyFont="1" applyFill="1" applyBorder="1" applyAlignment="1">
      <alignment horizontal="center"/>
    </xf>
    <xf numFmtId="177" fontId="3" fillId="0" borderId="2" xfId="0" applyNumberFormat="1" applyFont="1" applyBorder="1" applyAlignment="1">
      <alignment horizontal="center"/>
    </xf>
    <xf numFmtId="177" fontId="11" fillId="24" borderId="2" xfId="0" applyNumberFormat="1" applyFont="1" applyFill="1" applyBorder="1" applyAlignment="1">
      <alignment horizontal="center"/>
    </xf>
    <xf numFmtId="9" fontId="3" fillId="0" borderId="2" xfId="0" applyNumberFormat="1" applyFont="1" applyFill="1" applyBorder="1" applyAlignment="1">
      <alignment horizontal="center"/>
    </xf>
    <xf numFmtId="9" fontId="3" fillId="0" borderId="2" xfId="0" applyNumberFormat="1" applyFont="1" applyBorder="1" applyAlignment="1">
      <alignment horizontal="center"/>
    </xf>
    <xf numFmtId="178" fontId="3" fillId="0" borderId="2" xfId="0" applyNumberFormat="1" applyFont="1" applyBorder="1" applyAlignment="1"/>
    <xf numFmtId="0" fontId="4" fillId="0" borderId="2" xfId="0" applyFont="1" applyBorder="1" applyAlignment="1">
      <alignment horizontal="center"/>
    </xf>
    <xf numFmtId="0" fontId="3" fillId="0" borderId="2" xfId="707" applyFont="1" applyBorder="1" applyAlignment="1" applyProtection="1">
      <alignment horizontal="center"/>
      <protection hidden="1"/>
    </xf>
    <xf numFmtId="0" fontId="4" fillId="0" borderId="2" xfId="707" applyFont="1" applyBorder="1" applyAlignment="1" applyProtection="1">
      <alignment horizontal="center"/>
      <protection hidden="1"/>
    </xf>
    <xf numFmtId="178" fontId="4" fillId="0" borderId="2" xfId="707" applyNumberFormat="1" applyFont="1" applyBorder="1" applyAlignment="1" applyProtection="1">
      <alignment horizontal="center"/>
      <protection hidden="1"/>
    </xf>
    <xf numFmtId="178" fontId="3" fillId="0" borderId="2" xfId="707" applyNumberFormat="1" applyFont="1" applyBorder="1" applyAlignment="1" applyProtection="1">
      <alignment horizontal="center"/>
      <protection hidden="1"/>
    </xf>
    <xf numFmtId="9" fontId="4" fillId="0" borderId="2" xfId="707" applyNumberFormat="1" applyFont="1" applyBorder="1" applyAlignment="1" applyProtection="1">
      <alignment horizontal="left"/>
      <protection hidden="1"/>
    </xf>
    <xf numFmtId="0" fontId="3" fillId="0" borderId="2" xfId="707" applyFont="1" applyBorder="1" applyAlignment="1" applyProtection="1">
      <protection hidden="1"/>
    </xf>
    <xf numFmtId="177" fontId="3" fillId="0" borderId="2" xfId="707" applyNumberFormat="1" applyFont="1" applyBorder="1" applyAlignment="1" applyProtection="1">
      <alignment horizontal="center"/>
      <protection hidden="1"/>
    </xf>
    <xf numFmtId="9" fontId="12" fillId="0" borderId="2" xfId="707" applyNumberFormat="1" applyFont="1" applyBorder="1" applyAlignment="1" applyProtection="1">
      <alignment horizontal="center"/>
      <protection hidden="1"/>
    </xf>
    <xf numFmtId="0" fontId="3" fillId="0" borderId="2" xfId="707" applyFont="1" applyBorder="1" applyAlignment="1" applyProtection="1">
      <alignment horizontal="left"/>
      <protection hidden="1"/>
    </xf>
    <xf numFmtId="178" fontId="3" fillId="0" borderId="2" xfId="707" applyNumberFormat="1" applyFont="1" applyBorder="1" applyAlignment="1" applyProtection="1">
      <protection hidden="1"/>
    </xf>
    <xf numFmtId="10" fontId="12" fillId="0" borderId="2" xfId="707" applyNumberFormat="1" applyFont="1" applyBorder="1" applyAlignment="1" applyProtection="1">
      <alignment horizontal="center"/>
      <protection hidden="1"/>
    </xf>
    <xf numFmtId="178" fontId="3" fillId="0" borderId="11" xfId="707" applyNumberFormat="1" applyFont="1" applyBorder="1" applyAlignment="1" applyProtection="1">
      <protection hidden="1"/>
    </xf>
    <xf numFmtId="178" fontId="4" fillId="0" borderId="2" xfId="707" applyNumberFormat="1" applyFont="1" applyBorder="1" applyAlignment="1" applyProtection="1">
      <protection hidden="1"/>
    </xf>
    <xf numFmtId="10" fontId="3" fillId="0" borderId="2" xfId="707" applyNumberFormat="1" applyFont="1" applyBorder="1" applyAlignment="1" applyProtection="1">
      <alignment horizontal="center"/>
      <protection hidden="1"/>
    </xf>
    <xf numFmtId="0" fontId="4" fillId="0" borderId="2" xfId="707" applyFont="1" applyBorder="1" applyAlignment="1" applyProtection="1">
      <protection hidden="1"/>
    </xf>
    <xf numFmtId="10" fontId="11" fillId="24" borderId="2" xfId="707" applyNumberFormat="1" applyFont="1" applyFill="1" applyBorder="1" applyAlignment="1" applyProtection="1">
      <alignment horizontal="center" vertical="center"/>
      <protection hidden="1"/>
    </xf>
    <xf numFmtId="183" fontId="4" fillId="0" borderId="2" xfId="707" applyNumberFormat="1" applyFont="1" applyBorder="1" applyAlignment="1" applyProtection="1">
      <alignment horizontal="center"/>
      <protection hidden="1"/>
    </xf>
    <xf numFmtId="184" fontId="11" fillId="24" borderId="2" xfId="707" applyNumberFormat="1" applyFont="1" applyFill="1" applyBorder="1" applyAlignment="1" applyProtection="1">
      <alignment horizontal="center" vertical="center"/>
      <protection hidden="1"/>
    </xf>
    <xf numFmtId="0" fontId="4" fillId="0" borderId="0" xfId="707" applyFont="1" applyAlignment="1" applyProtection="1">
      <protection hidden="1"/>
    </xf>
    <xf numFmtId="10" fontId="3" fillId="0" borderId="2" xfId="707" applyNumberFormat="1" applyFont="1" applyFill="1" applyBorder="1" applyAlignment="1" applyProtection="1">
      <alignment horizontal="center"/>
      <protection hidden="1"/>
    </xf>
    <xf numFmtId="182" fontId="4" fillId="0" borderId="2" xfId="0" applyNumberFormat="1" applyFont="1" applyBorder="1" applyAlignment="1">
      <alignment horizontal="center"/>
    </xf>
    <xf numFmtId="180" fontId="3" fillId="0" borderId="2" xfId="0" applyNumberFormat="1" applyFont="1" applyBorder="1" applyAlignment="1"/>
    <xf numFmtId="0" fontId="9" fillId="0" borderId="2" xfId="0" applyFont="1" applyBorder="1" applyAlignment="1"/>
    <xf numFmtId="180" fontId="3" fillId="0" borderId="2" xfId="0" applyNumberFormat="1" applyFont="1" applyBorder="1" applyAlignment="1">
      <alignment horizontal="center"/>
    </xf>
    <xf numFmtId="0" fontId="3" fillId="0" borderId="2" xfId="0" applyNumberFormat="1" applyFont="1" applyBorder="1" applyAlignment="1">
      <alignment horizontal="center"/>
    </xf>
    <xf numFmtId="9" fontId="3" fillId="0" borderId="2" xfId="0" applyNumberFormat="1" applyFont="1" applyBorder="1" applyAlignment="1"/>
    <xf numFmtId="0" fontId="3" fillId="0" borderId="2" xfId="0" applyFont="1" applyFill="1" applyBorder="1" applyAlignment="1"/>
    <xf numFmtId="185" fontId="3" fillId="0" borderId="2" xfId="0" applyNumberFormat="1" applyFont="1" applyBorder="1" applyAlignment="1">
      <alignment horizontal="center"/>
    </xf>
    <xf numFmtId="182" fontId="3" fillId="0" borderId="2" xfId="0" applyNumberFormat="1" applyFont="1" applyBorder="1" applyAlignment="1"/>
    <xf numFmtId="10" fontId="3" fillId="0" borderId="2" xfId="0" applyNumberFormat="1" applyFont="1" applyBorder="1" applyAlignment="1">
      <alignment horizontal="center"/>
    </xf>
    <xf numFmtId="10" fontId="3" fillId="0" borderId="2" xfId="0" applyNumberFormat="1" applyFont="1" applyBorder="1" applyAlignment="1"/>
    <xf numFmtId="176" fontId="3" fillId="0" borderId="2" xfId="0" applyNumberFormat="1" applyFont="1" applyFill="1" applyBorder="1" applyAlignment="1"/>
    <xf numFmtId="0" fontId="3" fillId="0" borderId="2" xfId="0" applyFont="1" applyFill="1" applyBorder="1" applyAlignment="1">
      <alignment horizontal="left"/>
    </xf>
    <xf numFmtId="0" fontId="3" fillId="0" borderId="13" xfId="0" applyFont="1" applyBorder="1" applyAlignment="1"/>
    <xf numFmtId="0" fontId="3" fillId="0" borderId="28" xfId="0" applyFont="1" applyFill="1" applyBorder="1" applyAlignment="1"/>
    <xf numFmtId="0" fontId="9" fillId="0" borderId="2" xfId="0" applyFont="1" applyBorder="1" applyAlignment="1">
      <alignment horizontal="right"/>
    </xf>
    <xf numFmtId="0" fontId="9" fillId="0" borderId="2" xfId="0" applyFont="1" applyBorder="1" applyAlignment="1">
      <alignment horizontal="center"/>
    </xf>
    <xf numFmtId="0" fontId="3" fillId="6" borderId="2" xfId="0" applyFont="1" applyFill="1" applyBorder="1" applyAlignment="1">
      <alignment horizontal="left"/>
    </xf>
    <xf numFmtId="182" fontId="3" fillId="6" borderId="2" xfId="0" applyNumberFormat="1" applyFont="1" applyFill="1" applyBorder="1" applyAlignment="1">
      <alignment horizontal="center"/>
    </xf>
    <xf numFmtId="0" fontId="0" fillId="6" borderId="2" xfId="0" applyFill="1" applyBorder="1" applyAlignment="1"/>
    <xf numFmtId="0" fontId="3" fillId="6" borderId="2" xfId="0" applyFont="1" applyFill="1" applyBorder="1" applyAlignment="1">
      <alignment vertical="center" wrapText="1"/>
    </xf>
    <xf numFmtId="10" fontId="3" fillId="6" borderId="2" xfId="0" applyNumberFormat="1" applyFont="1" applyFill="1" applyBorder="1" applyAlignment="1">
      <alignment horizontal="center"/>
    </xf>
    <xf numFmtId="9" fontId="3" fillId="6" borderId="2" xfId="0" applyNumberFormat="1" applyFont="1" applyFill="1" applyBorder="1" applyAlignment="1">
      <alignment horizontal="center"/>
    </xf>
    <xf numFmtId="0" fontId="9" fillId="6" borderId="2" xfId="0" applyFont="1" applyFill="1" applyBorder="1" applyAlignment="1"/>
    <xf numFmtId="9" fontId="9" fillId="6" borderId="2" xfId="0" applyNumberFormat="1" applyFont="1" applyFill="1" applyBorder="1" applyAlignment="1">
      <alignment horizontal="center"/>
    </xf>
    <xf numFmtId="0" fontId="3" fillId="0" borderId="2" xfId="0" applyFont="1" applyFill="1" applyBorder="1" applyAlignment="1">
      <alignment horizontal="left" vertical="center" wrapText="1"/>
    </xf>
    <xf numFmtId="9" fontId="4" fillId="0" borderId="2" xfId="0" applyNumberFormat="1" applyFont="1" applyFill="1" applyBorder="1" applyAlignment="1">
      <alignment horizontal="center" vertical="center"/>
    </xf>
    <xf numFmtId="9" fontId="0" fillId="0" borderId="0" xfId="0" applyNumberFormat="1">
      <alignment vertical="center"/>
    </xf>
    <xf numFmtId="0" fontId="4" fillId="0" borderId="2" xfId="0" applyFont="1" applyFill="1" applyBorder="1" applyAlignment="1">
      <alignment horizontal="center" vertical="center"/>
    </xf>
    <xf numFmtId="10" fontId="0" fillId="0" borderId="0" xfId="0" applyNumberFormat="1">
      <alignment vertical="center"/>
    </xf>
    <xf numFmtId="0" fontId="3" fillId="0" borderId="2" xfId="0" applyFont="1" applyFill="1" applyBorder="1">
      <alignment vertical="center"/>
    </xf>
    <xf numFmtId="9" fontId="3" fillId="0" borderId="2" xfId="0" applyNumberFormat="1" applyFont="1" applyFill="1" applyBorder="1" applyAlignment="1">
      <alignment horizontal="center" vertical="center"/>
    </xf>
    <xf numFmtId="9" fontId="0" fillId="0" borderId="0" xfId="0" applyNumberFormat="1" applyAlignment="1"/>
    <xf numFmtId="0" fontId="0" fillId="0" borderId="0" xfId="0" applyFont="1">
      <alignment vertical="center"/>
    </xf>
    <xf numFmtId="0" fontId="0" fillId="0" borderId="0" xfId="0" applyFont="1" applyAlignment="1">
      <alignment vertical="center"/>
    </xf>
    <xf numFmtId="0" fontId="14" fillId="16" borderId="0" xfId="0" applyFont="1" applyFill="1" applyAlignment="1"/>
    <xf numFmtId="0" fontId="0" fillId="24" borderId="0" xfId="0" applyFill="1">
      <alignment vertical="center"/>
    </xf>
    <xf numFmtId="0" fontId="17" fillId="0" borderId="13" xfId="0" applyNumberFormat="1" applyFont="1" applyFill="1" applyBorder="1" applyAlignment="1" applyProtection="1">
      <alignment horizontal="center"/>
    </xf>
    <xf numFmtId="49" fontId="17" fillId="0" borderId="2" xfId="0" applyNumberFormat="1" applyFont="1" applyFill="1" applyBorder="1" applyAlignment="1" applyProtection="1">
      <alignment horizontal="center"/>
    </xf>
    <xf numFmtId="0" fontId="17" fillId="0" borderId="2" xfId="0" applyNumberFormat="1" applyFont="1" applyFill="1" applyBorder="1" applyAlignment="1" applyProtection="1">
      <alignment horizontal="center"/>
    </xf>
    <xf numFmtId="0" fontId="17" fillId="0" borderId="2" xfId="0" applyNumberFormat="1" applyFont="1" applyFill="1" applyBorder="1" applyAlignment="1" applyProtection="1">
      <alignment wrapText="1"/>
    </xf>
    <xf numFmtId="49" fontId="17" fillId="0" borderId="13" xfId="0" applyNumberFormat="1" applyFont="1" applyFill="1" applyBorder="1" applyAlignment="1" applyProtection="1">
      <alignment horizontal="center"/>
    </xf>
    <xf numFmtId="0" fontId="18" fillId="24" borderId="2" xfId="0" applyNumberFormat="1" applyFont="1" applyFill="1" applyBorder="1" applyAlignment="1" applyProtection="1">
      <alignment vertical="center"/>
    </xf>
    <xf numFmtId="49" fontId="17" fillId="24" borderId="13" xfId="0" applyNumberFormat="1" applyFont="1" applyFill="1" applyBorder="1" applyAlignment="1" applyProtection="1">
      <alignment horizontal="center"/>
    </xf>
    <xf numFmtId="0" fontId="17" fillId="24" borderId="2" xfId="0" applyNumberFormat="1" applyFont="1" applyFill="1" applyBorder="1" applyAlignment="1" applyProtection="1">
      <alignment horizontal="center"/>
    </xf>
    <xf numFmtId="0" fontId="18" fillId="24" borderId="13" xfId="0" applyNumberFormat="1" applyFont="1" applyFill="1" applyBorder="1" applyAlignment="1" applyProtection="1">
      <alignment horizontal="left" vertical="center"/>
    </xf>
    <xf numFmtId="0" fontId="18" fillId="0" borderId="13" xfId="0" applyNumberFormat="1" applyFont="1" applyFill="1" applyBorder="1" applyAlignment="1" applyProtection="1">
      <alignment horizontal="left" vertical="center"/>
    </xf>
    <xf numFmtId="49" fontId="17" fillId="24" borderId="2" xfId="0" applyNumberFormat="1" applyFont="1" applyFill="1" applyBorder="1" applyAlignment="1" applyProtection="1">
      <alignment horizontal="center"/>
    </xf>
    <xf numFmtId="0" fontId="18" fillId="0" borderId="2" xfId="0" applyNumberFormat="1" applyFont="1" applyFill="1" applyBorder="1" applyAlignment="1" applyProtection="1">
      <alignment horizontal="left" vertical="center"/>
    </xf>
    <xf numFmtId="0" fontId="18" fillId="24" borderId="2" xfId="0" applyNumberFormat="1" applyFont="1" applyFill="1" applyBorder="1" applyAlignment="1" applyProtection="1">
      <alignment horizontal="left" vertical="center"/>
    </xf>
    <xf numFmtId="0" fontId="17" fillId="0" borderId="0" xfId="0" applyNumberFormat="1" applyFont="1" applyFill="1" applyBorder="1" applyAlignment="1" applyProtection="1"/>
    <xf numFmtId="182" fontId="17" fillId="0" borderId="0" xfId="0" applyNumberFormat="1" applyFont="1" applyFill="1" applyBorder="1" applyAlignment="1" applyProtection="1"/>
    <xf numFmtId="0" fontId="17" fillId="0" borderId="0" xfId="0" applyNumberFormat="1" applyFont="1" applyFill="1" applyBorder="1" applyAlignment="1" applyProtection="1">
      <alignment horizontal="center"/>
    </xf>
    <xf numFmtId="0" fontId="19" fillId="0" borderId="0" xfId="0" applyNumberFormat="1" applyFont="1" applyFill="1" applyBorder="1" applyAlignment="1" applyProtection="1"/>
    <xf numFmtId="0" fontId="20" fillId="0" borderId="0" xfId="0" applyNumberFormat="1" applyFont="1" applyFill="1" applyBorder="1" applyAlignment="1" applyProtection="1">
      <alignment vertical="center"/>
    </xf>
    <xf numFmtId="9" fontId="19" fillId="0" borderId="0" xfId="0" applyNumberFormat="1" applyFont="1" applyFill="1" applyBorder="1" applyAlignment="1" applyProtection="1"/>
    <xf numFmtId="10" fontId="19" fillId="16" borderId="0" xfId="0" applyNumberFormat="1" applyFont="1" applyFill="1" applyBorder="1" applyAlignment="1" applyProtection="1"/>
    <xf numFmtId="186" fontId="17" fillId="0" borderId="11" xfId="0" applyNumberFormat="1" applyFont="1" applyFill="1" applyBorder="1" applyAlignment="1" applyProtection="1">
      <alignment horizontal="right"/>
    </xf>
    <xf numFmtId="49" fontId="17" fillId="0" borderId="13" xfId="0" applyNumberFormat="1" applyFont="1" applyFill="1" applyBorder="1" applyAlignment="1" applyProtection="1">
      <alignment horizontal="left"/>
    </xf>
    <xf numFmtId="0" fontId="17" fillId="0" borderId="13" xfId="0" applyNumberFormat="1" applyFont="1" applyFill="1" applyBorder="1" applyAlignment="1" applyProtection="1"/>
    <xf numFmtId="0" fontId="17" fillId="24" borderId="13" xfId="0" applyNumberFormat="1" applyFont="1" applyFill="1" applyBorder="1" applyAlignment="1" applyProtection="1"/>
    <xf numFmtId="186" fontId="17" fillId="24" borderId="11" xfId="0" applyNumberFormat="1" applyFont="1" applyFill="1" applyBorder="1" applyAlignment="1" applyProtection="1">
      <alignment horizontal="right"/>
    </xf>
    <xf numFmtId="49" fontId="17" fillId="24" borderId="13" xfId="0" applyNumberFormat="1" applyFont="1" applyFill="1" applyBorder="1" applyAlignment="1" applyProtection="1">
      <alignment horizontal="left"/>
    </xf>
    <xf numFmtId="0" fontId="17" fillId="0" borderId="0" xfId="0" applyNumberFormat="1" applyFont="1" applyFill="1" applyBorder="1" applyAlignment="1" applyProtection="1">
      <alignment horizontal="left" vertical="center"/>
    </xf>
    <xf numFmtId="0" fontId="94" fillId="0" borderId="0" xfId="1542" applyAlignment="1"/>
    <xf numFmtId="0" fontId="9" fillId="20" borderId="0" xfId="1542" applyFont="1" applyFill="1" applyAlignment="1"/>
    <xf numFmtId="0" fontId="9" fillId="12" borderId="0" xfId="1542" applyFont="1" applyFill="1" applyAlignment="1"/>
    <xf numFmtId="0" fontId="94" fillId="0" borderId="0" xfId="1542" applyFill="1" applyAlignment="1"/>
    <xf numFmtId="0" fontId="9" fillId="0" borderId="0" xfId="1542" applyFont="1" applyAlignment="1"/>
    <xf numFmtId="0" fontId="9" fillId="8" borderId="0" xfId="1542" applyFont="1" applyFill="1" applyAlignment="1"/>
    <xf numFmtId="177" fontId="3" fillId="25" borderId="2" xfId="0" applyNumberFormat="1" applyFont="1" applyFill="1" applyBorder="1" applyAlignment="1">
      <alignment horizontal="center"/>
    </xf>
    <xf numFmtId="10" fontId="9" fillId="0" borderId="2" xfId="707" applyNumberFormat="1" applyFont="1" applyBorder="1" applyAlignment="1" applyProtection="1">
      <alignment horizontal="center" vertical="center"/>
      <protection hidden="1"/>
    </xf>
    <xf numFmtId="184" fontId="9" fillId="0" borderId="2" xfId="707" applyNumberFormat="1" applyFont="1" applyBorder="1" applyAlignment="1" applyProtection="1">
      <alignment horizontal="center" vertical="center"/>
      <protection hidden="1"/>
    </xf>
    <xf numFmtId="176" fontId="4" fillId="0" borderId="2" xfId="1542" applyNumberFormat="1" applyFont="1" applyBorder="1" applyAlignment="1">
      <alignment horizontal="center"/>
    </xf>
    <xf numFmtId="182" fontId="4" fillId="0" borderId="2" xfId="1542" applyNumberFormat="1" applyFont="1" applyBorder="1" applyAlignment="1">
      <alignment horizontal="center"/>
    </xf>
    <xf numFmtId="0" fontId="9" fillId="0" borderId="13" xfId="0" applyFont="1" applyBorder="1" applyAlignment="1">
      <alignment horizontal="center"/>
    </xf>
    <xf numFmtId="0" fontId="0" fillId="0" borderId="2" xfId="0" applyBorder="1" applyAlignment="1">
      <alignment horizontal="center"/>
    </xf>
    <xf numFmtId="0" fontId="0" fillId="0" borderId="2" xfId="0" applyBorder="1" applyAlignment="1"/>
    <xf numFmtId="0" fontId="3" fillId="6" borderId="27" xfId="0" applyFont="1" applyFill="1" applyBorder="1" applyAlignment="1">
      <alignment horizontal="left"/>
    </xf>
    <xf numFmtId="182" fontId="3" fillId="6" borderId="27" xfId="0" applyNumberFormat="1" applyFont="1" applyFill="1" applyBorder="1" applyAlignment="1">
      <alignment horizontal="center"/>
    </xf>
    <xf numFmtId="0" fontId="9" fillId="20" borderId="0" xfId="1542" applyFont="1" applyFill="1" applyAlignment="1">
      <alignment horizontal="center"/>
    </xf>
    <xf numFmtId="0" fontId="3" fillId="20" borderId="2" xfId="1542" applyFont="1" applyFill="1" applyBorder="1" applyAlignment="1">
      <alignment horizontal="center"/>
    </xf>
    <xf numFmtId="178" fontId="9" fillId="20" borderId="2" xfId="1542" applyNumberFormat="1" applyFont="1" applyFill="1" applyBorder="1" applyAlignment="1">
      <alignment horizontal="center"/>
    </xf>
    <xf numFmtId="0" fontId="9" fillId="20" borderId="2" xfId="1542" applyFont="1" applyFill="1" applyBorder="1" applyAlignment="1">
      <alignment horizontal="center"/>
    </xf>
    <xf numFmtId="182" fontId="9" fillId="20" borderId="2" xfId="1542" applyNumberFormat="1" applyFont="1" applyFill="1" applyBorder="1" applyAlignment="1">
      <alignment horizontal="center"/>
    </xf>
    <xf numFmtId="9" fontId="3" fillId="20" borderId="2" xfId="1542" applyNumberFormat="1" applyFont="1" applyFill="1" applyBorder="1" applyAlignment="1">
      <alignment horizontal="center"/>
    </xf>
    <xf numFmtId="0" fontId="3" fillId="20" borderId="2" xfId="1542" applyFont="1" applyFill="1" applyBorder="1" applyAlignment="1">
      <alignment horizontal="center" vertical="center" wrapText="1"/>
    </xf>
    <xf numFmtId="10" fontId="3" fillId="20" borderId="2" xfId="1542" applyNumberFormat="1" applyFont="1" applyFill="1" applyBorder="1" applyAlignment="1">
      <alignment horizontal="center"/>
    </xf>
    <xf numFmtId="10" fontId="9" fillId="20" borderId="2" xfId="1542" applyNumberFormat="1" applyFont="1" applyFill="1" applyBorder="1" applyAlignment="1">
      <alignment horizontal="center"/>
    </xf>
    <xf numFmtId="0" fontId="94" fillId="0" borderId="0" xfId="1542" applyAlignment="1">
      <alignment horizontal="center"/>
    </xf>
    <xf numFmtId="0" fontId="9" fillId="12" borderId="0" xfId="1542" applyFont="1" applyFill="1" applyAlignment="1">
      <alignment horizontal="center"/>
    </xf>
    <xf numFmtId="0" fontId="9" fillId="12" borderId="2" xfId="1542" applyFont="1" applyFill="1" applyBorder="1" applyAlignment="1"/>
    <xf numFmtId="10" fontId="9" fillId="12" borderId="2" xfId="1542" applyNumberFormat="1" applyFont="1" applyFill="1" applyBorder="1" applyAlignment="1">
      <alignment horizontal="center"/>
    </xf>
    <xf numFmtId="0" fontId="9" fillId="12" borderId="0" xfId="1542" applyFont="1" applyFill="1" applyBorder="1" applyAlignment="1">
      <alignment horizontal="left"/>
    </xf>
    <xf numFmtId="0" fontId="94" fillId="0" borderId="0" xfId="1542" applyFill="1" applyAlignment="1">
      <alignment horizontal="center"/>
    </xf>
    <xf numFmtId="0" fontId="3" fillId="0" borderId="0" xfId="1542" applyFont="1" applyFill="1" applyBorder="1" applyAlignment="1">
      <alignment horizontal="left"/>
    </xf>
    <xf numFmtId="182" fontId="94" fillId="0" borderId="0" xfId="1542" applyNumberFormat="1" applyFill="1" applyAlignment="1"/>
    <xf numFmtId="0" fontId="9" fillId="0" borderId="0" xfId="1542" applyFont="1" applyAlignment="1">
      <alignment horizontal="center"/>
    </xf>
    <xf numFmtId="0" fontId="9" fillId="24" borderId="0" xfId="1542" applyFont="1" applyFill="1" applyAlignment="1"/>
    <xf numFmtId="0" fontId="9" fillId="8" borderId="0" xfId="1542" applyFont="1" applyFill="1" applyAlignment="1">
      <alignment horizontal="center"/>
    </xf>
    <xf numFmtId="0" fontId="9" fillId="8" borderId="2" xfId="1542" applyFont="1" applyFill="1" applyBorder="1" applyAlignment="1"/>
    <xf numFmtId="182" fontId="9" fillId="8" borderId="2" xfId="1542" applyNumberFormat="1" applyFont="1" applyFill="1" applyBorder="1" applyAlignment="1"/>
    <xf numFmtId="10" fontId="9" fillId="8" borderId="2" xfId="1542" applyNumberFormat="1" applyFont="1" applyFill="1" applyBorder="1" applyAlignment="1"/>
    <xf numFmtId="0" fontId="3" fillId="6" borderId="2" xfId="1542" applyFont="1" applyFill="1" applyBorder="1" applyAlignment="1">
      <alignment horizontal="left"/>
    </xf>
    <xf numFmtId="182" fontId="3" fillId="6" borderId="2" xfId="1542" applyNumberFormat="1" applyFont="1" applyFill="1" applyBorder="1" applyAlignment="1">
      <alignment horizontal="center"/>
    </xf>
    <xf numFmtId="0" fontId="94" fillId="6" borderId="2" xfId="1542" applyFill="1" applyBorder="1" applyAlignment="1"/>
    <xf numFmtId="0" fontId="3" fillId="6" borderId="2" xfId="1542" applyFont="1" applyFill="1" applyBorder="1" applyAlignment="1">
      <alignment vertical="center" wrapText="1"/>
    </xf>
    <xf numFmtId="10" fontId="3" fillId="6" borderId="2" xfId="1542" applyNumberFormat="1" applyFont="1" applyFill="1" applyBorder="1" applyAlignment="1">
      <alignment horizontal="center"/>
    </xf>
    <xf numFmtId="0" fontId="11" fillId="6" borderId="11" xfId="1542" applyFont="1" applyFill="1" applyBorder="1" applyAlignment="1">
      <alignment horizontal="left"/>
    </xf>
    <xf numFmtId="0" fontId="11" fillId="6" borderId="12" xfId="1542" applyFont="1" applyFill="1" applyBorder="1" applyAlignment="1">
      <alignment horizontal="left"/>
    </xf>
    <xf numFmtId="0" fontId="11" fillId="6" borderId="13" xfId="1542" applyFont="1" applyFill="1" applyBorder="1" applyAlignment="1">
      <alignment horizontal="left"/>
    </xf>
    <xf numFmtId="0" fontId="13" fillId="6" borderId="2" xfId="1542" applyFont="1" applyFill="1" applyBorder="1" applyAlignment="1">
      <alignment horizontal="center"/>
    </xf>
    <xf numFmtId="0" fontId="13" fillId="6" borderId="12" xfId="1542" applyFont="1" applyFill="1" applyBorder="1" applyAlignment="1">
      <alignment horizontal="center"/>
    </xf>
    <xf numFmtId="0" fontId="13" fillId="6" borderId="13" xfId="1542" applyFont="1" applyFill="1" applyBorder="1" applyAlignment="1">
      <alignment horizontal="center"/>
    </xf>
    <xf numFmtId="9" fontId="3" fillId="6" borderId="2" xfId="1542" applyNumberFormat="1" applyFont="1" applyFill="1" applyBorder="1" applyAlignment="1">
      <alignment horizontal="center"/>
    </xf>
    <xf numFmtId="0" fontId="9" fillId="6" borderId="2" xfId="1542" applyFont="1" applyFill="1" applyBorder="1" applyAlignment="1"/>
    <xf numFmtId="9" fontId="9" fillId="6" borderId="2" xfId="1542" applyNumberFormat="1" applyFont="1" applyFill="1" applyBorder="1" applyAlignment="1">
      <alignment horizontal="center"/>
    </xf>
    <xf numFmtId="0" fontId="23" fillId="0" borderId="2" xfId="0" applyFont="1" applyFill="1" applyBorder="1" applyAlignment="1">
      <alignment horizontal="center" vertical="center"/>
    </xf>
    <xf numFmtId="0" fontId="6" fillId="20" borderId="13" xfId="0" applyFont="1" applyFill="1" applyBorder="1" applyAlignment="1">
      <alignment horizontal="center" vertical="center"/>
    </xf>
    <xf numFmtId="49" fontId="23" fillId="0" borderId="2" xfId="0" applyNumberFormat="1" applyFont="1" applyFill="1" applyBorder="1" applyAlignment="1">
      <alignment horizontal="center" vertical="center"/>
    </xf>
    <xf numFmtId="0" fontId="6" fillId="0" borderId="2" xfId="0" applyFont="1" applyBorder="1" applyAlignment="1">
      <alignment horizontal="justify" vertical="center"/>
    </xf>
    <xf numFmtId="176" fontId="23" fillId="0" borderId="2" xfId="0" applyNumberFormat="1" applyFont="1" applyFill="1" applyBorder="1" applyAlignment="1">
      <alignment horizontal="center" vertical="center"/>
    </xf>
    <xf numFmtId="0" fontId="23" fillId="0" borderId="0" xfId="0" applyFont="1" applyAlignment="1">
      <alignment horizontal="center" vertical="center"/>
    </xf>
    <xf numFmtId="0" fontId="23" fillId="0" borderId="2" xfId="0" applyNumberFormat="1" applyFont="1" applyFill="1" applyBorder="1" applyAlignment="1">
      <alignment horizontal="center" vertical="center"/>
    </xf>
    <xf numFmtId="0" fontId="6" fillId="0" borderId="2" xfId="0" applyFont="1" applyBorder="1" applyAlignment="1"/>
    <xf numFmtId="0" fontId="23" fillId="0" borderId="13" xfId="0" applyFont="1" applyBorder="1" applyAlignment="1">
      <alignment vertical="center"/>
    </xf>
    <xf numFmtId="0" fontId="23" fillId="0" borderId="0" xfId="0" applyFont="1" applyAlignment="1"/>
    <xf numFmtId="0" fontId="23" fillId="0" borderId="0" xfId="0" applyFont="1" applyAlignment="1">
      <alignment horizontal="center"/>
    </xf>
    <xf numFmtId="0" fontId="15" fillId="0" borderId="0" xfId="0" applyFont="1" applyBorder="1" applyAlignment="1">
      <alignment horizontal="center"/>
    </xf>
    <xf numFmtId="0" fontId="24" fillId="0" borderId="0" xfId="0" applyFont="1" applyAlignment="1">
      <alignment horizontal="center"/>
    </xf>
    <xf numFmtId="9" fontId="24" fillId="0" borderId="0" xfId="0" applyNumberFormat="1" applyFont="1" applyAlignment="1">
      <alignment horizontal="center"/>
    </xf>
    <xf numFmtId="0" fontId="1" fillId="0" borderId="0" xfId="0" applyFont="1" applyAlignment="1">
      <alignment vertical="center"/>
    </xf>
    <xf numFmtId="49"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Font="1" applyFill="1" applyBorder="1" applyAlignment="1">
      <alignment vertical="center" wrapText="1"/>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1" fillId="0" borderId="0" xfId="0" applyFont="1" applyBorder="1" applyAlignment="1">
      <alignment horizontal="center"/>
    </xf>
    <xf numFmtId="178" fontId="3" fillId="0" borderId="0" xfId="0" applyNumberFormat="1" applyFont="1" applyFill="1" applyBorder="1" applyAlignment="1">
      <alignment horizontal="center" vertical="center"/>
    </xf>
    <xf numFmtId="186" fontId="23" fillId="0" borderId="11" xfId="0" applyNumberFormat="1" applyFont="1" applyBorder="1" applyAlignment="1">
      <alignment horizontal="right"/>
    </xf>
    <xf numFmtId="49" fontId="23" fillId="0" borderId="13" xfId="0" applyNumberFormat="1" applyFont="1" applyBorder="1" applyAlignment="1">
      <alignment horizontal="left"/>
    </xf>
    <xf numFmtId="0" fontId="23" fillId="0" borderId="2" xfId="0" applyFont="1" applyBorder="1" applyAlignment="1">
      <alignment horizontal="center"/>
    </xf>
    <xf numFmtId="186" fontId="23" fillId="0" borderId="11" xfId="0" applyNumberFormat="1" applyFont="1" applyFill="1" applyBorder="1" applyAlignment="1">
      <alignment horizontal="right"/>
    </xf>
    <xf numFmtId="49" fontId="23" fillId="0" borderId="13" xfId="0" applyNumberFormat="1" applyFont="1" applyFill="1" applyBorder="1" applyAlignment="1">
      <alignment horizontal="left"/>
    </xf>
    <xf numFmtId="0" fontId="23" fillId="0" borderId="0" xfId="0" applyFont="1" applyFill="1" applyAlignment="1"/>
    <xf numFmtId="0" fontId="23" fillId="5" borderId="0" xfId="0" applyFont="1" applyFill="1" applyAlignment="1"/>
    <xf numFmtId="187" fontId="23" fillId="0" borderId="2" xfId="0" applyNumberFormat="1" applyFont="1" applyBorder="1" applyAlignment="1">
      <alignment horizontal="center"/>
    </xf>
    <xf numFmtId="0" fontId="23" fillId="0" borderId="2" xfId="0" applyFont="1" applyBorder="1" applyAlignment="1">
      <alignment horizontal="left"/>
    </xf>
    <xf numFmtId="0" fontId="23" fillId="0" borderId="13" xfId="0" applyFont="1" applyBorder="1" applyAlignment="1"/>
    <xf numFmtId="0" fontId="23" fillId="0" borderId="13" xfId="0" applyFont="1" applyFill="1" applyBorder="1" applyAlignment="1"/>
    <xf numFmtId="187" fontId="23" fillId="0" borderId="2" xfId="0" applyNumberFormat="1" applyFont="1" applyFill="1" applyBorder="1" applyAlignment="1">
      <alignment horizontal="center"/>
    </xf>
    <xf numFmtId="49" fontId="9" fillId="0" borderId="2" xfId="0" applyNumberFormat="1" applyFont="1" applyBorder="1" applyAlignment="1">
      <alignment horizontal="center" vertical="center"/>
    </xf>
    <xf numFmtId="0" fontId="3" fillId="0" borderId="2" xfId="480" applyFont="1" applyFill="1" applyBorder="1" applyAlignment="1">
      <alignment horizontal="center" vertical="center" wrapText="1"/>
    </xf>
    <xf numFmtId="176" fontId="3" fillId="0" borderId="2" xfId="480" applyNumberFormat="1" applyFont="1" applyFill="1" applyBorder="1" applyAlignment="1">
      <alignment horizontal="center" vertical="center" wrapText="1"/>
    </xf>
    <xf numFmtId="0" fontId="4" fillId="0" borderId="2" xfId="480" applyFont="1" applyFill="1" applyBorder="1" applyAlignment="1">
      <alignment horizontal="center" vertical="center" wrapText="1"/>
    </xf>
    <xf numFmtId="182" fontId="4" fillId="0" borderId="2" xfId="480" applyNumberFormat="1" applyFont="1" applyFill="1" applyBorder="1" applyAlignment="1">
      <alignment horizontal="center" vertical="center" wrapText="1"/>
    </xf>
    <xf numFmtId="0" fontId="3" fillId="16" borderId="2" xfId="1516" applyFont="1" applyFill="1" applyBorder="1" applyAlignment="1">
      <alignment horizontal="center"/>
    </xf>
    <xf numFmtId="49" fontId="8" fillId="0" borderId="2" xfId="0" applyNumberFormat="1" applyFont="1" applyBorder="1" applyAlignment="1">
      <alignment horizontal="center" vertical="center"/>
    </xf>
    <xf numFmtId="0" fontId="3" fillId="0" borderId="2" xfId="1516" applyFont="1" applyBorder="1" applyAlignment="1">
      <alignment horizontal="center"/>
    </xf>
    <xf numFmtId="0" fontId="3" fillId="5" borderId="2" xfId="480" applyFont="1" applyFill="1" applyBorder="1" applyAlignment="1">
      <alignment horizontal="center" vertical="center" wrapText="1"/>
    </xf>
    <xf numFmtId="180" fontId="3" fillId="5" borderId="2" xfId="480" applyNumberFormat="1" applyFont="1" applyFill="1" applyBorder="1" applyAlignment="1">
      <alignment horizontal="center" vertical="center" wrapText="1"/>
    </xf>
    <xf numFmtId="1" fontId="3" fillId="0" borderId="2" xfId="48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9" fillId="0" borderId="2" xfId="480" applyFont="1" applyBorder="1" applyAlignment="1">
      <alignment horizontal="center"/>
    </xf>
    <xf numFmtId="0" fontId="18" fillId="0" borderId="2" xfId="480" applyFont="1" applyBorder="1" applyAlignment="1">
      <alignment horizontal="center"/>
    </xf>
    <xf numFmtId="10" fontId="3" fillId="16" borderId="2" xfId="0" applyNumberFormat="1" applyFont="1" applyFill="1" applyBorder="1" applyAlignment="1">
      <alignment horizontal="center" vertical="center" wrapText="1"/>
    </xf>
    <xf numFmtId="177" fontId="3" fillId="16" borderId="2" xfId="0" applyNumberFormat="1" applyFont="1" applyFill="1" applyBorder="1" applyAlignment="1">
      <alignment horizontal="center" vertical="center" wrapText="1"/>
    </xf>
    <xf numFmtId="180" fontId="3" fillId="5" borderId="2" xfId="10" applyNumberFormat="1" applyFont="1" applyFill="1" applyBorder="1" applyAlignment="1">
      <alignment horizontal="center" vertical="center" wrapText="1"/>
    </xf>
    <xf numFmtId="185" fontId="3" fillId="5" borderId="2" xfId="0" applyNumberFormat="1" applyFont="1" applyFill="1" applyBorder="1" applyAlignment="1">
      <alignment horizontal="center" vertical="center" wrapText="1"/>
    </xf>
    <xf numFmtId="0" fontId="18" fillId="0" borderId="2" xfId="480" applyFont="1" applyFill="1" applyBorder="1" applyAlignment="1">
      <alignment horizontal="center"/>
    </xf>
    <xf numFmtId="180" fontId="3" fillId="5" borderId="2" xfId="0" applyNumberFormat="1" applyFont="1" applyFill="1" applyBorder="1" applyAlignment="1">
      <alignment horizontal="center" vertical="center" wrapText="1"/>
    </xf>
    <xf numFmtId="49" fontId="18" fillId="0" borderId="2" xfId="0" applyNumberFormat="1" applyFont="1" applyBorder="1" applyAlignment="1">
      <alignment horizontal="center" vertical="center"/>
    </xf>
    <xf numFmtId="180" fontId="4" fillId="0" borderId="11" xfId="480" applyNumberFormat="1" applyFont="1" applyFill="1" applyBorder="1" applyAlignment="1">
      <alignment horizontal="center" vertical="center" wrapText="1"/>
    </xf>
    <xf numFmtId="0" fontId="4" fillId="0" borderId="11" xfId="480" applyFont="1" applyFill="1" applyBorder="1" applyAlignment="1">
      <alignment horizontal="center" vertical="center" wrapText="1"/>
    </xf>
    <xf numFmtId="0" fontId="94" fillId="0" borderId="0" xfId="1542">
      <alignment vertical="center"/>
    </xf>
    <xf numFmtId="0" fontId="7" fillId="0" borderId="0" xfId="1542" applyFont="1" applyAlignment="1"/>
    <xf numFmtId="0" fontId="3" fillId="0" borderId="2" xfId="1542" applyFont="1" applyBorder="1" applyAlignment="1">
      <alignment horizontal="center"/>
    </xf>
    <xf numFmtId="0" fontId="3" fillId="0" borderId="2" xfId="1542" applyFont="1" applyBorder="1" applyAlignment="1"/>
    <xf numFmtId="182" fontId="3" fillId="0" borderId="2" xfId="1542" applyNumberFormat="1" applyFont="1" applyBorder="1" applyAlignment="1">
      <alignment horizontal="center"/>
    </xf>
    <xf numFmtId="178" fontId="3" fillId="0" borderId="2" xfId="1542" applyNumberFormat="1" applyFont="1" applyBorder="1" applyAlignment="1"/>
    <xf numFmtId="9" fontId="3" fillId="0" borderId="2" xfId="1542" applyNumberFormat="1" applyFont="1" applyBorder="1" applyAlignment="1">
      <alignment horizontal="center"/>
    </xf>
    <xf numFmtId="0" fontId="4" fillId="0" borderId="2" xfId="1542" applyFont="1" applyBorder="1" applyAlignment="1">
      <alignment horizontal="center"/>
    </xf>
    <xf numFmtId="0" fontId="3" fillId="0" borderId="2" xfId="721" applyFont="1" applyBorder="1" applyAlignment="1" applyProtection="1">
      <alignment horizontal="center"/>
      <protection hidden="1"/>
    </xf>
    <xf numFmtId="0" fontId="4" fillId="0" borderId="2" xfId="721" applyFont="1" applyBorder="1" applyAlignment="1" applyProtection="1">
      <alignment horizontal="center"/>
      <protection hidden="1"/>
    </xf>
    <xf numFmtId="178" fontId="4" fillId="0" borderId="2" xfId="721" applyNumberFormat="1" applyFont="1" applyBorder="1" applyAlignment="1" applyProtection="1">
      <alignment horizontal="center"/>
      <protection hidden="1"/>
    </xf>
    <xf numFmtId="178" fontId="3" fillId="0" borderId="2" xfId="721" applyNumberFormat="1" applyFont="1" applyBorder="1" applyAlignment="1" applyProtection="1">
      <alignment horizontal="center"/>
      <protection hidden="1"/>
    </xf>
    <xf numFmtId="0" fontId="3" fillId="0" borderId="2" xfId="721" applyFont="1" applyBorder="1" applyAlignment="1" applyProtection="1">
      <protection hidden="1"/>
    </xf>
    <xf numFmtId="177" fontId="3" fillId="0" borderId="2" xfId="721" applyNumberFormat="1" applyFont="1" applyBorder="1" applyAlignment="1" applyProtection="1">
      <alignment horizontal="center"/>
      <protection hidden="1"/>
    </xf>
    <xf numFmtId="9" fontId="12" fillId="0" borderId="2" xfId="721" applyNumberFormat="1" applyFont="1" applyBorder="1" applyAlignment="1" applyProtection="1">
      <alignment horizontal="center"/>
      <protection hidden="1"/>
    </xf>
    <xf numFmtId="178" fontId="3" fillId="0" borderId="2" xfId="721" applyNumberFormat="1" applyFont="1" applyBorder="1" applyAlignment="1" applyProtection="1">
      <protection hidden="1"/>
    </xf>
    <xf numFmtId="0" fontId="9" fillId="0" borderId="2" xfId="1542" applyFont="1" applyFill="1" applyBorder="1" applyAlignment="1"/>
    <xf numFmtId="10" fontId="12" fillId="0" borderId="2" xfId="721" applyNumberFormat="1" applyFont="1" applyBorder="1" applyAlignment="1" applyProtection="1">
      <alignment horizontal="center"/>
      <protection hidden="1"/>
    </xf>
    <xf numFmtId="178" fontId="4" fillId="0" borderId="2" xfId="721" applyNumberFormat="1" applyFont="1" applyBorder="1" applyAlignment="1" applyProtection="1">
      <protection hidden="1"/>
    </xf>
    <xf numFmtId="10" fontId="3" fillId="0" borderId="2" xfId="721" applyNumberFormat="1" applyFont="1" applyBorder="1" applyAlignment="1" applyProtection="1">
      <alignment horizontal="center"/>
      <protection hidden="1"/>
    </xf>
    <xf numFmtId="0" fontId="4" fillId="0" borderId="2" xfId="721" applyFont="1" applyBorder="1" applyAlignment="1" applyProtection="1">
      <protection hidden="1"/>
    </xf>
    <xf numFmtId="10" fontId="9" fillId="0" borderId="2" xfId="721" applyNumberFormat="1" applyFont="1" applyBorder="1" applyAlignment="1" applyProtection="1">
      <alignment horizontal="center" vertical="center"/>
      <protection hidden="1"/>
    </xf>
    <xf numFmtId="183" fontId="4" fillId="0" borderId="2" xfId="721" applyNumberFormat="1" applyFont="1" applyBorder="1" applyAlignment="1" applyProtection="1">
      <alignment horizontal="center"/>
      <protection hidden="1"/>
    </xf>
    <xf numFmtId="184" fontId="9" fillId="0" borderId="2" xfId="721" applyNumberFormat="1" applyFont="1" applyBorder="1" applyAlignment="1" applyProtection="1">
      <alignment horizontal="center" vertical="center"/>
      <protection hidden="1"/>
    </xf>
    <xf numFmtId="0" fontId="4" fillId="0" borderId="0" xfId="721" applyFont="1" applyAlignment="1" applyProtection="1">
      <protection hidden="1"/>
    </xf>
    <xf numFmtId="10" fontId="3" fillId="0" borderId="2" xfId="721" applyNumberFormat="1" applyFont="1" applyFill="1" applyBorder="1" applyAlignment="1" applyProtection="1">
      <alignment horizontal="center"/>
      <protection hidden="1"/>
    </xf>
    <xf numFmtId="0" fontId="4" fillId="0" borderId="2" xfId="1542" applyFont="1" applyBorder="1" applyAlignment="1"/>
    <xf numFmtId="180" fontId="4" fillId="0" borderId="2" xfId="1542" applyNumberFormat="1" applyFont="1" applyBorder="1" applyAlignment="1"/>
    <xf numFmtId="180" fontId="3" fillId="0" borderId="2" xfId="1542" applyNumberFormat="1" applyFont="1" applyBorder="1" applyAlignment="1">
      <alignment horizontal="center"/>
    </xf>
    <xf numFmtId="0" fontId="3" fillId="0" borderId="2" xfId="1542" applyFont="1" applyFill="1" applyBorder="1" applyAlignment="1"/>
    <xf numFmtId="185" fontId="4" fillId="0" borderId="2" xfId="1542" applyNumberFormat="1" applyFont="1" applyBorder="1" applyAlignment="1">
      <alignment horizontal="center"/>
    </xf>
    <xf numFmtId="180" fontId="4" fillId="0" borderId="2" xfId="1542" applyNumberFormat="1" applyFont="1" applyBorder="1" applyAlignment="1">
      <alignment horizontal="center"/>
    </xf>
    <xf numFmtId="182" fontId="4" fillId="0" borderId="2" xfId="1542" applyNumberFormat="1" applyFont="1" applyBorder="1" applyAlignment="1"/>
    <xf numFmtId="10" fontId="4" fillId="0" borderId="2" xfId="1542" applyNumberFormat="1" applyFont="1" applyBorder="1" applyAlignment="1">
      <alignment horizontal="center"/>
    </xf>
    <xf numFmtId="10" fontId="4" fillId="0" borderId="2" xfId="1542" applyNumberFormat="1" applyFont="1" applyBorder="1" applyAlignment="1"/>
    <xf numFmtId="176" fontId="4" fillId="0" borderId="2" xfId="1542" applyNumberFormat="1" applyFont="1" applyBorder="1" applyAlignment="1"/>
    <xf numFmtId="0" fontId="4" fillId="0" borderId="2" xfId="1542" applyFont="1" applyBorder="1" applyAlignment="1">
      <alignment horizontal="left"/>
    </xf>
    <xf numFmtId="0" fontId="3" fillId="0" borderId="13" xfId="1542" applyFont="1" applyBorder="1" applyAlignment="1"/>
    <xf numFmtId="0" fontId="3" fillId="0" borderId="0" xfId="1542" applyFont="1" applyFill="1" applyBorder="1" applyAlignment="1">
      <alignment horizontal="center"/>
    </xf>
    <xf numFmtId="9" fontId="3" fillId="0" borderId="0" xfId="1542" applyNumberFormat="1" applyFont="1" applyFill="1" applyBorder="1" applyAlignment="1">
      <alignment horizontal="center"/>
    </xf>
    <xf numFmtId="0" fontId="9" fillId="0" borderId="0" xfId="1542" applyFont="1" applyFill="1" applyBorder="1" applyAlignment="1"/>
    <xf numFmtId="9" fontId="9" fillId="0" borderId="0" xfId="1542" applyNumberFormat="1" applyFont="1" applyFill="1" applyBorder="1" applyAlignment="1">
      <alignment horizontal="center"/>
    </xf>
    <xf numFmtId="0" fontId="3" fillId="0" borderId="0" xfId="1542" applyFont="1" applyFill="1" applyBorder="1" applyAlignment="1"/>
    <xf numFmtId="9" fontId="3" fillId="0" borderId="2" xfId="1542" applyNumberFormat="1" applyFont="1" applyFill="1" applyBorder="1" applyAlignment="1">
      <alignment horizontal="center"/>
    </xf>
    <xf numFmtId="177" fontId="9" fillId="0" borderId="2" xfId="1542" applyNumberFormat="1" applyFont="1" applyFill="1" applyBorder="1" applyAlignment="1"/>
    <xf numFmtId="0" fontId="9" fillId="0" borderId="2" xfId="1542" applyNumberFormat="1" applyFont="1" applyFill="1" applyBorder="1" applyAlignment="1">
      <alignment horizontal="center"/>
    </xf>
    <xf numFmtId="9" fontId="9" fillId="0" borderId="2" xfId="1542" applyNumberFormat="1" applyFont="1" applyFill="1" applyBorder="1" applyAlignment="1">
      <alignment horizontal="center"/>
    </xf>
    <xf numFmtId="0" fontId="8" fillId="0" borderId="2" xfId="721" applyFont="1" applyBorder="1" applyAlignment="1" applyProtection="1">
      <alignment horizontal="left"/>
      <protection hidden="1"/>
    </xf>
    <xf numFmtId="178" fontId="8" fillId="0" borderId="2" xfId="721" applyNumberFormat="1" applyFont="1" applyBorder="1" applyAlignment="1" applyProtection="1">
      <alignment horizontal="center"/>
      <protection hidden="1"/>
    </xf>
    <xf numFmtId="0" fontId="8" fillId="0" borderId="2" xfId="721" applyFont="1" applyBorder="1" applyAlignment="1" applyProtection="1">
      <alignment horizontal="center"/>
      <protection hidden="1"/>
    </xf>
    <xf numFmtId="0" fontId="9" fillId="0" borderId="2" xfId="721" applyFont="1" applyBorder="1" applyAlignment="1" applyProtection="1">
      <alignment horizontal="center"/>
      <protection hidden="1"/>
    </xf>
    <xf numFmtId="178" fontId="9" fillId="0" borderId="2" xfId="721" applyNumberFormat="1" applyFont="1" applyBorder="1" applyAlignment="1" applyProtection="1">
      <alignment horizontal="center"/>
      <protection hidden="1"/>
    </xf>
    <xf numFmtId="183" fontId="8" fillId="0" borderId="2" xfId="721" applyNumberFormat="1" applyFont="1" applyBorder="1" applyAlignment="1" applyProtection="1">
      <alignment horizontal="center"/>
      <protection hidden="1"/>
    </xf>
    <xf numFmtId="182" fontId="0" fillId="0" borderId="0" xfId="0" applyNumberFormat="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Font="1" applyAlignment="1">
      <alignment horizontal="center" vertical="center"/>
    </xf>
    <xf numFmtId="177" fontId="0" fillId="0" borderId="0" xfId="0" applyNumberFormat="1" applyAlignment="1">
      <alignment horizontal="center" vertical="center"/>
    </xf>
    <xf numFmtId="0" fontId="0" fillId="0" borderId="0" xfId="0" applyAlignment="1">
      <alignment horizontal="center" vertical="center" wrapText="1"/>
    </xf>
    <xf numFmtId="0" fontId="20" fillId="0" borderId="2" xfId="0" applyFont="1" applyBorder="1" applyAlignment="1">
      <alignment horizontal="center" vertical="center"/>
    </xf>
    <xf numFmtId="177" fontId="19" fillId="19" borderId="2" xfId="0" applyNumberFormat="1" applyFont="1" applyFill="1" applyBorder="1" applyAlignment="1">
      <alignment horizontal="center" vertical="center" wrapText="1"/>
    </xf>
    <xf numFmtId="177" fontId="19" fillId="9" borderId="2" xfId="0" applyNumberFormat="1" applyFont="1" applyFill="1" applyBorder="1" applyAlignment="1">
      <alignment horizontal="center" vertical="center" wrapText="1"/>
    </xf>
    <xf numFmtId="177" fontId="19" fillId="7" borderId="2" xfId="0" applyNumberFormat="1" applyFont="1" applyFill="1" applyBorder="1" applyAlignment="1">
      <alignment horizontal="center" vertical="center" wrapText="1"/>
    </xf>
    <xf numFmtId="177" fontId="19" fillId="6" borderId="2" xfId="0" applyNumberFormat="1" applyFont="1" applyFill="1" applyBorder="1" applyAlignment="1">
      <alignment horizontal="center" vertical="center" wrapText="1"/>
    </xf>
    <xf numFmtId="177" fontId="19" fillId="25" borderId="2" xfId="0" applyNumberFormat="1" applyFont="1" applyFill="1" applyBorder="1" applyAlignment="1">
      <alignment horizontal="center" vertical="center" wrapText="1"/>
    </xf>
    <xf numFmtId="0" fontId="19" fillId="25" borderId="2" xfId="0" applyFont="1" applyFill="1" applyBorder="1" applyAlignment="1">
      <alignment horizontal="center" vertical="center"/>
    </xf>
    <xf numFmtId="40" fontId="19" fillId="25" borderId="2" xfId="0" applyNumberFormat="1" applyFont="1" applyFill="1" applyBorder="1" applyAlignment="1">
      <alignment horizontal="center" vertical="center"/>
    </xf>
    <xf numFmtId="0" fontId="20" fillId="25" borderId="2" xfId="0" applyFont="1" applyFill="1" applyBorder="1" applyAlignment="1">
      <alignment horizontal="center" vertical="center"/>
    </xf>
    <xf numFmtId="177" fontId="20" fillId="25" borderId="2" xfId="0" applyNumberFormat="1" applyFont="1" applyFill="1" applyBorder="1" applyAlignment="1">
      <alignment horizontal="center" vertical="center" wrapText="1"/>
    </xf>
    <xf numFmtId="49" fontId="0" fillId="0" borderId="0" xfId="0" applyNumberFormat="1" applyAlignment="1">
      <alignment horizontal="center" vertical="center"/>
    </xf>
    <xf numFmtId="177" fontId="7" fillId="0" borderId="0" xfId="0" applyNumberFormat="1" applyFont="1" applyAlignment="1">
      <alignment horizontal="center" vertical="center"/>
    </xf>
    <xf numFmtId="49" fontId="7" fillId="0" borderId="0" xfId="0" applyNumberFormat="1" applyFont="1" applyAlignment="1">
      <alignment vertical="center"/>
    </xf>
    <xf numFmtId="49" fontId="9" fillId="0" borderId="26" xfId="0" applyNumberFormat="1" applyFont="1" applyBorder="1" applyAlignment="1">
      <alignment horizontal="center" vertical="center"/>
    </xf>
    <xf numFmtId="49" fontId="4" fillId="0" borderId="26" xfId="480" applyNumberFormat="1" applyFont="1" applyFill="1" applyBorder="1" applyAlignment="1">
      <alignment horizontal="center" vertical="center" wrapText="1"/>
    </xf>
    <xf numFmtId="177" fontId="20" fillId="0" borderId="2" xfId="0" applyNumberFormat="1" applyFont="1" applyBorder="1" applyAlignment="1">
      <alignment horizontal="center" vertical="center" wrapText="1"/>
    </xf>
    <xf numFmtId="177" fontId="8" fillId="25" borderId="2" xfId="480" applyNumberFormat="1" applyFont="1" applyFill="1" applyBorder="1" applyAlignment="1">
      <alignment horizontal="center" vertical="center" wrapText="1"/>
    </xf>
    <xf numFmtId="184" fontId="8" fillId="25" borderId="2" xfId="480" applyNumberFormat="1" applyFont="1" applyFill="1" applyBorder="1" applyAlignment="1">
      <alignment horizontal="center" vertical="center" wrapText="1"/>
    </xf>
    <xf numFmtId="180" fontId="8" fillId="25" borderId="2" xfId="480" applyNumberFormat="1" applyFont="1" applyFill="1" applyBorder="1" applyAlignment="1">
      <alignment horizontal="center" vertical="center" wrapText="1"/>
    </xf>
    <xf numFmtId="182" fontId="9" fillId="0" borderId="2" xfId="0" applyNumberFormat="1" applyFont="1" applyBorder="1" applyAlignment="1">
      <alignment horizontal="center" vertical="center"/>
    </xf>
    <xf numFmtId="182" fontId="8" fillId="25" borderId="2" xfId="480" applyNumberFormat="1" applyFont="1" applyFill="1" applyBorder="1" applyAlignment="1">
      <alignment horizontal="center" vertical="center" wrapText="1"/>
    </xf>
    <xf numFmtId="177" fontId="9" fillId="25" borderId="2" xfId="480" applyNumberFormat="1" applyFont="1" applyFill="1" applyBorder="1" applyAlignment="1">
      <alignment horizontal="center" vertical="center" wrapText="1"/>
    </xf>
    <xf numFmtId="0" fontId="3" fillId="16" borderId="2" xfId="1516" applyFont="1" applyFill="1" applyBorder="1" applyAlignment="1">
      <alignment horizontal="center" vertical="center"/>
    </xf>
    <xf numFmtId="176" fontId="9" fillId="25" borderId="2" xfId="480" applyNumberFormat="1" applyFont="1" applyFill="1" applyBorder="1" applyAlignment="1">
      <alignment horizontal="center" vertical="center" wrapText="1"/>
    </xf>
    <xf numFmtId="0" fontId="4" fillId="0" borderId="2" xfId="1516" applyFont="1" applyBorder="1" applyAlignment="1">
      <alignment horizontal="center" vertical="center"/>
    </xf>
    <xf numFmtId="1" fontId="8" fillId="25" borderId="2" xfId="480" applyNumberFormat="1" applyFont="1" applyFill="1" applyBorder="1" applyAlignment="1">
      <alignment horizontal="center" vertical="center" wrapText="1"/>
    </xf>
    <xf numFmtId="180" fontId="9" fillId="25" borderId="2" xfId="480" applyNumberFormat="1" applyFont="1" applyFill="1" applyBorder="1" applyAlignment="1">
      <alignment horizontal="center" vertical="center" wrapText="1"/>
    </xf>
    <xf numFmtId="0" fontId="9" fillId="25" borderId="2" xfId="480" applyFont="1" applyFill="1" applyBorder="1" applyAlignment="1">
      <alignment horizontal="center" vertical="center" wrapText="1"/>
    </xf>
    <xf numFmtId="1" fontId="9" fillId="25" borderId="2" xfId="48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xf>
    <xf numFmtId="1" fontId="9" fillId="0" borderId="2" xfId="480" applyNumberFormat="1" applyFont="1" applyFill="1" applyBorder="1" applyAlignment="1">
      <alignment horizontal="center" vertical="center" wrapText="1"/>
    </xf>
    <xf numFmtId="0" fontId="9" fillId="0" borderId="2" xfId="480" applyNumberFormat="1" applyFont="1" applyFill="1" applyBorder="1" applyAlignment="1">
      <alignment horizontal="center" vertical="center" wrapText="1"/>
    </xf>
    <xf numFmtId="177" fontId="9" fillId="0" borderId="2" xfId="480" applyNumberFormat="1" applyFont="1" applyFill="1" applyBorder="1" applyAlignment="1">
      <alignment horizontal="center" vertical="center" wrapText="1"/>
    </xf>
    <xf numFmtId="0" fontId="11" fillId="0" borderId="2" xfId="480" applyNumberFormat="1" applyFont="1" applyFill="1" applyBorder="1" applyAlignment="1">
      <alignment horizontal="center" vertical="center" wrapText="1"/>
    </xf>
    <xf numFmtId="0" fontId="0" fillId="0" borderId="12" xfId="0" applyBorder="1" applyAlignment="1">
      <alignment horizontal="center" vertical="center"/>
    </xf>
    <xf numFmtId="0" fontId="27" fillId="0" borderId="0" xfId="0" applyFont="1" applyAlignment="1">
      <alignment horizontal="center" vertical="center"/>
    </xf>
    <xf numFmtId="0" fontId="6" fillId="0" borderId="0" xfId="0" applyFont="1" applyAlignment="1">
      <alignment horizontal="center" vertical="center"/>
    </xf>
    <xf numFmtId="0" fontId="27" fillId="0" borderId="2" xfId="0" applyFont="1" applyBorder="1" applyAlignment="1">
      <alignment horizontal="center" vertical="center"/>
    </xf>
    <xf numFmtId="180" fontId="27" fillId="0" borderId="2" xfId="0" applyNumberFormat="1" applyFont="1" applyBorder="1" applyAlignment="1">
      <alignment horizontal="center" vertical="center"/>
    </xf>
    <xf numFmtId="178" fontId="27" fillId="0" borderId="2" xfId="0" applyNumberFormat="1" applyFont="1" applyBorder="1" applyAlignment="1">
      <alignment horizontal="center" vertical="center"/>
    </xf>
    <xf numFmtId="177" fontId="19" fillId="5" borderId="2" xfId="0" applyNumberFormat="1" applyFont="1" applyFill="1" applyBorder="1" applyAlignment="1">
      <alignment horizontal="center" vertical="center" wrapText="1"/>
    </xf>
    <xf numFmtId="177" fontId="28" fillId="25" borderId="2" xfId="0" applyNumberFormat="1" applyFont="1" applyFill="1" applyBorder="1" applyAlignment="1">
      <alignment horizontal="center" vertical="center" wrapText="1"/>
    </xf>
    <xf numFmtId="177" fontId="19" fillId="0" borderId="2" xfId="0" applyNumberFormat="1" applyFont="1" applyFill="1" applyBorder="1" applyAlignment="1">
      <alignment horizontal="center" vertical="center" wrapText="1"/>
    </xf>
    <xf numFmtId="185" fontId="27" fillId="0" borderId="2" xfId="0" applyNumberFormat="1" applyFont="1" applyBorder="1" applyAlignment="1">
      <alignment horizontal="center" vertical="center"/>
    </xf>
    <xf numFmtId="0" fontId="0" fillId="0" borderId="2" xfId="480" applyFont="1" applyBorder="1" applyAlignment="1">
      <alignment horizontal="center"/>
    </xf>
    <xf numFmtId="177" fontId="11" fillId="24" borderId="2" xfId="480" applyNumberFormat="1" applyFont="1" applyFill="1" applyBorder="1" applyAlignment="1">
      <alignment horizontal="center" vertical="center" wrapText="1"/>
    </xf>
    <xf numFmtId="188" fontId="9" fillId="25" borderId="2" xfId="480" applyNumberFormat="1" applyFont="1" applyFill="1" applyBorder="1" applyAlignment="1">
      <alignment horizontal="center" vertical="center" wrapText="1"/>
    </xf>
    <xf numFmtId="0" fontId="18" fillId="0" borderId="2" xfId="0" applyFont="1" applyBorder="1" applyAlignment="1">
      <alignment horizontal="center" vertical="center"/>
    </xf>
    <xf numFmtId="10" fontId="4" fillId="5" borderId="2" xfId="0" applyNumberFormat="1" applyFont="1" applyFill="1" applyBorder="1" applyAlignment="1">
      <alignment horizontal="center" vertical="center" wrapText="1"/>
    </xf>
    <xf numFmtId="0" fontId="25" fillId="0" borderId="2" xfId="0" applyFont="1" applyBorder="1" applyAlignment="1">
      <alignment horizontal="center" vertical="center"/>
    </xf>
    <xf numFmtId="0" fontId="26" fillId="0" borderId="2" xfId="0" applyFont="1" applyBorder="1" applyAlignment="1">
      <alignment horizontal="center" vertical="center"/>
    </xf>
    <xf numFmtId="0" fontId="18" fillId="0" borderId="26" xfId="480" applyFont="1" applyBorder="1" applyAlignment="1">
      <alignment horizontal="center" vertical="center" wrapText="1"/>
    </xf>
    <xf numFmtId="1" fontId="3" fillId="24" borderId="2" xfId="480" applyNumberFormat="1" applyFont="1" applyFill="1" applyBorder="1" applyAlignment="1">
      <alignment horizontal="center" vertical="center" wrapText="1"/>
    </xf>
    <xf numFmtId="1" fontId="4" fillId="0" borderId="12" xfId="480" applyNumberFormat="1" applyFont="1" applyFill="1" applyBorder="1" applyAlignment="1">
      <alignment vertical="center" wrapText="1"/>
    </xf>
    <xf numFmtId="0" fontId="0" fillId="0" borderId="12" xfId="0" applyBorder="1" applyAlignment="1">
      <alignment vertical="center"/>
    </xf>
    <xf numFmtId="9" fontId="0" fillId="0" borderId="0" xfId="0" applyNumberFormat="1" applyAlignment="1">
      <alignment horizontal="center" vertical="center"/>
    </xf>
    <xf numFmtId="0" fontId="18" fillId="0" borderId="28" xfId="480" applyFont="1" applyBorder="1" applyAlignment="1">
      <alignment horizontal="center" vertical="center" wrapText="1"/>
    </xf>
    <xf numFmtId="0" fontId="0" fillId="0" borderId="2" xfId="0" applyBorder="1" applyAlignment="1">
      <alignment horizontal="center" vertical="center"/>
    </xf>
    <xf numFmtId="0" fontId="18" fillId="0" borderId="27" xfId="480" applyFont="1" applyBorder="1" applyAlignment="1">
      <alignment horizontal="center" vertical="center" wrapText="1"/>
    </xf>
    <xf numFmtId="0" fontId="0" fillId="0" borderId="2" xfId="0" applyFill="1" applyBorder="1" applyAlignment="1">
      <alignment horizontal="center" vertical="center"/>
    </xf>
    <xf numFmtId="0" fontId="18" fillId="0" borderId="27" xfId="480" applyFont="1" applyFill="1" applyBorder="1" applyAlignment="1">
      <alignment horizontal="center" vertical="center" wrapText="1"/>
    </xf>
    <xf numFmtId="0" fontId="0" fillId="0" borderId="0" xfId="0" applyBorder="1" applyAlignment="1">
      <alignment horizontal="center" vertical="center"/>
    </xf>
    <xf numFmtId="1" fontId="4" fillId="0" borderId="13" xfId="480" applyNumberFormat="1" applyFont="1" applyFill="1" applyBorder="1" applyAlignment="1">
      <alignment vertical="center" wrapText="1"/>
    </xf>
    <xf numFmtId="0" fontId="0" fillId="0" borderId="0" xfId="0" applyFill="1" applyBorder="1" applyAlignment="1">
      <alignment horizontal="center" vertical="center"/>
    </xf>
    <xf numFmtId="0" fontId="0" fillId="0" borderId="13" xfId="0" applyBorder="1" applyAlignment="1">
      <alignment vertical="center"/>
    </xf>
    <xf numFmtId="0" fontId="6" fillId="0" borderId="13" xfId="0" applyFont="1" applyBorder="1" applyAlignment="1">
      <alignment horizontal="justify" vertical="center"/>
    </xf>
    <xf numFmtId="0" fontId="23" fillId="0" borderId="35" xfId="0" applyFont="1" applyBorder="1" applyAlignment="1"/>
    <xf numFmtId="189" fontId="29" fillId="0" borderId="0" xfId="0" applyNumberFormat="1" applyFont="1" applyAlignment="1">
      <alignment horizontal="center"/>
    </xf>
    <xf numFmtId="38" fontId="29" fillId="0" borderId="0" xfId="0" applyNumberFormat="1" applyFont="1" applyAlignment="1">
      <alignment horizontal="center"/>
    </xf>
    <xf numFmtId="38" fontId="29" fillId="0" borderId="0" xfId="0" applyNumberFormat="1" applyFont="1" applyFill="1" applyAlignment="1">
      <alignment horizontal="center"/>
    </xf>
    <xf numFmtId="38" fontId="29" fillId="0" borderId="0" xfId="0" applyNumberFormat="1" applyFont="1" applyFill="1" applyBorder="1" applyAlignment="1">
      <alignment horizontal="center"/>
    </xf>
    <xf numFmtId="38" fontId="29" fillId="6" borderId="0" xfId="0" applyNumberFormat="1" applyFont="1" applyFill="1" applyAlignment="1">
      <alignment horizontal="center"/>
    </xf>
    <xf numFmtId="189" fontId="0" fillId="0" borderId="0" xfId="0" applyNumberFormat="1" applyAlignment="1">
      <alignment horizontal="center"/>
    </xf>
    <xf numFmtId="189" fontId="29" fillId="0" borderId="26" xfId="0" applyNumberFormat="1" applyFont="1" applyBorder="1" applyAlignment="1">
      <alignment horizontal="center"/>
    </xf>
    <xf numFmtId="40" fontId="29" fillId="0" borderId="26" xfId="0" applyNumberFormat="1" applyFont="1" applyBorder="1" applyAlignment="1">
      <alignment horizontal="center"/>
    </xf>
    <xf numFmtId="189" fontId="29" fillId="24" borderId="26" xfId="0" applyNumberFormat="1" applyFont="1" applyFill="1" applyBorder="1" applyAlignment="1">
      <alignment horizontal="center" vertical="top" wrapText="1"/>
    </xf>
    <xf numFmtId="38" fontId="29" fillId="0" borderId="28" xfId="0" applyNumberFormat="1" applyFont="1" applyBorder="1" applyAlignment="1">
      <alignment horizontal="center"/>
    </xf>
    <xf numFmtId="189" fontId="29" fillId="24" borderId="28" xfId="0" applyNumberFormat="1" applyFont="1" applyFill="1" applyBorder="1" applyAlignment="1">
      <alignment horizontal="center" vertical="top" wrapText="1"/>
    </xf>
    <xf numFmtId="38" fontId="30" fillId="0" borderId="27" xfId="0" applyNumberFormat="1" applyFont="1" applyBorder="1" applyAlignment="1">
      <alignment horizontal="center"/>
    </xf>
    <xf numFmtId="40" fontId="29" fillId="0" borderId="27" xfId="0" applyNumberFormat="1" applyFont="1" applyBorder="1" applyAlignment="1">
      <alignment horizontal="center"/>
    </xf>
    <xf numFmtId="40" fontId="30" fillId="0" borderId="27" xfId="0" applyNumberFormat="1" applyFont="1" applyBorder="1" applyAlignment="1">
      <alignment horizontal="center"/>
    </xf>
    <xf numFmtId="189" fontId="29" fillId="24" borderId="27" xfId="0" applyNumberFormat="1" applyFont="1" applyFill="1" applyBorder="1" applyAlignment="1">
      <alignment horizontal="center" vertical="top" wrapText="1"/>
    </xf>
    <xf numFmtId="38" fontId="30" fillId="0" borderId="2" xfId="0" applyNumberFormat="1" applyFont="1" applyBorder="1" applyAlignment="1">
      <alignment horizontal="center"/>
    </xf>
    <xf numFmtId="189" fontId="29" fillId="0" borderId="13" xfId="0" applyNumberFormat="1" applyFont="1" applyBorder="1" applyAlignment="1">
      <alignment horizontal="center" vertical="top" wrapText="1"/>
    </xf>
    <xf numFmtId="189" fontId="29" fillId="0" borderId="28" xfId="0" applyNumberFormat="1" applyFont="1" applyFill="1" applyBorder="1" applyAlignment="1">
      <alignment horizontal="center"/>
    </xf>
    <xf numFmtId="49" fontId="29" fillId="0" borderId="35" xfId="0" applyNumberFormat="1" applyFont="1" applyFill="1" applyBorder="1" applyAlignment="1">
      <alignment horizontal="center"/>
    </xf>
    <xf numFmtId="40" fontId="29" fillId="0" borderId="35" xfId="0" applyNumberFormat="1" applyFont="1" applyFill="1" applyBorder="1" applyAlignment="1">
      <alignment horizontal="center"/>
    </xf>
    <xf numFmtId="40" fontId="29" fillId="0" borderId="28" xfId="0" applyNumberFormat="1" applyFont="1" applyFill="1" applyBorder="1" applyAlignment="1">
      <alignment horizontal="center"/>
    </xf>
    <xf numFmtId="176" fontId="29" fillId="0" borderId="28" xfId="0" applyNumberFormat="1" applyFont="1" applyFill="1" applyBorder="1" applyAlignment="1">
      <alignment horizontal="center"/>
    </xf>
    <xf numFmtId="49" fontId="29" fillId="0" borderId="28" xfId="0" applyNumberFormat="1" applyFont="1" applyFill="1" applyBorder="1" applyAlignment="1">
      <alignment horizontal="center"/>
    </xf>
    <xf numFmtId="40" fontId="29" fillId="0" borderId="36" xfId="0" applyNumberFormat="1" applyFont="1" applyFill="1" applyBorder="1" applyAlignment="1">
      <alignment horizontal="center"/>
    </xf>
    <xf numFmtId="38" fontId="29" fillId="0" borderId="28" xfId="0" applyNumberFormat="1" applyFont="1" applyFill="1" applyBorder="1" applyAlignment="1">
      <alignment horizontal="center" wrapText="1"/>
    </xf>
    <xf numFmtId="40" fontId="29" fillId="0" borderId="0" xfId="0" applyNumberFormat="1" applyFont="1" applyFill="1" applyBorder="1" applyAlignment="1">
      <alignment horizontal="center"/>
    </xf>
    <xf numFmtId="38" fontId="29" fillId="0" borderId="28" xfId="0" applyNumberFormat="1" applyFont="1" applyFill="1" applyBorder="1" applyAlignment="1">
      <alignment horizontal="center"/>
    </xf>
    <xf numFmtId="189" fontId="4" fillId="0" borderId="28" xfId="0" applyNumberFormat="1" applyFont="1" applyFill="1" applyBorder="1" applyAlignment="1">
      <alignment horizontal="center"/>
    </xf>
    <xf numFmtId="49" fontId="29" fillId="6" borderId="28" xfId="0" applyNumberFormat="1" applyFont="1" applyFill="1" applyBorder="1" applyAlignment="1">
      <alignment horizontal="center"/>
    </xf>
    <xf numFmtId="40" fontId="29" fillId="6" borderId="35" xfId="0" applyNumberFormat="1" applyFont="1" applyFill="1" applyBorder="1" applyAlignment="1">
      <alignment horizontal="center"/>
    </xf>
    <xf numFmtId="40" fontId="29" fillId="6" borderId="28" xfId="0" applyNumberFormat="1" applyFont="1" applyFill="1" applyBorder="1" applyAlignment="1">
      <alignment horizontal="center"/>
    </xf>
    <xf numFmtId="40" fontId="29" fillId="6" borderId="0" xfId="0" applyNumberFormat="1" applyFont="1" applyFill="1" applyBorder="1" applyAlignment="1">
      <alignment horizontal="center"/>
    </xf>
    <xf numFmtId="40" fontId="29" fillId="6" borderId="36" xfId="0" applyNumberFormat="1" applyFont="1" applyFill="1" applyBorder="1" applyAlignment="1">
      <alignment horizontal="center"/>
    </xf>
    <xf numFmtId="38" fontId="29" fillId="6" borderId="28" xfId="0" applyNumberFormat="1" applyFont="1" applyFill="1" applyBorder="1" applyAlignment="1">
      <alignment horizontal="center"/>
    </xf>
    <xf numFmtId="49" fontId="29" fillId="6" borderId="35" xfId="0" applyNumberFormat="1" applyFont="1" applyFill="1" applyBorder="1" applyAlignment="1">
      <alignment horizontal="center"/>
    </xf>
    <xf numFmtId="38" fontId="4" fillId="0" borderId="28" xfId="0" applyNumberFormat="1" applyFont="1" applyFill="1" applyBorder="1" applyAlignment="1">
      <alignment horizontal="center"/>
    </xf>
    <xf numFmtId="38" fontId="29" fillId="6" borderId="37" xfId="0" applyNumberFormat="1" applyFont="1" applyFill="1" applyBorder="1" applyAlignment="1">
      <alignment horizontal="center"/>
    </xf>
    <xf numFmtId="40" fontId="29" fillId="6" borderId="37" xfId="0" applyNumberFormat="1" applyFont="1" applyFill="1" applyBorder="1" applyAlignment="1">
      <alignment horizontal="center"/>
    </xf>
    <xf numFmtId="189" fontId="29" fillId="18" borderId="26" xfId="0" applyNumberFormat="1" applyFont="1" applyFill="1" applyBorder="1" applyAlignment="1">
      <alignment horizontal="center" vertical="top" wrapText="1"/>
    </xf>
    <xf numFmtId="189" fontId="29" fillId="18" borderId="28" xfId="0" applyNumberFormat="1" applyFont="1" applyFill="1" applyBorder="1" applyAlignment="1">
      <alignment horizontal="center" vertical="top" wrapText="1"/>
    </xf>
    <xf numFmtId="189" fontId="4" fillId="18" borderId="27" xfId="0" applyNumberFormat="1" applyFont="1" applyFill="1" applyBorder="1" applyAlignment="1">
      <alignment horizontal="center" vertical="top" wrapText="1"/>
    </xf>
    <xf numFmtId="189" fontId="29" fillId="0" borderId="2" xfId="0" applyNumberFormat="1" applyFont="1" applyBorder="1" applyAlignment="1">
      <alignment horizontal="center" vertical="top" wrapText="1"/>
    </xf>
    <xf numFmtId="189" fontId="29" fillId="18" borderId="13" xfId="0" applyNumberFormat="1" applyFont="1" applyFill="1" applyBorder="1" applyAlignment="1">
      <alignment horizontal="center" vertical="top" wrapText="1"/>
    </xf>
    <xf numFmtId="40" fontId="29" fillId="18" borderId="35" xfId="0" applyNumberFormat="1" applyFont="1" applyFill="1" applyBorder="1" applyAlignment="1">
      <alignment horizontal="center"/>
    </xf>
    <xf numFmtId="40" fontId="29" fillId="18" borderId="28" xfId="0" applyNumberFormat="1" applyFont="1" applyFill="1" applyBorder="1" applyAlignment="1">
      <alignment horizontal="center"/>
    </xf>
    <xf numFmtId="40" fontId="29" fillId="6" borderId="38" xfId="0" applyNumberFormat="1" applyFont="1" applyFill="1" applyBorder="1" applyAlignment="1">
      <alignment horizontal="center"/>
    </xf>
    <xf numFmtId="189" fontId="29" fillId="0" borderId="32" xfId="0" applyNumberFormat="1" applyFont="1" applyBorder="1" applyAlignment="1">
      <alignment horizontal="center" vertical="top" wrapText="1"/>
    </xf>
    <xf numFmtId="189" fontId="29" fillId="0" borderId="35" xfId="0" applyNumberFormat="1" applyFont="1" applyBorder="1" applyAlignment="1">
      <alignment horizontal="center" vertical="top" wrapText="1"/>
    </xf>
    <xf numFmtId="189" fontId="29" fillId="0" borderId="2" xfId="0" applyNumberFormat="1" applyFont="1" applyBorder="1" applyAlignment="1">
      <alignment horizontal="center" vertical="top"/>
    </xf>
    <xf numFmtId="189" fontId="29" fillId="0" borderId="13" xfId="0" applyNumberFormat="1" applyFont="1" applyBorder="1" applyAlignment="1">
      <alignment horizontal="center" vertical="top"/>
    </xf>
    <xf numFmtId="189" fontId="29" fillId="0" borderId="34" xfId="0" applyNumberFormat="1" applyFont="1" applyBorder="1" applyAlignment="1">
      <alignment horizontal="center" vertical="top" wrapText="1"/>
    </xf>
    <xf numFmtId="15" fontId="29" fillId="0" borderId="28" xfId="0" applyNumberFormat="1" applyFont="1" applyFill="1" applyBorder="1" applyAlignment="1">
      <alignment horizontal="center"/>
    </xf>
    <xf numFmtId="15" fontId="29" fillId="0" borderId="35" xfId="0" applyNumberFormat="1" applyFont="1" applyFill="1" applyBorder="1" applyAlignment="1">
      <alignment horizontal="center"/>
    </xf>
    <xf numFmtId="15" fontId="29" fillId="0" borderId="0" xfId="0" applyNumberFormat="1" applyFont="1" applyFill="1" applyBorder="1" applyAlignment="1">
      <alignment horizontal="center"/>
    </xf>
    <xf numFmtId="15" fontId="29" fillId="6" borderId="28" xfId="0" applyNumberFormat="1" applyFont="1" applyFill="1" applyBorder="1" applyAlignment="1">
      <alignment horizontal="center"/>
    </xf>
    <xf numFmtId="15" fontId="29" fillId="6" borderId="35" xfId="0" applyNumberFormat="1" applyFont="1" applyFill="1" applyBorder="1" applyAlignment="1">
      <alignment horizontal="center"/>
    </xf>
    <xf numFmtId="177" fontId="29" fillId="0" borderId="35" xfId="0" applyNumberFormat="1" applyFont="1" applyFill="1" applyBorder="1" applyAlignment="1">
      <alignment horizontal="center"/>
    </xf>
    <xf numFmtId="15" fontId="29" fillId="6" borderId="37" xfId="0" applyNumberFormat="1" applyFont="1" applyFill="1" applyBorder="1" applyAlignment="1">
      <alignment horizontal="center"/>
    </xf>
    <xf numFmtId="15" fontId="29" fillId="6" borderId="38" xfId="0" applyNumberFormat="1" applyFont="1" applyFill="1" applyBorder="1" applyAlignment="1">
      <alignment horizontal="center"/>
    </xf>
    <xf numFmtId="0" fontId="19" fillId="0" borderId="2" xfId="0" applyFont="1" applyFill="1" applyBorder="1" applyAlignment="1">
      <alignment horizontal="center" vertical="center"/>
    </xf>
    <xf numFmtId="1" fontId="4" fillId="0" borderId="12" xfId="480" applyNumberFormat="1" applyFont="1" applyFill="1" applyBorder="1" applyAlignment="1">
      <alignment horizontal="center" vertical="center" wrapText="1"/>
    </xf>
    <xf numFmtId="177" fontId="19" fillId="26" borderId="2" xfId="0" applyNumberFormat="1" applyFont="1" applyFill="1" applyBorder="1" applyAlignment="1">
      <alignment horizontal="center" vertical="center" wrapText="1"/>
    </xf>
    <xf numFmtId="177" fontId="19" fillId="17" borderId="2" xfId="0" applyNumberFormat="1" applyFont="1" applyFill="1" applyBorder="1" applyAlignment="1">
      <alignment horizontal="center" vertical="center" wrapText="1"/>
    </xf>
    <xf numFmtId="38" fontId="29" fillId="0" borderId="0" xfId="0" applyNumberFormat="1" applyFont="1" applyFill="1" applyAlignment="1"/>
    <xf numFmtId="189" fontId="29" fillId="0" borderId="0" xfId="0" applyNumberFormat="1" applyFont="1" applyFill="1" applyAlignment="1"/>
    <xf numFmtId="38" fontId="31" fillId="0" borderId="0" xfId="0" applyNumberFormat="1" applyFont="1" applyFill="1" applyAlignment="1"/>
    <xf numFmtId="38" fontId="31" fillId="2" borderId="0" xfId="0" applyNumberFormat="1" applyFont="1" applyFill="1" applyBorder="1" applyAlignment="1"/>
    <xf numFmtId="189" fontId="31" fillId="6" borderId="0" xfId="0" applyNumberFormat="1" applyFont="1" applyFill="1" applyAlignment="1"/>
    <xf numFmtId="38" fontId="31" fillId="0" borderId="0" xfId="0" applyNumberFormat="1" applyFont="1" applyFill="1" applyBorder="1" applyAlignment="1"/>
    <xf numFmtId="38" fontId="31" fillId="6" borderId="0" xfId="0" applyNumberFormat="1" applyFont="1" applyFill="1" applyAlignment="1"/>
    <xf numFmtId="49" fontId="29" fillId="0" borderId="0" xfId="0" applyNumberFormat="1" applyFont="1" applyFill="1" applyAlignment="1"/>
    <xf numFmtId="189" fontId="31" fillId="0" borderId="0" xfId="0" applyNumberFormat="1" applyFont="1" applyFill="1" applyBorder="1" applyAlignment="1"/>
    <xf numFmtId="189" fontId="31" fillId="7" borderId="0" xfId="0" applyNumberFormat="1" applyFont="1" applyFill="1" applyAlignment="1"/>
    <xf numFmtId="38" fontId="31" fillId="7" borderId="0" xfId="0" applyNumberFormat="1" applyFont="1" applyFill="1" applyAlignment="1"/>
    <xf numFmtId="38" fontId="31" fillId="7" borderId="0" xfId="0" applyNumberFormat="1" applyFont="1" applyFill="1" applyBorder="1" applyAlignment="1"/>
    <xf numFmtId="38" fontId="31" fillId="0" borderId="0" xfId="0" applyNumberFormat="1" applyFont="1" applyFill="1" applyBorder="1" applyAlignment="1">
      <alignment vertical="center"/>
    </xf>
    <xf numFmtId="189" fontId="31" fillId="0" borderId="0" xfId="0" applyNumberFormat="1" applyFont="1" applyAlignment="1">
      <alignment horizontal="left"/>
    </xf>
    <xf numFmtId="189" fontId="31" fillId="0" borderId="0" xfId="0" applyNumberFormat="1" applyFont="1" applyAlignment="1"/>
    <xf numFmtId="189" fontId="31" fillId="0" borderId="0" xfId="0" applyNumberFormat="1" applyFont="1" applyFill="1" applyAlignment="1"/>
    <xf numFmtId="38" fontId="29" fillId="0" borderId="0" xfId="0" applyNumberFormat="1" applyFont="1" applyAlignment="1">
      <alignment horizontal="left"/>
    </xf>
    <xf numFmtId="38" fontId="29" fillId="0" borderId="0" xfId="0" applyNumberFormat="1" applyFont="1" applyAlignment="1"/>
    <xf numFmtId="40" fontId="29" fillId="0" borderId="0" xfId="0" applyNumberFormat="1" applyFont="1" applyAlignment="1"/>
    <xf numFmtId="38" fontId="29" fillId="0" borderId="31" xfId="0" applyNumberFormat="1" applyFont="1" applyBorder="1" applyAlignment="1">
      <alignment horizontal="left"/>
    </xf>
    <xf numFmtId="40" fontId="29" fillId="0" borderId="31" xfId="0" applyNumberFormat="1" applyFont="1" applyBorder="1" applyAlignment="1"/>
    <xf numFmtId="40" fontId="29" fillId="0" borderId="31" xfId="0" applyNumberFormat="1" applyFont="1" applyBorder="1" applyAlignment="1">
      <alignment horizontal="center"/>
    </xf>
    <xf numFmtId="189" fontId="29" fillId="0" borderId="26" xfId="0" applyNumberFormat="1" applyFont="1" applyBorder="1" applyAlignment="1">
      <alignment horizontal="left"/>
    </xf>
    <xf numFmtId="38" fontId="29" fillId="0" borderId="27" xfId="0" applyNumberFormat="1" applyFont="1" applyBorder="1" applyAlignment="1">
      <alignment horizontal="left"/>
    </xf>
    <xf numFmtId="10" fontId="29" fillId="0" borderId="27" xfId="0" applyNumberFormat="1" applyFont="1" applyBorder="1" applyAlignment="1"/>
    <xf numFmtId="38" fontId="31" fillId="0" borderId="2" xfId="0" applyNumberFormat="1" applyFont="1" applyBorder="1" applyAlignment="1">
      <alignment horizontal="left"/>
    </xf>
    <xf numFmtId="38" fontId="31" fillId="0" borderId="13" xfId="0" applyNumberFormat="1" applyFont="1" applyBorder="1" applyAlignment="1">
      <alignment horizontal="left"/>
    </xf>
    <xf numFmtId="38" fontId="31" fillId="0" borderId="28" xfId="0" applyNumberFormat="1" applyFont="1" applyFill="1" applyBorder="1" applyAlignment="1">
      <alignment horizontal="left"/>
    </xf>
    <xf numFmtId="40" fontId="31" fillId="0" borderId="28" xfId="0" applyNumberFormat="1" applyFont="1" applyFill="1" applyBorder="1" applyAlignment="1"/>
    <xf numFmtId="190" fontId="29" fillId="0" borderId="28" xfId="0" applyNumberFormat="1" applyFont="1" applyFill="1" applyBorder="1" applyAlignment="1">
      <alignment horizontal="right"/>
    </xf>
    <xf numFmtId="177" fontId="31" fillId="0" borderId="28" xfId="0" applyNumberFormat="1" applyFont="1" applyFill="1" applyBorder="1" applyAlignment="1"/>
    <xf numFmtId="38" fontId="3" fillId="2" borderId="28" xfId="0" applyNumberFormat="1" applyFont="1" applyFill="1" applyBorder="1" applyAlignment="1">
      <alignment horizontal="left"/>
    </xf>
    <xf numFmtId="38" fontId="31" fillId="2" borderId="28" xfId="0" applyNumberFormat="1" applyFont="1" applyFill="1" applyBorder="1" applyAlignment="1">
      <alignment horizontal="left"/>
    </xf>
    <xf numFmtId="40" fontId="31" fillId="2" borderId="28" xfId="0" applyNumberFormat="1" applyFont="1" applyFill="1" applyBorder="1" applyAlignment="1"/>
    <xf numFmtId="40" fontId="31" fillId="2" borderId="28" xfId="0" applyNumberFormat="1" applyFont="1" applyFill="1" applyBorder="1" applyAlignment="1">
      <alignment horizontal="right"/>
    </xf>
    <xf numFmtId="38" fontId="31" fillId="0" borderId="28" xfId="0" applyNumberFormat="1" applyFont="1" applyBorder="1" applyAlignment="1">
      <alignment horizontal="left"/>
    </xf>
    <xf numFmtId="40" fontId="31" fillId="0" borderId="28" xfId="0" applyNumberFormat="1" applyFont="1" applyBorder="1" applyAlignment="1"/>
    <xf numFmtId="40" fontId="31" fillId="0" borderId="28" xfId="0" applyNumberFormat="1" applyFont="1" applyBorder="1" applyAlignment="1">
      <alignment horizontal="right"/>
    </xf>
    <xf numFmtId="40" fontId="31" fillId="0" borderId="28" xfId="0" applyNumberFormat="1" applyFont="1" applyFill="1" applyBorder="1" applyAlignment="1">
      <alignment horizontal="right"/>
    </xf>
    <xf numFmtId="38" fontId="3" fillId="0" borderId="28" xfId="0" applyNumberFormat="1" applyFont="1" applyFill="1" applyBorder="1" applyAlignment="1">
      <alignment horizontal="left"/>
    </xf>
    <xf numFmtId="38" fontId="31" fillId="6" borderId="28" xfId="0" applyNumberFormat="1" applyFont="1" applyFill="1" applyBorder="1" applyAlignment="1">
      <alignment horizontal="left"/>
    </xf>
    <xf numFmtId="40" fontId="31" fillId="6" borderId="28" xfId="0" applyNumberFormat="1" applyFont="1" applyFill="1" applyBorder="1" applyAlignment="1"/>
    <xf numFmtId="190" fontId="29" fillId="6" borderId="28" xfId="0" applyNumberFormat="1" applyFont="1" applyFill="1" applyBorder="1" applyAlignment="1">
      <alignment horizontal="right"/>
    </xf>
    <xf numFmtId="177" fontId="31" fillId="6" borderId="28" xfId="0" applyNumberFormat="1" applyFont="1" applyFill="1" applyBorder="1" applyAlignment="1"/>
    <xf numFmtId="40" fontId="29" fillId="0" borderId="28" xfId="0" applyNumberFormat="1" applyFont="1" applyFill="1" applyBorder="1" applyAlignment="1"/>
    <xf numFmtId="40" fontId="29" fillId="0" borderId="28" xfId="0" applyNumberFormat="1" applyFont="1" applyFill="1" applyBorder="1" applyAlignment="1">
      <alignment horizontal="right"/>
    </xf>
    <xf numFmtId="40" fontId="31" fillId="6" borderId="28" xfId="0" applyNumberFormat="1" applyFont="1" applyFill="1" applyBorder="1" applyAlignment="1">
      <alignment horizontal="right"/>
    </xf>
    <xf numFmtId="2" fontId="31" fillId="0" borderId="28" xfId="0" applyNumberFormat="1" applyFont="1" applyFill="1" applyBorder="1" applyAlignment="1"/>
    <xf numFmtId="189" fontId="31" fillId="0" borderId="28" xfId="0" applyNumberFormat="1" applyFont="1" applyFill="1" applyBorder="1" applyAlignment="1"/>
    <xf numFmtId="38" fontId="31" fillId="0" borderId="0" xfId="0" applyNumberFormat="1" applyFont="1" applyFill="1" applyBorder="1" applyAlignment="1">
      <alignment horizontal="left"/>
    </xf>
    <xf numFmtId="40" fontId="31" fillId="0" borderId="35" xfId="0" applyNumberFormat="1" applyFont="1" applyFill="1" applyBorder="1" applyAlignment="1"/>
    <xf numFmtId="38" fontId="31" fillId="6" borderId="0" xfId="0" applyNumberFormat="1" applyFont="1" applyFill="1" applyBorder="1" applyAlignment="1">
      <alignment horizontal="left"/>
    </xf>
    <xf numFmtId="40" fontId="31" fillId="6" borderId="35" xfId="0" applyNumberFormat="1" applyFont="1" applyFill="1" applyBorder="1" applyAlignment="1"/>
    <xf numFmtId="40" fontId="29" fillId="0" borderId="0" xfId="0" applyNumberFormat="1" applyFont="1" applyAlignment="1">
      <alignment horizontal="center"/>
    </xf>
    <xf numFmtId="43" fontId="32" fillId="0" borderId="28" xfId="1549" applyNumberFormat="1" applyFont="1" applyFill="1" applyBorder="1" applyAlignment="1" applyProtection="1"/>
    <xf numFmtId="43" fontId="31" fillId="0" borderId="28" xfId="6" applyFont="1" applyFill="1" applyBorder="1" applyAlignment="1"/>
    <xf numFmtId="43" fontId="31" fillId="2" borderId="28" xfId="6" applyFont="1" applyFill="1" applyBorder="1" applyAlignment="1">
      <alignment horizontal="right"/>
    </xf>
    <xf numFmtId="43" fontId="31" fillId="0" borderId="28" xfId="6" applyFont="1" applyBorder="1" applyAlignment="1">
      <alignment horizontal="right"/>
    </xf>
    <xf numFmtId="43" fontId="31" fillId="0" borderId="28" xfId="6" applyFont="1" applyFill="1" applyBorder="1" applyAlignment="1">
      <alignment horizontal="right"/>
    </xf>
    <xf numFmtId="43" fontId="31" fillId="6" borderId="28" xfId="6" applyFont="1" applyFill="1" applyBorder="1" applyAlignment="1"/>
    <xf numFmtId="43" fontId="29" fillId="0" borderId="28" xfId="6" applyFont="1" applyFill="1" applyBorder="1" applyAlignment="1"/>
    <xf numFmtId="43" fontId="29" fillId="0" borderId="28" xfId="6" applyFont="1" applyFill="1" applyBorder="1" applyAlignment="1">
      <alignment horizontal="right"/>
    </xf>
    <xf numFmtId="43" fontId="31" fillId="6" borderId="28" xfId="6" applyFont="1" applyFill="1" applyBorder="1" applyAlignment="1">
      <alignment horizontal="right"/>
    </xf>
    <xf numFmtId="40" fontId="29" fillId="0" borderId="0" xfId="0" applyNumberFormat="1" applyFont="1" applyFill="1" applyAlignment="1">
      <alignment horizontal="center"/>
    </xf>
    <xf numFmtId="40" fontId="29" fillId="6" borderId="0" xfId="0" applyNumberFormat="1" applyFont="1" applyFill="1" applyAlignment="1">
      <alignment horizontal="center"/>
    </xf>
    <xf numFmtId="38" fontId="29" fillId="0" borderId="0" xfId="0" applyNumberFormat="1" applyFont="1" applyAlignment="1">
      <alignment horizontal="right"/>
    </xf>
    <xf numFmtId="40" fontId="29" fillId="0" borderId="31" xfId="0" applyNumberFormat="1" applyFont="1" applyFill="1" applyBorder="1" applyAlignment="1">
      <alignment horizontal="center"/>
    </xf>
    <xf numFmtId="40" fontId="29" fillId="6" borderId="31" xfId="0" applyNumberFormat="1" applyFont="1" applyFill="1" applyBorder="1" applyAlignment="1">
      <alignment horizontal="center"/>
    </xf>
    <xf numFmtId="38" fontId="29" fillId="0" borderId="31" xfId="0" applyNumberFormat="1" applyFont="1" applyBorder="1" applyAlignment="1"/>
    <xf numFmtId="189" fontId="4" fillId="6" borderId="26" xfId="0" applyNumberFormat="1" applyFont="1" applyFill="1" applyBorder="1" applyAlignment="1">
      <alignment horizontal="center" vertical="top" wrapText="1"/>
    </xf>
    <xf numFmtId="189" fontId="29" fillId="6" borderId="27" xfId="0" applyNumberFormat="1" applyFont="1" applyFill="1" applyBorder="1" applyAlignment="1">
      <alignment horizontal="center" vertical="top" wrapText="1"/>
    </xf>
    <xf numFmtId="189" fontId="29" fillId="0" borderId="11" xfId="0" applyNumberFormat="1" applyFont="1" applyBorder="1" applyAlignment="1">
      <alignment horizontal="center" vertical="center"/>
    </xf>
    <xf numFmtId="189" fontId="29" fillId="0" borderId="2" xfId="0" applyNumberFormat="1" applyFont="1" applyBorder="1" applyAlignment="1">
      <alignment horizontal="center" vertical="center"/>
    </xf>
    <xf numFmtId="189" fontId="29" fillId="6" borderId="13" xfId="0" applyNumberFormat="1" applyFont="1" applyFill="1" applyBorder="1" applyAlignment="1">
      <alignment horizontal="center" vertical="top" wrapText="1"/>
    </xf>
    <xf numFmtId="15" fontId="31" fillId="0" borderId="2" xfId="0" applyNumberFormat="1" applyFont="1" applyBorder="1" applyAlignment="1">
      <alignment horizontal="right"/>
    </xf>
    <xf numFmtId="49" fontId="31" fillId="0" borderId="13" xfId="0" applyNumberFormat="1" applyFont="1" applyBorder="1" applyAlignment="1">
      <alignment horizontal="center"/>
    </xf>
    <xf numFmtId="189" fontId="29" fillId="0" borderId="36" xfId="0" applyNumberFormat="1" applyFont="1" applyFill="1" applyBorder="1" applyAlignment="1">
      <alignment horizontal="right"/>
    </xf>
    <xf numFmtId="49" fontId="31" fillId="0" borderId="28" xfId="0" applyNumberFormat="1" applyFont="1" applyFill="1" applyBorder="1" applyAlignment="1">
      <alignment horizontal="center"/>
    </xf>
    <xf numFmtId="15" fontId="31" fillId="0" borderId="28" xfId="0" applyNumberFormat="1" applyFont="1" applyFill="1" applyBorder="1" applyAlignment="1">
      <alignment horizontal="right"/>
    </xf>
    <xf numFmtId="15" fontId="31" fillId="2" borderId="36" xfId="0" applyNumberFormat="1" applyFont="1" applyFill="1" applyBorder="1" applyAlignment="1">
      <alignment horizontal="center"/>
    </xf>
    <xf numFmtId="38" fontId="31" fillId="2" borderId="28" xfId="0" applyNumberFormat="1" applyFont="1" applyFill="1" applyBorder="1" applyAlignment="1">
      <alignment horizontal="center"/>
    </xf>
    <xf numFmtId="15" fontId="31" fillId="2" borderId="28" xfId="0" applyNumberFormat="1" applyFont="1" applyFill="1" applyBorder="1" applyAlignment="1">
      <alignment horizontal="right"/>
    </xf>
    <xf numFmtId="15" fontId="31" fillId="0" borderId="36" xfId="0" applyNumberFormat="1" applyFont="1" applyBorder="1" applyAlignment="1">
      <alignment horizontal="right"/>
    </xf>
    <xf numFmtId="49" fontId="31" fillId="0" borderId="28" xfId="0" applyNumberFormat="1" applyFont="1" applyBorder="1" applyAlignment="1">
      <alignment horizontal="center"/>
    </xf>
    <xf numFmtId="15" fontId="31" fillId="0" borderId="28" xfId="0" applyNumberFormat="1" applyFont="1" applyBorder="1" applyAlignment="1">
      <alignment horizontal="right"/>
    </xf>
    <xf numFmtId="189" fontId="29" fillId="0" borderId="0" xfId="0" applyNumberFormat="1" applyFont="1" applyFill="1" applyBorder="1" applyAlignment="1">
      <alignment horizontal="right"/>
    </xf>
    <xf numFmtId="189" fontId="31" fillId="0" borderId="28" xfId="0" applyNumberFormat="1" applyFont="1" applyFill="1" applyBorder="1" applyAlignment="1">
      <alignment horizontal="center"/>
    </xf>
    <xf numFmtId="189" fontId="31" fillId="0" borderId="28" xfId="0" applyNumberFormat="1" applyFont="1" applyFill="1" applyBorder="1" applyAlignment="1">
      <alignment horizontal="right"/>
    </xf>
    <xf numFmtId="15" fontId="31" fillId="0" borderId="36" xfId="0" applyNumberFormat="1" applyFont="1" applyFill="1" applyBorder="1" applyAlignment="1">
      <alignment horizontal="right"/>
    </xf>
    <xf numFmtId="189" fontId="29" fillId="6" borderId="36" xfId="0" applyNumberFormat="1" applyFont="1" applyFill="1" applyBorder="1" applyAlignment="1">
      <alignment horizontal="right"/>
    </xf>
    <xf numFmtId="49" fontId="31" fillId="6" borderId="28" xfId="0" applyNumberFormat="1" applyFont="1" applyFill="1" applyBorder="1" applyAlignment="1">
      <alignment horizontal="center"/>
    </xf>
    <xf numFmtId="15" fontId="31" fillId="6" borderId="28" xfId="0" applyNumberFormat="1" applyFont="1" applyFill="1" applyBorder="1" applyAlignment="1">
      <alignment horizontal="right"/>
    </xf>
    <xf numFmtId="14" fontId="31" fillId="0" borderId="36" xfId="0" applyNumberFormat="1" applyFont="1" applyFill="1" applyBorder="1" applyAlignment="1"/>
    <xf numFmtId="40" fontId="31" fillId="0" borderId="28" xfId="0" applyNumberFormat="1" applyFont="1" applyFill="1" applyBorder="1" applyAlignment="1">
      <alignment horizontal="center"/>
    </xf>
    <xf numFmtId="15" fontId="29" fillId="0" borderId="28" xfId="0" applyNumberFormat="1" applyFont="1" applyFill="1" applyBorder="1" applyAlignment="1">
      <alignment horizontal="right"/>
    </xf>
    <xf numFmtId="15" fontId="31" fillId="0" borderId="0" xfId="0" applyNumberFormat="1" applyFont="1" applyFill="1" applyBorder="1" applyAlignment="1">
      <alignment horizontal="right"/>
    </xf>
    <xf numFmtId="15" fontId="31" fillId="2" borderId="36" xfId="0" applyNumberFormat="1" applyFont="1" applyFill="1" applyBorder="1" applyAlignment="1">
      <alignment horizontal="right"/>
    </xf>
    <xf numFmtId="49" fontId="31" fillId="2" borderId="28" xfId="0" applyNumberFormat="1" applyFont="1" applyFill="1" applyBorder="1" applyAlignment="1">
      <alignment horizontal="center"/>
    </xf>
    <xf numFmtId="189" fontId="31" fillId="2" borderId="28" xfId="0" applyNumberFormat="1" applyFont="1" applyFill="1" applyBorder="1" applyAlignment="1"/>
    <xf numFmtId="15" fontId="31" fillId="6" borderId="36" xfId="0" applyNumberFormat="1" applyFont="1" applyFill="1" applyBorder="1" applyAlignment="1">
      <alignment horizontal="right"/>
    </xf>
    <xf numFmtId="189" fontId="31" fillId="6" borderId="28" xfId="0" applyNumberFormat="1" applyFont="1" applyFill="1" applyBorder="1" applyAlignment="1"/>
    <xf numFmtId="15" fontId="31" fillId="0" borderId="36" xfId="0" applyNumberFormat="1" applyFont="1" applyFill="1" applyBorder="1" applyAlignment="1">
      <alignment horizontal="center"/>
    </xf>
    <xf numFmtId="43" fontId="31" fillId="0" borderId="35" xfId="6" applyNumberFormat="1" applyFont="1" applyFill="1" applyBorder="1" applyAlignment="1">
      <alignment vertical="center"/>
    </xf>
    <xf numFmtId="40" fontId="31" fillId="0" borderId="35" xfId="0" applyNumberFormat="1" applyFont="1" applyFill="1" applyBorder="1" applyAlignment="1">
      <alignment horizontal="right"/>
    </xf>
    <xf numFmtId="15" fontId="31" fillId="0" borderId="35" xfId="0" applyNumberFormat="1" applyFont="1" applyFill="1" applyBorder="1" applyAlignment="1">
      <alignment horizontal="right"/>
    </xf>
    <xf numFmtId="49" fontId="31" fillId="0" borderId="35" xfId="0" applyNumberFormat="1" applyFont="1" applyFill="1" applyBorder="1" applyAlignment="1">
      <alignment horizontal="center"/>
    </xf>
    <xf numFmtId="43" fontId="31" fillId="6" borderId="35" xfId="6" applyNumberFormat="1" applyFont="1" applyFill="1" applyBorder="1" applyAlignment="1">
      <alignment vertical="center"/>
    </xf>
    <xf numFmtId="0" fontId="31" fillId="6" borderId="28" xfId="0" applyNumberFormat="1" applyFont="1" applyFill="1" applyBorder="1" applyAlignment="1">
      <alignment horizontal="right"/>
    </xf>
    <xf numFmtId="40" fontId="31" fillId="6" borderId="35" xfId="0" applyNumberFormat="1" applyFont="1" applyFill="1" applyBorder="1" applyAlignment="1">
      <alignment horizontal="right"/>
    </xf>
    <xf numFmtId="15" fontId="31" fillId="6" borderId="0" xfId="0" applyNumberFormat="1" applyFont="1" applyFill="1" applyBorder="1" applyAlignment="1">
      <alignment horizontal="right"/>
    </xf>
    <xf numFmtId="49" fontId="31" fillId="6" borderId="35" xfId="0" applyNumberFormat="1" applyFont="1" applyFill="1" applyBorder="1" applyAlignment="1">
      <alignment horizontal="center"/>
    </xf>
    <xf numFmtId="189" fontId="3" fillId="0" borderId="0" xfId="0" applyNumberFormat="1" applyFont="1" applyFill="1" applyAlignment="1"/>
    <xf numFmtId="182" fontId="31" fillId="0" borderId="28" xfId="0" applyNumberFormat="1" applyFont="1" applyFill="1" applyBorder="1" applyAlignment="1">
      <alignment horizontal="center"/>
    </xf>
    <xf numFmtId="38" fontId="3" fillId="0" borderId="0" xfId="0" applyNumberFormat="1" applyFont="1" applyFill="1" applyAlignment="1"/>
    <xf numFmtId="189" fontId="31" fillId="18" borderId="0" xfId="0" applyNumberFormat="1" applyFont="1" applyFill="1" applyAlignment="1"/>
    <xf numFmtId="38" fontId="31" fillId="18" borderId="0" xfId="0" applyNumberFormat="1" applyFont="1" applyFill="1" applyAlignment="1"/>
    <xf numFmtId="38" fontId="3" fillId="6" borderId="0" xfId="0" applyNumberFormat="1" applyFont="1" applyFill="1" applyAlignment="1"/>
    <xf numFmtId="189" fontId="3" fillId="0" borderId="0" xfId="0" applyNumberFormat="1" applyFont="1" applyFill="1" applyAlignment="1">
      <alignment wrapText="1"/>
    </xf>
    <xf numFmtId="38" fontId="4" fillId="0" borderId="0" xfId="0" applyNumberFormat="1" applyFont="1" applyFill="1" applyAlignment="1"/>
    <xf numFmtId="189" fontId="3" fillId="6" borderId="0" xfId="0" applyNumberFormat="1" applyFont="1" applyFill="1" applyAlignment="1"/>
    <xf numFmtId="191" fontId="31" fillId="0" borderId="28" xfId="0" applyNumberFormat="1" applyFont="1" applyFill="1" applyBorder="1" applyAlignment="1"/>
    <xf numFmtId="192" fontId="31" fillId="0" borderId="28" xfId="0" applyNumberFormat="1" applyFont="1" applyFill="1" applyBorder="1" applyAlignment="1"/>
    <xf numFmtId="38" fontId="3" fillId="6" borderId="28" xfId="0" applyNumberFormat="1" applyFont="1" applyFill="1" applyBorder="1" applyAlignment="1">
      <alignment horizontal="left"/>
    </xf>
    <xf numFmtId="38" fontId="29" fillId="0" borderId="37" xfId="0" applyNumberFormat="1" applyFont="1" applyBorder="1" applyAlignment="1">
      <alignment horizontal="left"/>
    </xf>
    <xf numFmtId="40" fontId="29" fillId="0" borderId="37" xfId="0" applyNumberFormat="1" applyFont="1" applyBorder="1" applyAlignment="1"/>
    <xf numFmtId="40" fontId="29" fillId="0" borderId="37" xfId="0" applyNumberFormat="1" applyFont="1" applyBorder="1" applyAlignment="1">
      <alignment horizontal="right"/>
    </xf>
    <xf numFmtId="38" fontId="29" fillId="0" borderId="0" xfId="0" applyNumberFormat="1" applyFont="1" applyFill="1" applyBorder="1" applyAlignment="1">
      <alignment horizontal="left"/>
    </xf>
    <xf numFmtId="40" fontId="29" fillId="0" borderId="0" xfId="0" applyNumberFormat="1" applyFont="1" applyFill="1" applyBorder="1" applyAlignment="1"/>
    <xf numFmtId="40" fontId="29" fillId="0" borderId="0" xfId="0" applyNumberFormat="1" applyFont="1" applyFill="1" applyBorder="1" applyAlignment="1">
      <alignment horizontal="right"/>
    </xf>
    <xf numFmtId="189" fontId="29" fillId="0" borderId="0" xfId="485" applyNumberFormat="1" applyFont="1" applyBorder="1" applyAlignment="1">
      <alignment horizontal="left"/>
    </xf>
    <xf numFmtId="189" fontId="31" fillId="11" borderId="0" xfId="485" applyNumberFormat="1" applyFont="1" applyFill="1" applyBorder="1"/>
    <xf numFmtId="193" fontId="31" fillId="0" borderId="0" xfId="485" applyNumberFormat="1" applyFont="1" applyBorder="1"/>
    <xf numFmtId="189" fontId="31" fillId="0" borderId="0" xfId="485" applyNumberFormat="1" applyFont="1" applyBorder="1"/>
    <xf numFmtId="177" fontId="29" fillId="0" borderId="0" xfId="0" applyNumberFormat="1" applyFont="1" applyAlignment="1"/>
    <xf numFmtId="49" fontId="29" fillId="0" borderId="0" xfId="0" applyNumberFormat="1" applyFont="1" applyAlignment="1"/>
    <xf numFmtId="38" fontId="31" fillId="0" borderId="0" xfId="0" applyNumberFormat="1" applyFont="1" applyBorder="1" applyAlignment="1">
      <alignment horizontal="left"/>
    </xf>
    <xf numFmtId="40" fontId="31" fillId="0" borderId="0" xfId="0" applyNumberFormat="1" applyFont="1" applyBorder="1" applyAlignment="1"/>
    <xf numFmtId="40" fontId="31" fillId="0" borderId="0" xfId="0" applyNumberFormat="1" applyFont="1" applyBorder="1" applyAlignment="1">
      <alignment horizontal="right"/>
    </xf>
    <xf numFmtId="38" fontId="31" fillId="0" borderId="0" xfId="0" applyNumberFormat="1" applyFont="1" applyBorder="1" applyAlignment="1"/>
    <xf numFmtId="40" fontId="31" fillId="0" borderId="0" xfId="0" applyNumberFormat="1" applyFont="1" applyFill="1" applyBorder="1" applyAlignment="1"/>
    <xf numFmtId="40" fontId="31" fillId="0" borderId="0" xfId="0" applyNumberFormat="1" applyFont="1" applyFill="1" applyBorder="1" applyAlignment="1">
      <alignment horizontal="right"/>
    </xf>
    <xf numFmtId="190" fontId="29" fillId="0" borderId="0" xfId="0" applyNumberFormat="1" applyFont="1" applyBorder="1" applyAlignment="1"/>
    <xf numFmtId="9" fontId="29" fillId="0" borderId="0" xfId="0" applyNumberFormat="1" applyFont="1" applyBorder="1" applyAlignment="1">
      <alignment horizontal="right"/>
    </xf>
    <xf numFmtId="189" fontId="31" fillId="0" borderId="0" xfId="0" applyNumberFormat="1" applyFont="1" applyFill="1" applyAlignment="1">
      <alignment horizontal="left"/>
    </xf>
    <xf numFmtId="190" fontId="29" fillId="0" borderId="0" xfId="0" applyNumberFormat="1" applyFont="1" applyFill="1" applyAlignment="1">
      <alignment horizontal="right"/>
    </xf>
    <xf numFmtId="190" fontId="29" fillId="0" borderId="0" xfId="0" applyNumberFormat="1" applyFont="1" applyFill="1" applyBorder="1" applyAlignment="1">
      <alignment horizontal="right"/>
    </xf>
    <xf numFmtId="38" fontId="31" fillId="7" borderId="0" xfId="0" applyNumberFormat="1" applyFont="1" applyFill="1" applyBorder="1" applyAlignment="1">
      <alignment horizontal="left"/>
    </xf>
    <xf numFmtId="40" fontId="31" fillId="7" borderId="28" xfId="0" applyNumberFormat="1" applyFont="1" applyFill="1" applyBorder="1" applyAlignment="1"/>
    <xf numFmtId="40" fontId="31" fillId="7" borderId="35" xfId="0" applyNumberFormat="1" applyFont="1" applyFill="1" applyBorder="1" applyAlignment="1"/>
    <xf numFmtId="190" fontId="29" fillId="7" borderId="28" xfId="0" applyNumberFormat="1" applyFont="1" applyFill="1" applyBorder="1" applyAlignment="1">
      <alignment horizontal="right"/>
    </xf>
    <xf numFmtId="177" fontId="31" fillId="7" borderId="28" xfId="0" applyNumberFormat="1" applyFont="1" applyFill="1" applyBorder="1" applyAlignment="1"/>
    <xf numFmtId="38" fontId="31" fillId="7" borderId="28" xfId="0" applyNumberFormat="1" applyFont="1" applyFill="1" applyBorder="1" applyAlignment="1">
      <alignment horizontal="left"/>
    </xf>
    <xf numFmtId="40" fontId="31" fillId="7" borderId="28" xfId="0" applyNumberFormat="1" applyFont="1" applyFill="1" applyBorder="1" applyAlignment="1">
      <alignment horizontal="right"/>
    </xf>
    <xf numFmtId="190" fontId="29" fillId="7" borderId="35" xfId="0" applyNumberFormat="1" applyFont="1" applyFill="1" applyBorder="1" applyAlignment="1">
      <alignment horizontal="right"/>
    </xf>
    <xf numFmtId="40" fontId="29" fillId="7" borderId="28" xfId="0" applyNumberFormat="1" applyFont="1" applyFill="1" applyBorder="1" applyAlignment="1">
      <alignment horizontal="right"/>
    </xf>
    <xf numFmtId="40" fontId="31" fillId="7" borderId="36" xfId="0" applyNumberFormat="1" applyFont="1" applyFill="1" applyBorder="1" applyAlignment="1"/>
    <xf numFmtId="40" fontId="31" fillId="7" borderId="0" xfId="0" applyNumberFormat="1" applyFont="1" applyFill="1" applyBorder="1" applyAlignment="1"/>
    <xf numFmtId="189" fontId="31" fillId="7" borderId="0" xfId="0" applyNumberFormat="1" applyFont="1" applyFill="1" applyAlignment="1">
      <alignment horizontal="left"/>
    </xf>
    <xf numFmtId="40" fontId="31" fillId="7" borderId="35" xfId="0" applyNumberFormat="1" applyFont="1" applyFill="1" applyBorder="1" applyAlignment="1">
      <alignment horizontal="right"/>
    </xf>
    <xf numFmtId="38" fontId="31" fillId="7" borderId="36" xfId="0" applyNumberFormat="1" applyFont="1" applyFill="1" applyBorder="1" applyAlignment="1">
      <alignment horizontal="left"/>
    </xf>
    <xf numFmtId="38" fontId="31" fillId="7" borderId="27" xfId="0" applyNumberFormat="1" applyFont="1" applyFill="1" applyBorder="1" applyAlignment="1">
      <alignment horizontal="left"/>
    </xf>
    <xf numFmtId="40" fontId="31" fillId="7" borderId="31" xfId="0" applyNumberFormat="1" applyFont="1" applyFill="1" applyBorder="1" applyAlignment="1"/>
    <xf numFmtId="40" fontId="31" fillId="7" borderId="27" xfId="0" applyNumberFormat="1" applyFont="1" applyFill="1" applyBorder="1" applyAlignment="1"/>
    <xf numFmtId="40" fontId="31" fillId="7" borderId="33" xfId="0" applyNumberFormat="1" applyFont="1" applyFill="1" applyBorder="1" applyAlignment="1"/>
    <xf numFmtId="40" fontId="31" fillId="7" borderId="31" xfId="0" applyNumberFormat="1" applyFont="1" applyFill="1" applyBorder="1" applyAlignment="1">
      <alignment horizontal="right"/>
    </xf>
    <xf numFmtId="189" fontId="31" fillId="0" borderId="0" xfId="0" applyNumberFormat="1" applyFont="1" applyBorder="1" applyAlignment="1">
      <alignment horizontal="left"/>
    </xf>
    <xf numFmtId="40" fontId="29" fillId="0" borderId="0" xfId="0" applyNumberFormat="1" applyFont="1" applyBorder="1" applyAlignment="1">
      <alignment horizontal="right"/>
    </xf>
    <xf numFmtId="190" fontId="29" fillId="0" borderId="0" xfId="0" applyNumberFormat="1" applyFont="1" applyAlignment="1"/>
    <xf numFmtId="189" fontId="31" fillId="0" borderId="0" xfId="0" applyNumberFormat="1" applyFont="1" applyBorder="1" applyAlignment="1"/>
    <xf numFmtId="49" fontId="29" fillId="2" borderId="0" xfId="0" applyNumberFormat="1" applyFont="1" applyFill="1" applyBorder="1" applyAlignment="1">
      <alignment horizontal="left"/>
    </xf>
    <xf numFmtId="189" fontId="31" fillId="2" borderId="0" xfId="0" applyNumberFormat="1" applyFont="1" applyFill="1" applyBorder="1" applyAlignment="1"/>
    <xf numFmtId="40" fontId="31" fillId="0" borderId="0" xfId="0" applyNumberFormat="1" applyFont="1" applyFill="1" applyBorder="1" applyAlignment="1">
      <alignment horizontal="center" vertical="center"/>
    </xf>
    <xf numFmtId="40" fontId="31" fillId="0" borderId="0" xfId="0" applyNumberFormat="1" applyFont="1" applyFill="1" applyBorder="1" applyAlignment="1">
      <alignment vertical="center"/>
    </xf>
    <xf numFmtId="49" fontId="29" fillId="0" borderId="0" xfId="0" applyNumberFormat="1" applyFont="1" applyFill="1" applyBorder="1" applyAlignment="1">
      <alignment horizontal="left"/>
    </xf>
    <xf numFmtId="40" fontId="29" fillId="24" borderId="37" xfId="0" applyNumberFormat="1" applyFont="1" applyFill="1" applyBorder="1" applyAlignment="1">
      <alignment horizontal="right"/>
    </xf>
    <xf numFmtId="43" fontId="29" fillId="0" borderId="38" xfId="6" applyFont="1" applyBorder="1" applyAlignment="1">
      <alignment horizontal="right"/>
    </xf>
    <xf numFmtId="40" fontId="29" fillId="0" borderId="38" xfId="0" applyNumberFormat="1" applyFont="1" applyBorder="1" applyAlignment="1">
      <alignment horizontal="right"/>
    </xf>
    <xf numFmtId="189" fontId="31" fillId="27" borderId="0" xfId="485" applyNumberFormat="1" applyFont="1" applyFill="1" applyBorder="1"/>
    <xf numFmtId="49" fontId="29" fillId="0" borderId="0" xfId="0" applyNumberFormat="1" applyFont="1" applyBorder="1" applyAlignment="1"/>
    <xf numFmtId="40" fontId="31" fillId="0" borderId="35" xfId="0" applyNumberFormat="1" applyFont="1" applyBorder="1" applyAlignment="1"/>
    <xf numFmtId="190" fontId="31" fillId="0" borderId="0" xfId="0" applyNumberFormat="1" applyFont="1" applyAlignment="1">
      <alignment horizontal="right" vertical="center"/>
    </xf>
    <xf numFmtId="9" fontId="31" fillId="0" borderId="0" xfId="0" applyNumberFormat="1" applyFont="1" applyAlignment="1">
      <alignment horizontal="right"/>
    </xf>
    <xf numFmtId="190" fontId="31" fillId="0" borderId="0" xfId="0" applyNumberFormat="1" applyFont="1" applyFill="1" applyAlignment="1"/>
    <xf numFmtId="9" fontId="31" fillId="0" borderId="35" xfId="0" applyNumberFormat="1" applyFont="1" applyFill="1" applyBorder="1" applyAlignment="1">
      <alignment horizontal="right"/>
    </xf>
    <xf numFmtId="189" fontId="31" fillId="0" borderId="35" xfId="0" applyNumberFormat="1" applyFont="1" applyFill="1" applyBorder="1" applyAlignment="1"/>
    <xf numFmtId="9" fontId="31" fillId="0" borderId="0" xfId="0" applyNumberFormat="1" applyFont="1" applyFill="1" applyBorder="1" applyAlignment="1">
      <alignment horizontal="right"/>
    </xf>
    <xf numFmtId="194" fontId="31" fillId="0" borderId="35" xfId="0" applyNumberFormat="1" applyFont="1" applyFill="1" applyBorder="1" applyAlignment="1"/>
    <xf numFmtId="189" fontId="31" fillId="7" borderId="0" xfId="0" applyNumberFormat="1" applyFont="1" applyFill="1" applyBorder="1" applyAlignment="1"/>
    <xf numFmtId="40" fontId="29" fillId="7" borderId="28" xfId="0" applyNumberFormat="1" applyFont="1" applyFill="1" applyBorder="1" applyAlignment="1"/>
    <xf numFmtId="9" fontId="31" fillId="7" borderId="35" xfId="0" applyNumberFormat="1" applyFont="1" applyFill="1" applyBorder="1" applyAlignment="1">
      <alignment horizontal="right"/>
    </xf>
    <xf numFmtId="40" fontId="29" fillId="7" borderId="35" xfId="0" applyNumberFormat="1" applyFont="1" applyFill="1" applyBorder="1" applyAlignment="1">
      <alignment horizontal="right"/>
    </xf>
    <xf numFmtId="40" fontId="29" fillId="7" borderId="35" xfId="0" applyNumberFormat="1" applyFont="1" applyFill="1" applyBorder="1" applyAlignment="1"/>
    <xf numFmtId="40" fontId="31" fillId="7" borderId="36" xfId="0" applyNumberFormat="1" applyFont="1" applyFill="1" applyBorder="1" applyAlignment="1">
      <alignment horizontal="right"/>
    </xf>
    <xf numFmtId="40" fontId="31" fillId="7" borderId="34" xfId="0" applyNumberFormat="1" applyFont="1" applyFill="1" applyBorder="1" applyAlignment="1">
      <alignment horizontal="right"/>
    </xf>
    <xf numFmtId="40" fontId="31" fillId="7" borderId="34" xfId="0" applyNumberFormat="1" applyFont="1" applyFill="1" applyBorder="1" applyAlignment="1"/>
    <xf numFmtId="9" fontId="31" fillId="0" borderId="35" xfId="0" applyNumberFormat="1" applyFont="1" applyBorder="1" applyAlignment="1">
      <alignment horizontal="right"/>
    </xf>
    <xf numFmtId="9" fontId="31" fillId="0" borderId="0" xfId="0" applyNumberFormat="1" applyFont="1" applyBorder="1" applyAlignment="1">
      <alignment horizontal="right"/>
    </xf>
    <xf numFmtId="40" fontId="31" fillId="0" borderId="0" xfId="0" applyNumberFormat="1" applyFont="1" applyFill="1" applyBorder="1" applyAlignment="1">
      <alignment horizontal="right" vertical="center"/>
    </xf>
    <xf numFmtId="40" fontId="31" fillId="0" borderId="35" xfId="0" applyNumberFormat="1" applyFont="1" applyFill="1" applyBorder="1" applyAlignment="1">
      <alignment horizontal="right" vertical="center"/>
    </xf>
    <xf numFmtId="49" fontId="31" fillId="0" borderId="0" xfId="0" applyNumberFormat="1" applyFont="1" applyFill="1" applyBorder="1" applyAlignment="1">
      <alignment horizontal="center" vertical="center"/>
    </xf>
    <xf numFmtId="189" fontId="29" fillId="0" borderId="0" xfId="0" applyNumberFormat="1" applyFont="1" applyFill="1" applyBorder="1" applyAlignment="1"/>
    <xf numFmtId="177" fontId="31" fillId="0" borderId="28" xfId="0" applyNumberFormat="1" applyFont="1" applyFill="1" applyBorder="1" applyAlignment="1">
      <alignment horizontal="center"/>
    </xf>
    <xf numFmtId="40" fontId="29" fillId="24" borderId="38" xfId="0" applyNumberFormat="1" applyFont="1" applyFill="1" applyBorder="1" applyAlignment="1">
      <alignment horizontal="right"/>
    </xf>
    <xf numFmtId="40" fontId="29" fillId="0" borderId="37" xfId="0" applyNumberFormat="1" applyFont="1" applyBorder="1" applyAlignment="1">
      <alignment horizontal="center"/>
    </xf>
    <xf numFmtId="40" fontId="29" fillId="0" borderId="38" xfId="0" applyNumberFormat="1" applyFont="1" applyBorder="1" applyAlignment="1">
      <alignment horizontal="center"/>
    </xf>
    <xf numFmtId="15" fontId="29" fillId="0" borderId="37" xfId="0" applyNumberFormat="1" applyFont="1" applyBorder="1" applyAlignment="1">
      <alignment horizontal="right"/>
    </xf>
    <xf numFmtId="40" fontId="29" fillId="6" borderId="0" xfId="0" applyNumberFormat="1" applyFont="1" applyFill="1" applyBorder="1" applyAlignment="1">
      <alignment horizontal="right"/>
    </xf>
    <xf numFmtId="15" fontId="29" fillId="0" borderId="0" xfId="0" applyNumberFormat="1" applyFont="1" applyFill="1" applyBorder="1" applyAlignment="1">
      <alignment horizontal="right"/>
    </xf>
    <xf numFmtId="189" fontId="31" fillId="7" borderId="0" xfId="485" applyNumberFormat="1" applyFont="1" applyFill="1" applyBorder="1"/>
    <xf numFmtId="189" fontId="31" fillId="6" borderId="0" xfId="485" applyNumberFormat="1" applyFont="1" applyFill="1" applyBorder="1"/>
    <xf numFmtId="49" fontId="29" fillId="0" borderId="0" xfId="0" applyNumberFormat="1" applyFont="1" applyAlignment="1">
      <alignment horizontal="right"/>
    </xf>
    <xf numFmtId="40" fontId="31" fillId="6" borderId="0" xfId="0" applyNumberFormat="1" applyFont="1" applyFill="1" applyBorder="1" applyAlignment="1"/>
    <xf numFmtId="15" fontId="31" fillId="0" borderId="0" xfId="0" applyNumberFormat="1" applyFont="1" applyBorder="1" applyAlignment="1">
      <alignment horizontal="right"/>
    </xf>
    <xf numFmtId="49" fontId="31" fillId="0" borderId="0" xfId="0" applyNumberFormat="1" applyFont="1" applyBorder="1" applyAlignment="1">
      <alignment horizontal="center"/>
    </xf>
    <xf numFmtId="49" fontId="31" fillId="0" borderId="0" xfId="0" applyNumberFormat="1" applyFont="1" applyFill="1" applyBorder="1" applyAlignment="1">
      <alignment horizontal="center"/>
    </xf>
    <xf numFmtId="9" fontId="31" fillId="0" borderId="0" xfId="0" applyNumberFormat="1" applyFont="1" applyFill="1" applyAlignment="1">
      <alignment horizontal="right"/>
    </xf>
    <xf numFmtId="9" fontId="31" fillId="6" borderId="0" xfId="0" applyNumberFormat="1" applyFont="1" applyFill="1" applyAlignment="1">
      <alignment horizontal="right"/>
    </xf>
    <xf numFmtId="182" fontId="31" fillId="0" borderId="0" xfId="0" applyNumberFormat="1" applyFont="1" applyAlignment="1">
      <alignment horizontal="center"/>
    </xf>
    <xf numFmtId="43" fontId="31" fillId="0" borderId="0" xfId="0" applyNumberFormat="1" applyFont="1" applyFill="1" applyBorder="1" applyAlignment="1">
      <alignment horizontal="right"/>
    </xf>
    <xf numFmtId="43" fontId="31" fillId="6" borderId="0" xfId="0" applyNumberFormat="1" applyFont="1" applyFill="1" applyBorder="1" applyAlignment="1">
      <alignment horizontal="right"/>
    </xf>
    <xf numFmtId="182" fontId="31" fillId="0" borderId="0" xfId="0" applyNumberFormat="1" applyFont="1" applyFill="1" applyAlignment="1">
      <alignment horizontal="center"/>
    </xf>
    <xf numFmtId="43" fontId="31" fillId="0" borderId="0" xfId="6" applyFont="1" applyFill="1" applyBorder="1" applyAlignment="1">
      <alignment horizontal="right"/>
    </xf>
    <xf numFmtId="43" fontId="31" fillId="6" borderId="0" xfId="6" applyFont="1" applyFill="1" applyBorder="1" applyAlignment="1">
      <alignment horizontal="right"/>
    </xf>
    <xf numFmtId="43" fontId="31" fillId="7" borderId="35" xfId="6" applyNumberFormat="1" applyFont="1" applyFill="1" applyBorder="1" applyAlignment="1">
      <alignment vertical="center"/>
    </xf>
    <xf numFmtId="189" fontId="29" fillId="7" borderId="28" xfId="0" applyNumberFormat="1" applyFont="1" applyFill="1" applyBorder="1" applyAlignment="1">
      <alignment horizontal="right"/>
    </xf>
    <xf numFmtId="49" fontId="29" fillId="7" borderId="28" xfId="0" applyNumberFormat="1" applyFont="1" applyFill="1" applyBorder="1" applyAlignment="1">
      <alignment horizontal="center"/>
    </xf>
    <xf numFmtId="15" fontId="31" fillId="7" borderId="28" xfId="0" applyNumberFormat="1" applyFont="1" applyFill="1" applyBorder="1" applyAlignment="1">
      <alignment horizontal="right"/>
    </xf>
    <xf numFmtId="15" fontId="31" fillId="7" borderId="35" xfId="0" applyNumberFormat="1" applyFont="1" applyFill="1" applyBorder="1" applyAlignment="1">
      <alignment horizontal="right"/>
    </xf>
    <xf numFmtId="49" fontId="29" fillId="7" borderId="35" xfId="0" applyNumberFormat="1" applyFont="1" applyFill="1" applyBorder="1" applyAlignment="1">
      <alignment horizontal="center"/>
    </xf>
    <xf numFmtId="49" fontId="31" fillId="7" borderId="35" xfId="0" applyNumberFormat="1" applyFont="1" applyFill="1" applyBorder="1" applyAlignment="1">
      <alignment horizontal="center"/>
    </xf>
    <xf numFmtId="9" fontId="31" fillId="7" borderId="28" xfId="0" applyNumberFormat="1" applyFont="1" applyFill="1" applyBorder="1" applyAlignment="1">
      <alignment horizontal="right"/>
    </xf>
    <xf numFmtId="9" fontId="31" fillId="6" borderId="35" xfId="0" applyNumberFormat="1" applyFont="1" applyFill="1" applyBorder="1" applyAlignment="1">
      <alignment horizontal="right"/>
    </xf>
    <xf numFmtId="189" fontId="29" fillId="7" borderId="35" xfId="0" applyNumberFormat="1" applyFont="1" applyFill="1" applyBorder="1" applyAlignment="1"/>
    <xf numFmtId="189" fontId="29" fillId="7" borderId="35" xfId="0" applyNumberFormat="1" applyFont="1" applyFill="1" applyBorder="1" applyAlignment="1">
      <alignment horizontal="right"/>
    </xf>
    <xf numFmtId="15" fontId="29" fillId="7" borderId="28" xfId="0" applyNumberFormat="1" applyFont="1" applyFill="1" applyBorder="1" applyAlignment="1">
      <alignment horizontal="right"/>
    </xf>
    <xf numFmtId="43" fontId="31" fillId="7" borderId="28" xfId="6" applyNumberFormat="1" applyFont="1" applyFill="1" applyBorder="1" applyAlignment="1">
      <alignment vertical="center"/>
    </xf>
    <xf numFmtId="49" fontId="31" fillId="7" borderId="0" xfId="0" applyNumberFormat="1" applyFont="1" applyFill="1" applyBorder="1" applyAlignment="1">
      <alignment horizontal="center"/>
    </xf>
    <xf numFmtId="14" fontId="31" fillId="7" borderId="28" xfId="0" applyNumberFormat="1" applyFont="1" applyFill="1" applyBorder="1" applyAlignment="1"/>
    <xf numFmtId="43" fontId="31" fillId="7" borderId="28" xfId="6" applyNumberFormat="1" applyFont="1" applyFill="1" applyBorder="1" applyAlignment="1"/>
    <xf numFmtId="43" fontId="31" fillId="7" borderId="35" xfId="6" applyNumberFormat="1" applyFont="1" applyFill="1" applyBorder="1" applyAlignment="1"/>
    <xf numFmtId="43" fontId="31" fillId="6" borderId="35" xfId="6" applyNumberFormat="1" applyFont="1" applyFill="1" applyBorder="1" applyAlignment="1"/>
    <xf numFmtId="15" fontId="31" fillId="7" borderId="28" xfId="0" applyNumberFormat="1" applyFont="1" applyFill="1" applyBorder="1" applyAlignment="1">
      <alignment horizontal="center"/>
    </xf>
    <xf numFmtId="40" fontId="31" fillId="7" borderId="35" xfId="0" applyNumberFormat="1" applyFont="1" applyFill="1" applyBorder="1" applyAlignment="1">
      <alignment horizontal="center"/>
    </xf>
    <xf numFmtId="43" fontId="31" fillId="7" borderId="27" xfId="6" applyNumberFormat="1" applyFont="1" applyFill="1" applyBorder="1" applyAlignment="1">
      <alignment vertical="center"/>
    </xf>
    <xf numFmtId="43" fontId="31" fillId="6" borderId="27" xfId="6" applyNumberFormat="1" applyFont="1" applyFill="1" applyBorder="1" applyAlignment="1">
      <alignment vertical="center"/>
    </xf>
    <xf numFmtId="40" fontId="31" fillId="7" borderId="27" xfId="0" applyNumberFormat="1" applyFont="1" applyFill="1" applyBorder="1" applyAlignment="1">
      <alignment horizontal="right"/>
    </xf>
    <xf numFmtId="15" fontId="31" fillId="7" borderId="27" xfId="0" applyNumberFormat="1" applyFont="1" applyFill="1" applyBorder="1" applyAlignment="1">
      <alignment horizontal="right"/>
    </xf>
    <xf numFmtId="49" fontId="31" fillId="7" borderId="31" xfId="0" applyNumberFormat="1" applyFont="1" applyFill="1" applyBorder="1" applyAlignment="1">
      <alignment horizontal="center"/>
    </xf>
    <xf numFmtId="190" fontId="29" fillId="6" borderId="0" xfId="0" applyNumberFormat="1" applyFont="1" applyFill="1" applyBorder="1" applyAlignment="1"/>
    <xf numFmtId="43" fontId="29" fillId="0" borderId="0" xfId="6" applyNumberFormat="1" applyFont="1" applyBorder="1" applyAlignment="1">
      <alignment vertical="center"/>
    </xf>
    <xf numFmtId="43" fontId="29" fillId="0" borderId="0" xfId="6" applyNumberFormat="1" applyFont="1" applyFill="1" applyBorder="1" applyAlignment="1">
      <alignment vertical="center"/>
    </xf>
    <xf numFmtId="43" fontId="29" fillId="6" borderId="0" xfId="6" applyNumberFormat="1" applyFont="1" applyFill="1" applyBorder="1" applyAlignment="1">
      <alignment vertical="center"/>
    </xf>
    <xf numFmtId="189" fontId="29" fillId="0" borderId="0" xfId="0" applyNumberFormat="1" applyFont="1" applyBorder="1" applyAlignment="1"/>
    <xf numFmtId="189" fontId="29" fillId="0" borderId="0" xfId="0" applyNumberFormat="1" applyFont="1" applyBorder="1" applyAlignment="1">
      <alignment horizontal="right"/>
    </xf>
    <xf numFmtId="189" fontId="31" fillId="0" borderId="0" xfId="0" applyNumberFormat="1" applyFont="1" applyFill="1" applyBorder="1" applyAlignment="1">
      <alignment horizontal="right" vertical="center"/>
    </xf>
    <xf numFmtId="189" fontId="31" fillId="6" borderId="0" xfId="0" applyNumberFormat="1" applyFont="1" applyFill="1" applyBorder="1" applyAlignment="1">
      <alignment horizontal="right" vertical="center"/>
    </xf>
    <xf numFmtId="15" fontId="31" fillId="0" borderId="0" xfId="0" applyNumberFormat="1" applyFont="1" applyFill="1" applyBorder="1" applyAlignment="1">
      <alignment horizontal="right" vertical="center"/>
    </xf>
    <xf numFmtId="15" fontId="33" fillId="0" borderId="0" xfId="0" applyNumberFormat="1" applyFont="1" applyFill="1" applyBorder="1" applyAlignment="1">
      <alignment horizontal="right" vertical="center"/>
    </xf>
    <xf numFmtId="38" fontId="31" fillId="0" borderId="0" xfId="0" applyNumberFormat="1" applyFont="1" applyFill="1" applyBorder="1" applyAlignment="1">
      <alignment horizontal="center" vertical="center"/>
    </xf>
    <xf numFmtId="38" fontId="31" fillId="0" borderId="0" xfId="0" applyNumberFormat="1" applyFont="1" applyFill="1" applyBorder="1" applyAlignment="1">
      <alignment horizontal="center" vertical="center" wrapText="1"/>
    </xf>
    <xf numFmtId="43" fontId="31" fillId="0" borderId="0" xfId="6" applyNumberFormat="1" applyFont="1" applyFill="1" applyBorder="1" applyAlignment="1">
      <alignment vertical="center"/>
    </xf>
    <xf numFmtId="43" fontId="31" fillId="6" borderId="0" xfId="6" applyNumberFormat="1" applyFont="1" applyFill="1" applyBorder="1" applyAlignment="1">
      <alignment vertical="center"/>
    </xf>
    <xf numFmtId="49" fontId="29" fillId="0" borderId="0" xfId="0" applyNumberFormat="1" applyFont="1" applyFill="1" applyBorder="1" applyAlignment="1">
      <alignment horizontal="center"/>
    </xf>
    <xf numFmtId="9" fontId="31" fillId="6" borderId="0" xfId="0" applyNumberFormat="1" applyFont="1" applyFill="1" applyBorder="1" applyAlignment="1">
      <alignment horizontal="right"/>
    </xf>
    <xf numFmtId="189" fontId="31" fillId="6" borderId="0" xfId="0" applyNumberFormat="1" applyFont="1" applyFill="1" applyBorder="1" applyAlignment="1"/>
    <xf numFmtId="40" fontId="31" fillId="0" borderId="0" xfId="0" applyNumberFormat="1" applyFont="1" applyFill="1" applyAlignment="1"/>
    <xf numFmtId="182" fontId="31" fillId="0" borderId="0" xfId="0" applyNumberFormat="1" applyFont="1" applyFill="1" applyBorder="1" applyAlignment="1">
      <alignment horizontal="center"/>
    </xf>
    <xf numFmtId="182" fontId="31" fillId="0" borderId="35" xfId="0" applyNumberFormat="1" applyFont="1" applyFill="1" applyBorder="1" applyAlignment="1">
      <alignment horizontal="center"/>
    </xf>
    <xf numFmtId="38" fontId="3" fillId="7" borderId="0" xfId="0" applyNumberFormat="1" applyFont="1" applyFill="1" applyAlignment="1"/>
    <xf numFmtId="189" fontId="3" fillId="7" borderId="0" xfId="0" applyNumberFormat="1" applyFont="1" applyFill="1" applyAlignment="1"/>
    <xf numFmtId="182" fontId="31" fillId="7" borderId="28" xfId="0" applyNumberFormat="1" applyFont="1" applyFill="1" applyBorder="1" applyAlignment="1">
      <alignment horizontal="center"/>
    </xf>
    <xf numFmtId="182" fontId="31" fillId="0" borderId="0" xfId="0" applyNumberFormat="1" applyFont="1" applyBorder="1" applyAlignment="1">
      <alignment horizontal="center"/>
    </xf>
    <xf numFmtId="189" fontId="3" fillId="7" borderId="0" xfId="0" applyNumberFormat="1" applyFont="1" applyFill="1" applyAlignment="1">
      <alignment wrapText="1"/>
    </xf>
    <xf numFmtId="177" fontId="31" fillId="0" borderId="0" xfId="0" applyNumberFormat="1" applyFont="1" applyFill="1" applyBorder="1" applyAlignment="1"/>
    <xf numFmtId="190" fontId="29" fillId="0" borderId="0" xfId="0" applyNumberFormat="1" applyFont="1" applyBorder="1" applyAlignment="1">
      <alignment horizontal="right"/>
    </xf>
    <xf numFmtId="40" fontId="31" fillId="17" borderId="0" xfId="0" applyNumberFormat="1" applyFont="1" applyFill="1" applyBorder="1" applyAlignment="1"/>
    <xf numFmtId="40" fontId="31" fillId="17" borderId="0" xfId="0" applyNumberFormat="1" applyFont="1" applyFill="1" applyBorder="1" applyAlignment="1">
      <alignment horizontal="right"/>
    </xf>
    <xf numFmtId="40" fontId="29" fillId="0" borderId="0" xfId="0" applyNumberFormat="1" applyFont="1" applyBorder="1" applyAlignment="1"/>
    <xf numFmtId="15" fontId="31" fillId="7" borderId="0" xfId="0" applyNumberFormat="1" applyFont="1" applyFill="1" applyBorder="1" applyAlignment="1">
      <alignment horizontal="right"/>
    </xf>
    <xf numFmtId="15" fontId="31" fillId="0" borderId="0" xfId="0" applyNumberFormat="1" applyFont="1" applyBorder="1" applyAlignment="1">
      <alignment horizontal="center"/>
    </xf>
    <xf numFmtId="38" fontId="31" fillId="0" borderId="0" xfId="0" applyNumberFormat="1" applyFont="1" applyBorder="1" applyAlignment="1">
      <alignment horizontal="center"/>
    </xf>
    <xf numFmtId="40" fontId="31" fillId="6" borderId="0" xfId="0" applyNumberFormat="1" applyFont="1" applyFill="1" applyBorder="1" applyAlignment="1">
      <alignment horizontal="right"/>
    </xf>
    <xf numFmtId="40" fontId="31" fillId="0" borderId="0" xfId="0" applyNumberFormat="1" applyFont="1" applyBorder="1" applyAlignment="1">
      <alignment horizontal="center"/>
    </xf>
    <xf numFmtId="10" fontId="9" fillId="25" borderId="2" xfId="480" applyNumberFormat="1" applyFont="1" applyFill="1" applyBorder="1" applyAlignment="1">
      <alignment horizontal="center" vertical="center" wrapText="1"/>
    </xf>
    <xf numFmtId="0" fontId="9" fillId="25" borderId="2" xfId="480" applyNumberFormat="1" applyFont="1" applyFill="1" applyBorder="1" applyAlignment="1">
      <alignment horizontal="center" vertical="center" wrapText="1"/>
    </xf>
    <xf numFmtId="1" fontId="9" fillId="24" borderId="2" xfId="480" applyNumberFormat="1" applyFont="1" applyFill="1" applyBorder="1" applyAlignment="1">
      <alignment horizontal="center" vertical="center" wrapText="1"/>
    </xf>
    <xf numFmtId="0" fontId="17" fillId="0" borderId="11" xfId="0" applyNumberFormat="1" applyFont="1" applyFill="1" applyBorder="1" applyAlignment="1" applyProtection="1">
      <alignment wrapText="1"/>
    </xf>
    <xf numFmtId="0" fontId="18" fillId="24" borderId="11" xfId="0" applyNumberFormat="1" applyFont="1" applyFill="1" applyBorder="1" applyAlignment="1" applyProtection="1">
      <alignment vertical="center"/>
    </xf>
    <xf numFmtId="0" fontId="18" fillId="0" borderId="11" xfId="0" applyNumberFormat="1" applyFont="1" applyFill="1" applyBorder="1" applyAlignment="1" applyProtection="1">
      <alignment vertical="center"/>
    </xf>
    <xf numFmtId="0" fontId="18" fillId="0" borderId="2" xfId="0" applyNumberFormat="1" applyFont="1" applyFill="1" applyBorder="1" applyAlignment="1" applyProtection="1">
      <alignment horizontal="center" vertical="center"/>
    </xf>
    <xf numFmtId="0" fontId="18" fillId="24" borderId="2" xfId="0" applyNumberFormat="1" applyFont="1" applyFill="1" applyBorder="1" applyAlignment="1" applyProtection="1">
      <alignment horizontal="center" vertical="center"/>
    </xf>
    <xf numFmtId="0" fontId="17" fillId="24" borderId="2" xfId="0" applyNumberFormat="1" applyFont="1" applyFill="1" applyBorder="1" applyAlignment="1" applyProtection="1">
      <alignment horizontal="center" vertical="center"/>
    </xf>
    <xf numFmtId="0" fontId="17" fillId="24" borderId="0" xfId="0" applyNumberFormat="1" applyFont="1" applyFill="1" applyBorder="1" applyAlignment="1" applyProtection="1">
      <alignment horizontal="center"/>
    </xf>
    <xf numFmtId="0" fontId="17" fillId="0" borderId="2" xfId="0" applyNumberFormat="1" applyFont="1" applyFill="1" applyBorder="1" applyAlignment="1" applyProtection="1">
      <alignment horizontal="center" vertical="center"/>
    </xf>
    <xf numFmtId="0" fontId="9" fillId="0" borderId="0" xfId="0" applyFont="1" applyAlignment="1">
      <alignment horizontal="center" vertical="center"/>
    </xf>
    <xf numFmtId="0" fontId="3" fillId="0"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vertical="center"/>
    </xf>
    <xf numFmtId="10" fontId="3" fillId="0" borderId="0" xfId="0" applyNumberFormat="1" applyFont="1" applyFill="1" applyBorder="1" applyAlignment="1" applyProtection="1">
      <alignment horizontal="center"/>
    </xf>
    <xf numFmtId="0" fontId="17" fillId="0" borderId="11" xfId="0" applyNumberFormat="1" applyFont="1" applyFill="1" applyBorder="1" applyAlignment="1" applyProtection="1"/>
    <xf numFmtId="0" fontId="17" fillId="24" borderId="11" xfId="0" applyNumberFormat="1" applyFont="1" applyFill="1" applyBorder="1" applyAlignment="1" applyProtection="1"/>
    <xf numFmtId="9" fontId="17" fillId="0" borderId="0" xfId="0" applyNumberFormat="1" applyFont="1" applyFill="1" applyBorder="1" applyAlignment="1" applyProtection="1"/>
    <xf numFmtId="189" fontId="29" fillId="0" borderId="0" xfId="0" applyNumberFormat="1" applyFont="1" applyAlignment="1"/>
    <xf numFmtId="38" fontId="31" fillId="0" borderId="0" xfId="0" applyNumberFormat="1" applyFont="1" applyAlignment="1"/>
    <xf numFmtId="38" fontId="31" fillId="0" borderId="0" xfId="0" applyNumberFormat="1" applyFont="1" applyFill="1" applyAlignment="1">
      <alignment vertical="center"/>
    </xf>
    <xf numFmtId="38" fontId="31" fillId="4" borderId="0" xfId="0" applyNumberFormat="1" applyFont="1" applyFill="1" applyBorder="1" applyAlignment="1">
      <alignment vertical="center"/>
    </xf>
    <xf numFmtId="38" fontId="31" fillId="20" borderId="0" xfId="0" applyNumberFormat="1" applyFont="1" applyFill="1" applyBorder="1" applyAlignment="1">
      <alignment vertical="center"/>
    </xf>
    <xf numFmtId="38" fontId="31" fillId="4" borderId="0" xfId="0" applyNumberFormat="1" applyFont="1" applyFill="1" applyAlignment="1">
      <alignment vertical="center"/>
    </xf>
    <xf numFmtId="38" fontId="31" fillId="20" borderId="0" xfId="0" applyNumberFormat="1" applyFont="1" applyFill="1" applyAlignment="1">
      <alignment vertical="center"/>
    </xf>
    <xf numFmtId="189" fontId="0" fillId="4" borderId="0" xfId="0" applyNumberFormat="1" applyFill="1" applyAlignment="1"/>
    <xf numFmtId="38" fontId="31" fillId="6" borderId="0" xfId="0" applyNumberFormat="1" applyFont="1" applyFill="1" applyAlignment="1">
      <alignment vertical="center"/>
    </xf>
    <xf numFmtId="38" fontId="29" fillId="6" borderId="0" xfId="0" applyNumberFormat="1" applyFont="1" applyFill="1" applyAlignment="1">
      <alignment vertical="center"/>
    </xf>
    <xf numFmtId="0" fontId="31" fillId="0" borderId="0" xfId="0" applyNumberFormat="1" applyFont="1" applyAlignment="1"/>
    <xf numFmtId="193" fontId="31" fillId="0" borderId="0" xfId="0" applyNumberFormat="1" applyFont="1" applyAlignment="1"/>
    <xf numFmtId="0" fontId="29" fillId="0" borderId="32" xfId="0" applyNumberFormat="1" applyFont="1" applyBorder="1" applyAlignment="1">
      <alignment horizontal="center"/>
    </xf>
    <xf numFmtId="38" fontId="4" fillId="0" borderId="27" xfId="0" applyNumberFormat="1" applyFont="1" applyBorder="1" applyAlignment="1">
      <alignment horizontal="left"/>
    </xf>
    <xf numFmtId="0" fontId="4" fillId="0" borderId="34" xfId="0" applyNumberFormat="1" applyFont="1" applyBorder="1" applyAlignment="1"/>
    <xf numFmtId="0" fontId="31" fillId="0" borderId="13" xfId="0" applyNumberFormat="1" applyFont="1" applyBorder="1" applyAlignment="1"/>
    <xf numFmtId="189" fontId="31" fillId="0" borderId="28" xfId="0" applyNumberFormat="1" applyFont="1" applyFill="1" applyBorder="1" applyAlignment="1">
      <alignment horizontal="left" vertical="center"/>
    </xf>
    <xf numFmtId="0" fontId="31" fillId="0" borderId="0" xfId="0" applyNumberFormat="1" applyFont="1" applyFill="1" applyBorder="1" applyAlignment="1">
      <alignment horizontal="right" vertical="center"/>
    </xf>
    <xf numFmtId="40" fontId="31" fillId="0" borderId="28" xfId="0" applyNumberFormat="1" applyFont="1" applyFill="1" applyBorder="1" applyAlignment="1">
      <alignment vertical="center"/>
    </xf>
    <xf numFmtId="40" fontId="31" fillId="0" borderId="28" xfId="0" applyNumberFormat="1" applyFont="1" applyFill="1" applyBorder="1" applyAlignment="1">
      <alignment horizontal="center" vertical="center"/>
    </xf>
    <xf numFmtId="189" fontId="3" fillId="0" borderId="28" xfId="0" applyNumberFormat="1" applyFont="1" applyFill="1" applyBorder="1" applyAlignment="1">
      <alignment horizontal="left" vertical="center"/>
    </xf>
    <xf numFmtId="0" fontId="31" fillId="0" borderId="28" xfId="0" applyNumberFormat="1" applyFont="1" applyFill="1" applyBorder="1" applyAlignment="1">
      <alignment horizontal="right" vertical="center"/>
    </xf>
    <xf numFmtId="189" fontId="34" fillId="0" borderId="0" xfId="0" applyNumberFormat="1" applyFont="1" applyAlignment="1"/>
    <xf numFmtId="189" fontId="3" fillId="0" borderId="28" xfId="0" applyNumberFormat="1" applyFont="1" applyFill="1" applyBorder="1" applyAlignment="1">
      <alignment horizontal="left"/>
    </xf>
    <xf numFmtId="0" fontId="31" fillId="0" borderId="0" xfId="0" applyNumberFormat="1" applyFont="1" applyFill="1" applyAlignment="1"/>
    <xf numFmtId="189" fontId="31" fillId="0" borderId="28" xfId="0" applyNumberFormat="1" applyFont="1" applyFill="1" applyBorder="1" applyAlignment="1">
      <alignment horizontal="left"/>
    </xf>
    <xf numFmtId="0" fontId="31" fillId="0" borderId="35" xfId="0" applyNumberFormat="1" applyFont="1" applyFill="1" applyBorder="1" applyAlignment="1"/>
    <xf numFmtId="0" fontId="31" fillId="0" borderId="35" xfId="0" applyNumberFormat="1" applyFont="1" applyFill="1" applyBorder="1" applyAlignment="1">
      <alignment horizontal="right" vertical="center"/>
    </xf>
    <xf numFmtId="40" fontId="31" fillId="0" borderId="35" xfId="0" applyNumberFormat="1" applyFont="1" applyFill="1" applyBorder="1" applyAlignment="1">
      <alignment vertical="center"/>
    </xf>
    <xf numFmtId="189" fontId="29" fillId="18" borderId="32" xfId="0" applyNumberFormat="1" applyFont="1" applyFill="1" applyBorder="1" applyAlignment="1">
      <alignment vertical="top" wrapText="1"/>
    </xf>
    <xf numFmtId="189" fontId="4" fillId="18" borderId="34" xfId="0" applyNumberFormat="1" applyFont="1" applyFill="1" applyBorder="1" applyAlignment="1">
      <alignment vertical="top" wrapText="1"/>
    </xf>
    <xf numFmtId="40" fontId="31" fillId="18" borderId="35" xfId="0" applyNumberFormat="1" applyFont="1" applyFill="1" applyBorder="1" applyAlignment="1">
      <alignment vertical="center"/>
    </xf>
    <xf numFmtId="40" fontId="31" fillId="18" borderId="36" xfId="0" applyNumberFormat="1" applyFont="1" applyFill="1" applyBorder="1" applyAlignment="1">
      <alignment vertical="center"/>
    </xf>
    <xf numFmtId="40" fontId="31" fillId="0" borderId="36" xfId="0" applyNumberFormat="1" applyFont="1" applyFill="1" applyBorder="1" applyAlignment="1">
      <alignment vertical="center"/>
    </xf>
    <xf numFmtId="40" fontId="31" fillId="4" borderId="28" xfId="0" applyNumberFormat="1" applyFont="1" applyFill="1" applyBorder="1" applyAlignment="1">
      <alignment horizontal="right" vertical="center"/>
    </xf>
    <xf numFmtId="40" fontId="31" fillId="0" borderId="36" xfId="0" applyNumberFormat="1" applyFont="1" applyFill="1" applyBorder="1" applyAlignment="1">
      <alignment horizontal="right" vertical="center"/>
    </xf>
    <xf numFmtId="40" fontId="31" fillId="0" borderId="28" xfId="0" applyNumberFormat="1" applyFont="1" applyFill="1" applyBorder="1" applyAlignment="1">
      <alignment horizontal="right" vertical="center"/>
    </xf>
    <xf numFmtId="189" fontId="29" fillId="0" borderId="34" xfId="0" applyNumberFormat="1" applyFont="1" applyBorder="1" applyAlignment="1">
      <alignment horizontal="center" vertical="center"/>
    </xf>
    <xf numFmtId="40" fontId="31" fillId="0" borderId="13" xfId="0" applyNumberFormat="1" applyFont="1" applyBorder="1" applyAlignment="1"/>
    <xf numFmtId="189" fontId="31" fillId="0" borderId="28" xfId="0" applyNumberFormat="1" applyFont="1" applyFill="1" applyBorder="1" applyAlignment="1">
      <alignment horizontal="right" vertical="center"/>
    </xf>
    <xf numFmtId="182" fontId="31" fillId="0" borderId="35" xfId="0" applyNumberFormat="1" applyFont="1" applyFill="1" applyBorder="1" applyAlignment="1">
      <alignment horizontal="center" vertical="center"/>
    </xf>
    <xf numFmtId="195" fontId="31" fillId="0" borderId="28" xfId="0" applyNumberFormat="1" applyFont="1" applyFill="1" applyBorder="1" applyAlignment="1">
      <alignment horizontal="right" vertical="center"/>
    </xf>
    <xf numFmtId="15" fontId="31" fillId="0" borderId="35" xfId="0" applyNumberFormat="1" applyFont="1" applyFill="1" applyBorder="1" applyAlignment="1">
      <alignment horizontal="right" vertical="center"/>
    </xf>
    <xf numFmtId="40" fontId="31" fillId="0" borderId="35" xfId="0" applyNumberFormat="1" applyFont="1" applyFill="1" applyBorder="1" applyAlignment="1">
      <alignment horizontal="center" vertical="center"/>
    </xf>
    <xf numFmtId="15" fontId="31" fillId="0" borderId="28" xfId="0" applyNumberFormat="1" applyFont="1" applyFill="1" applyBorder="1" applyAlignment="1">
      <alignment horizontal="right" vertical="center"/>
    </xf>
    <xf numFmtId="15" fontId="33" fillId="0" borderId="28" xfId="0" applyNumberFormat="1" applyFont="1" applyFill="1" applyBorder="1" applyAlignment="1">
      <alignment horizontal="right" vertical="center"/>
    </xf>
    <xf numFmtId="15" fontId="33" fillId="0" borderId="35" xfId="0" applyNumberFormat="1" applyFont="1" applyFill="1" applyBorder="1" applyAlignment="1">
      <alignment horizontal="right" vertical="center"/>
    </xf>
    <xf numFmtId="38" fontId="31" fillId="0" borderId="28" xfId="0" applyNumberFormat="1" applyFont="1" applyFill="1" applyBorder="1" applyAlignment="1">
      <alignment horizontal="center" vertical="center"/>
    </xf>
    <xf numFmtId="15" fontId="35" fillId="0" borderId="0" xfId="0" applyNumberFormat="1" applyFont="1" applyFill="1" applyBorder="1" applyAlignment="1">
      <alignment horizontal="right" vertical="center"/>
    </xf>
    <xf numFmtId="49" fontId="31" fillId="0" borderId="35" xfId="0" applyNumberFormat="1" applyFont="1" applyFill="1" applyBorder="1" applyAlignment="1">
      <alignment horizontal="center" vertical="center"/>
    </xf>
    <xf numFmtId="15" fontId="29" fillId="0" borderId="35" xfId="0" applyNumberFormat="1" applyFont="1" applyFill="1" applyBorder="1" applyAlignment="1">
      <alignment horizontal="right" vertical="center"/>
    </xf>
    <xf numFmtId="189" fontId="31" fillId="4" borderId="28" xfId="0" applyNumberFormat="1" applyFont="1" applyFill="1" applyBorder="1" applyAlignment="1">
      <alignment horizontal="left" vertical="center"/>
    </xf>
    <xf numFmtId="0" fontId="31" fillId="4" borderId="35" xfId="0" applyNumberFormat="1" applyFont="1" applyFill="1" applyBorder="1" applyAlignment="1">
      <alignment horizontal="right" vertical="center"/>
    </xf>
    <xf numFmtId="40" fontId="31" fillId="4" borderId="28" xfId="0" applyNumberFormat="1" applyFont="1" applyFill="1" applyBorder="1" applyAlignment="1">
      <alignment vertical="center"/>
    </xf>
    <xf numFmtId="40" fontId="31" fillId="4" borderId="28" xfId="0" applyNumberFormat="1" applyFont="1" applyFill="1" applyBorder="1" applyAlignment="1">
      <alignment horizontal="center" vertical="center"/>
    </xf>
    <xf numFmtId="189" fontId="31" fillId="20" borderId="28" xfId="0" applyNumberFormat="1" applyFont="1" applyFill="1" applyBorder="1" applyAlignment="1">
      <alignment horizontal="left" vertical="center"/>
    </xf>
    <xf numFmtId="0" fontId="31" fillId="20" borderId="28" xfId="0" applyNumberFormat="1" applyFont="1" applyFill="1" applyBorder="1" applyAlignment="1">
      <alignment horizontal="right" vertical="center"/>
    </xf>
    <xf numFmtId="40" fontId="31" fillId="20" borderId="28" xfId="0" applyNumberFormat="1" applyFont="1" applyFill="1" applyBorder="1" applyAlignment="1">
      <alignment vertical="center"/>
    </xf>
    <xf numFmtId="40" fontId="31" fillId="20" borderId="28" xfId="0" applyNumberFormat="1" applyFont="1" applyFill="1" applyBorder="1" applyAlignment="1">
      <alignment horizontal="center" vertical="center"/>
    </xf>
    <xf numFmtId="0" fontId="31" fillId="4" borderId="28" xfId="0" applyNumberFormat="1" applyFont="1" applyFill="1" applyBorder="1" applyAlignment="1">
      <alignment horizontal="right" vertical="center"/>
    </xf>
    <xf numFmtId="0" fontId="31" fillId="20" borderId="0" xfId="0" applyNumberFormat="1" applyFont="1" applyFill="1" applyBorder="1" applyAlignment="1">
      <alignment horizontal="right" vertical="center"/>
    </xf>
    <xf numFmtId="189" fontId="3" fillId="4" borderId="28" xfId="0" applyNumberFormat="1" applyFont="1" applyFill="1" applyBorder="1" applyAlignment="1">
      <alignment horizontal="left" vertical="center"/>
    </xf>
    <xf numFmtId="189" fontId="3" fillId="6" borderId="28" xfId="0" applyNumberFormat="1" applyFont="1" applyFill="1" applyBorder="1" applyAlignment="1">
      <alignment horizontal="left"/>
    </xf>
    <xf numFmtId="0" fontId="31" fillId="6" borderId="0" xfId="0" applyNumberFormat="1" applyFont="1" applyFill="1" applyAlignment="1"/>
    <xf numFmtId="40" fontId="31" fillId="6" borderId="28" xfId="0" applyNumberFormat="1" applyFont="1" applyFill="1" applyBorder="1" applyAlignment="1">
      <alignment vertical="center"/>
    </xf>
    <xf numFmtId="40" fontId="31" fillId="6" borderId="28" xfId="0" applyNumberFormat="1" applyFont="1" applyFill="1" applyBorder="1" applyAlignment="1">
      <alignment horizontal="center" vertical="center"/>
    </xf>
    <xf numFmtId="38" fontId="29" fillId="6" borderId="37" xfId="0" applyNumberFormat="1" applyFont="1" applyFill="1" applyBorder="1" applyAlignment="1">
      <alignment horizontal="left" vertical="center"/>
    </xf>
    <xf numFmtId="0" fontId="29" fillId="6" borderId="37" xfId="0" applyNumberFormat="1" applyFont="1" applyFill="1" applyBorder="1" applyAlignment="1">
      <alignment vertical="center"/>
    </xf>
    <xf numFmtId="40" fontId="29" fillId="6" borderId="37" xfId="0" applyNumberFormat="1" applyFont="1" applyFill="1" applyBorder="1" applyAlignment="1">
      <alignment vertical="center"/>
    </xf>
    <xf numFmtId="40" fontId="29" fillId="6" borderId="37" xfId="0" applyNumberFormat="1" applyFont="1" applyFill="1" applyBorder="1" applyAlignment="1">
      <alignment horizontal="center" vertical="center"/>
    </xf>
    <xf numFmtId="193" fontId="31" fillId="0" borderId="0" xfId="0" applyNumberFormat="1" applyFont="1" applyFill="1" applyAlignment="1"/>
    <xf numFmtId="40" fontId="31" fillId="20" borderId="35" xfId="0" applyNumberFormat="1" applyFont="1" applyFill="1" applyBorder="1" applyAlignment="1">
      <alignment vertical="center"/>
    </xf>
    <xf numFmtId="40" fontId="31" fillId="6" borderId="35" xfId="0" applyNumberFormat="1" applyFont="1" applyFill="1" applyBorder="1" applyAlignment="1">
      <alignment vertical="center"/>
    </xf>
    <xf numFmtId="40" fontId="31" fillId="4" borderId="35" xfId="0" applyNumberFormat="1" applyFont="1" applyFill="1" applyBorder="1" applyAlignment="1">
      <alignment horizontal="center" vertical="center"/>
    </xf>
    <xf numFmtId="15" fontId="31" fillId="4" borderId="28" xfId="0" applyNumberFormat="1" applyFont="1" applyFill="1" applyBorder="1" applyAlignment="1">
      <alignment horizontal="right" vertical="center"/>
    </xf>
    <xf numFmtId="15" fontId="33" fillId="4" borderId="28" xfId="0" applyNumberFormat="1" applyFont="1" applyFill="1" applyBorder="1" applyAlignment="1">
      <alignment horizontal="right" vertical="center"/>
    </xf>
    <xf numFmtId="40" fontId="31" fillId="20" borderId="28" xfId="0" applyNumberFormat="1" applyFont="1" applyFill="1" applyBorder="1" applyAlignment="1">
      <alignment horizontal="right" vertical="center"/>
    </xf>
    <xf numFmtId="38" fontId="31" fillId="20" borderId="28" xfId="0" applyNumberFormat="1" applyFont="1" applyFill="1" applyBorder="1" applyAlignment="1">
      <alignment horizontal="center" vertical="center"/>
    </xf>
    <xf numFmtId="15" fontId="31" fillId="20" borderId="28" xfId="0" applyNumberFormat="1" applyFont="1" applyFill="1" applyBorder="1" applyAlignment="1">
      <alignment horizontal="right" vertical="center"/>
    </xf>
    <xf numFmtId="15" fontId="33" fillId="20" borderId="28" xfId="0" applyNumberFormat="1" applyFont="1" applyFill="1" applyBorder="1" applyAlignment="1">
      <alignment horizontal="right" vertical="center"/>
    </xf>
    <xf numFmtId="195" fontId="31" fillId="4" borderId="28" xfId="0" applyNumberFormat="1" applyFont="1" applyFill="1" applyBorder="1" applyAlignment="1">
      <alignment horizontal="right" vertical="center"/>
    </xf>
    <xf numFmtId="15" fontId="31" fillId="4" borderId="35" xfId="0" applyNumberFormat="1" applyFont="1" applyFill="1" applyBorder="1" applyAlignment="1">
      <alignment horizontal="right" vertical="center"/>
    </xf>
    <xf numFmtId="189" fontId="31" fillId="20" borderId="28" xfId="0" applyNumberFormat="1" applyFont="1" applyFill="1" applyBorder="1" applyAlignment="1">
      <alignment horizontal="right" vertical="center"/>
    </xf>
    <xf numFmtId="182" fontId="31" fillId="20" borderId="35" xfId="0" applyNumberFormat="1" applyFont="1" applyFill="1" applyBorder="1" applyAlignment="1">
      <alignment horizontal="center" vertical="center"/>
    </xf>
    <xf numFmtId="195" fontId="31" fillId="20" borderId="28" xfId="0" applyNumberFormat="1" applyFont="1" applyFill="1" applyBorder="1" applyAlignment="1">
      <alignment horizontal="right" vertical="center"/>
    </xf>
    <xf numFmtId="15" fontId="31" fillId="20" borderId="35" xfId="0" applyNumberFormat="1" applyFont="1" applyFill="1" applyBorder="1" applyAlignment="1">
      <alignment horizontal="right" vertical="center"/>
    </xf>
    <xf numFmtId="189" fontId="31" fillId="4" borderId="28" xfId="0" applyNumberFormat="1" applyFont="1" applyFill="1" applyBorder="1" applyAlignment="1">
      <alignment horizontal="right" vertical="center"/>
    </xf>
    <xf numFmtId="40" fontId="31" fillId="20" borderId="35" xfId="0" applyNumberFormat="1" applyFont="1" applyFill="1" applyBorder="1" applyAlignment="1">
      <alignment horizontal="center" vertical="center"/>
    </xf>
    <xf numFmtId="189" fontId="31" fillId="6" borderId="28" xfId="0" applyNumberFormat="1" applyFont="1" applyFill="1" applyBorder="1" applyAlignment="1">
      <alignment horizontal="right" vertical="center"/>
    </xf>
    <xf numFmtId="182" fontId="31" fillId="6" borderId="35" xfId="0" applyNumberFormat="1" applyFont="1" applyFill="1" applyBorder="1" applyAlignment="1">
      <alignment horizontal="center" vertical="center"/>
    </xf>
    <xf numFmtId="195" fontId="31" fillId="6" borderId="28" xfId="0" applyNumberFormat="1" applyFont="1" applyFill="1" applyBorder="1" applyAlignment="1">
      <alignment horizontal="right" vertical="center"/>
    </xf>
    <xf numFmtId="15" fontId="31" fillId="6" borderId="35" xfId="0" applyNumberFormat="1" applyFont="1" applyFill="1" applyBorder="1" applyAlignment="1">
      <alignment horizontal="right" vertical="center"/>
    </xf>
    <xf numFmtId="189" fontId="29" fillId="6" borderId="37" xfId="0" applyNumberFormat="1" applyFont="1" applyFill="1" applyBorder="1" applyAlignment="1">
      <alignment horizontal="center" vertical="center"/>
    </xf>
    <xf numFmtId="40" fontId="29" fillId="6" borderId="38" xfId="0" applyNumberFormat="1" applyFont="1" applyFill="1" applyBorder="1" applyAlignment="1">
      <alignment horizontal="center" vertical="center"/>
    </xf>
    <xf numFmtId="15" fontId="29" fillId="6" borderId="37" xfId="0" applyNumberFormat="1" applyFont="1" applyFill="1" applyBorder="1" applyAlignment="1">
      <alignment horizontal="right" vertical="center"/>
    </xf>
    <xf numFmtId="15" fontId="29" fillId="6" borderId="38" xfId="0" applyNumberFormat="1" applyFont="1" applyFill="1" applyBorder="1" applyAlignment="1">
      <alignment horizontal="right" vertical="center"/>
    </xf>
    <xf numFmtId="0" fontId="8" fillId="0" borderId="17" xfId="0" applyFont="1" applyBorder="1" applyAlignment="1">
      <alignment horizontal="center" vertical="center" wrapText="1"/>
    </xf>
    <xf numFmtId="0" fontId="8" fillId="0" borderId="22" xfId="0" applyFont="1" applyBorder="1" applyAlignment="1">
      <alignment horizontal="center" vertical="center" wrapText="1"/>
    </xf>
    <xf numFmtId="0" fontId="9"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9" fillId="0" borderId="20" xfId="0" applyFont="1" applyBorder="1" applyAlignment="1">
      <alignment horizontal="center" vertical="center" wrapText="1"/>
    </xf>
    <xf numFmtId="1" fontId="9" fillId="0" borderId="20"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0" fontId="7" fillId="24" borderId="31" xfId="0" applyFont="1" applyFill="1" applyBorder="1" applyAlignment="1">
      <alignment horizontal="center" vertical="center"/>
    </xf>
    <xf numFmtId="0" fontId="37" fillId="0" borderId="2"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13" xfId="0" applyFont="1" applyBorder="1" applyAlignment="1">
      <alignment horizontal="center" vertical="center" wrapText="1"/>
    </xf>
    <xf numFmtId="178" fontId="37" fillId="0" borderId="2" xfId="0" applyNumberFormat="1" applyFont="1" applyBorder="1" applyAlignment="1">
      <alignment horizontal="center" vertical="center" wrapText="1"/>
    </xf>
    <xf numFmtId="0" fontId="26" fillId="0" borderId="2"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13" xfId="0" applyFont="1" applyBorder="1" applyAlignment="1">
      <alignment horizontal="center" vertical="center" wrapText="1"/>
    </xf>
    <xf numFmtId="179" fontId="37" fillId="0" borderId="13" xfId="0" applyNumberFormat="1" applyFont="1" applyBorder="1" applyAlignment="1">
      <alignment horizontal="center" vertical="center" wrapText="1"/>
    </xf>
    <xf numFmtId="0" fontId="38" fillId="0" borderId="2" xfId="0" applyFont="1" applyBorder="1" applyAlignment="1">
      <alignment horizontal="center" vertical="center"/>
    </xf>
    <xf numFmtId="178" fontId="37" fillId="0" borderId="34" xfId="0" applyNumberFormat="1" applyFont="1" applyBorder="1" applyAlignment="1">
      <alignment horizontal="center" vertical="center" wrapText="1"/>
    </xf>
    <xf numFmtId="179" fontId="37" fillId="0" borderId="32" xfId="0" applyNumberFormat="1" applyFont="1" applyBorder="1" applyAlignment="1">
      <alignment horizontal="center" vertical="center" wrapText="1"/>
    </xf>
    <xf numFmtId="0" fontId="26" fillId="0" borderId="34" xfId="0" applyFont="1" applyBorder="1" applyAlignment="1">
      <alignment horizontal="center" vertical="center" wrapText="1"/>
    </xf>
    <xf numFmtId="9" fontId="38" fillId="0" borderId="2" xfId="0" applyNumberFormat="1" applyFont="1" applyBorder="1" applyAlignment="1">
      <alignment horizontal="center" vertical="center"/>
    </xf>
    <xf numFmtId="0" fontId="7" fillId="24" borderId="0" xfId="0" applyFont="1" applyFill="1" applyAlignment="1">
      <alignment horizontal="center" vertical="center"/>
    </xf>
    <xf numFmtId="0" fontId="40" fillId="24" borderId="0" xfId="0" applyFont="1" applyFill="1" applyAlignment="1">
      <alignment horizontal="left" vertical="center"/>
    </xf>
    <xf numFmtId="0" fontId="27" fillId="24" borderId="0" xfId="0" applyFont="1" applyFill="1" applyAlignment="1">
      <alignment horizontal="center" vertical="center"/>
    </xf>
    <xf numFmtId="0" fontId="1" fillId="0" borderId="2" xfId="0" applyFont="1" applyBorder="1" applyAlignment="1">
      <alignment horizontal="center" vertical="center"/>
    </xf>
    <xf numFmtId="0" fontId="27" fillId="0" borderId="2" xfId="0" applyFont="1" applyBorder="1" applyAlignment="1">
      <alignment vertical="center"/>
    </xf>
    <xf numFmtId="0" fontId="27" fillId="0" borderId="2" xfId="0" applyFont="1" applyBorder="1" applyAlignment="1">
      <alignment horizontal="left" vertical="center"/>
    </xf>
    <xf numFmtId="0" fontId="27" fillId="0" borderId="11" xfId="0" applyFont="1" applyBorder="1" applyAlignment="1">
      <alignment vertical="center"/>
    </xf>
    <xf numFmtId="0" fontId="27" fillId="0" borderId="13" xfId="0" applyFont="1" applyBorder="1" applyAlignment="1">
      <alignment vertical="center"/>
    </xf>
    <xf numFmtId="0" fontId="27" fillId="0" borderId="2" xfId="0" applyFont="1" applyBorder="1" applyAlignment="1">
      <alignment horizontal="right" vertical="center"/>
    </xf>
    <xf numFmtId="189" fontId="31" fillId="0" borderId="28" xfId="0" quotePrefix="1" applyNumberFormat="1" applyFont="1" applyFill="1" applyBorder="1" applyAlignment="1">
      <alignment horizontal="left" vertical="center"/>
    </xf>
    <xf numFmtId="189" fontId="3" fillId="0" borderId="28" xfId="0" quotePrefix="1" applyNumberFormat="1" applyFont="1" applyFill="1" applyBorder="1" applyAlignment="1">
      <alignment horizontal="left" vertical="center"/>
    </xf>
    <xf numFmtId="189" fontId="31" fillId="4" borderId="28" xfId="0" quotePrefix="1" applyNumberFormat="1" applyFont="1" applyFill="1" applyBorder="1" applyAlignment="1">
      <alignment horizontal="left" vertical="center"/>
    </xf>
    <xf numFmtId="38" fontId="29" fillId="0" borderId="28" xfId="0" quotePrefix="1" applyNumberFormat="1" applyFont="1" applyFill="1" applyBorder="1" applyAlignment="1">
      <alignment horizontal="center"/>
    </xf>
    <xf numFmtId="196" fontId="23" fillId="0" borderId="2" xfId="0" applyNumberFormat="1" applyFont="1" applyFill="1" applyBorder="1" applyAlignment="1">
      <alignment horizontal="center" vertical="center"/>
    </xf>
    <xf numFmtId="0" fontId="96" fillId="0" borderId="2" xfId="0" applyFont="1" applyBorder="1" applyAlignment="1">
      <alignment horizontal="justify" vertical="center"/>
    </xf>
    <xf numFmtId="0" fontId="96" fillId="0" borderId="32" xfId="0" applyFont="1" applyBorder="1" applyAlignment="1"/>
    <xf numFmtId="0" fontId="96" fillId="0" borderId="13" xfId="0" applyFont="1" applyBorder="1" applyAlignment="1"/>
    <xf numFmtId="0" fontId="96" fillId="0" borderId="13" xfId="0" applyFont="1" applyBorder="1" applyAlignment="1">
      <alignment horizontal="justify" vertical="center"/>
    </xf>
    <xf numFmtId="49" fontId="95" fillId="0" borderId="2" xfId="0" applyNumberFormat="1" applyFont="1" applyFill="1" applyBorder="1" applyAlignment="1">
      <alignment horizontal="center" vertical="center"/>
    </xf>
    <xf numFmtId="196" fontId="95" fillId="0" borderId="2" xfId="0" applyNumberFormat="1" applyFont="1" applyFill="1" applyBorder="1" applyAlignment="1">
      <alignment horizontal="center" vertical="center"/>
    </xf>
    <xf numFmtId="0" fontId="96" fillId="0" borderId="2" xfId="0" applyFont="1" applyBorder="1" applyAlignment="1">
      <alignment horizontal="center" vertical="center"/>
    </xf>
    <xf numFmtId="0" fontId="95" fillId="0" borderId="0" xfId="0" applyFont="1" applyAlignment="1">
      <alignment horizontal="center" vertical="center"/>
    </xf>
    <xf numFmtId="0" fontId="23" fillId="28" borderId="30" xfId="0" applyFont="1" applyFill="1" applyBorder="1" applyAlignment="1"/>
    <xf numFmtId="49" fontId="95" fillId="0" borderId="26" xfId="0" applyNumberFormat="1" applyFont="1" applyFill="1" applyBorder="1" applyAlignment="1">
      <alignment horizontal="center" vertical="center"/>
    </xf>
    <xf numFmtId="0" fontId="99" fillId="0" borderId="29" xfId="0" applyFont="1" applyBorder="1" applyAlignment="1">
      <alignment horizontal="center" vertical="center" wrapText="1"/>
    </xf>
    <xf numFmtId="9" fontId="23" fillId="0" borderId="2" xfId="0" applyNumberFormat="1" applyFont="1" applyFill="1" applyBorder="1" applyAlignment="1">
      <alignment horizontal="center" vertical="center"/>
    </xf>
    <xf numFmtId="0" fontId="100" fillId="0" borderId="0" xfId="0" applyFont="1" applyAlignment="1">
      <alignment horizontal="center"/>
    </xf>
    <xf numFmtId="0" fontId="101" fillId="0" borderId="0" xfId="0" applyFont="1" applyAlignment="1">
      <alignment vertical="center"/>
    </xf>
    <xf numFmtId="0" fontId="103" fillId="0" borderId="2" xfId="1542" applyFont="1" applyBorder="1" applyAlignment="1">
      <alignment horizontal="center"/>
    </xf>
    <xf numFmtId="0" fontId="101" fillId="0" borderId="2" xfId="0" applyFont="1" applyBorder="1" applyAlignment="1">
      <alignment horizontal="center" vertical="center"/>
    </xf>
    <xf numFmtId="182" fontId="1" fillId="0" borderId="2" xfId="0" applyNumberFormat="1" applyFont="1" applyBorder="1" applyAlignment="1">
      <alignment horizontal="center" vertical="center"/>
    </xf>
    <xf numFmtId="0" fontId="104" fillId="0" borderId="2" xfId="0" applyFont="1" applyBorder="1" applyAlignment="1">
      <alignment horizontal="center" vertical="center"/>
    </xf>
    <xf numFmtId="182" fontId="0" fillId="0" borderId="2" xfId="0" applyNumberFormat="1" applyBorder="1" applyAlignment="1">
      <alignment horizontal="center" vertical="center"/>
    </xf>
    <xf numFmtId="0" fontId="104" fillId="0" borderId="0" xfId="1542" applyFont="1" applyAlignment="1"/>
    <xf numFmtId="176" fontId="23" fillId="0" borderId="2" xfId="0" applyNumberFormat="1" applyFont="1" applyFill="1" applyBorder="1" applyAlignment="1">
      <alignment horizontal="center" vertical="center" wrapText="1"/>
    </xf>
    <xf numFmtId="0" fontId="95" fillId="0" borderId="2" xfId="0" applyNumberFormat="1" applyFont="1" applyFill="1" applyBorder="1" applyAlignment="1">
      <alignment horizontal="center" vertical="center"/>
    </xf>
    <xf numFmtId="0" fontId="106" fillId="29" borderId="40" xfId="0" applyFont="1" applyFill="1" applyBorder="1" applyAlignment="1">
      <alignment vertical="center" wrapText="1"/>
    </xf>
    <xf numFmtId="0" fontId="106" fillId="29" borderId="41" xfId="0" applyFont="1" applyFill="1" applyBorder="1" applyAlignment="1">
      <alignment vertical="center" wrapText="1"/>
    </xf>
    <xf numFmtId="0" fontId="106" fillId="29" borderId="42" xfId="0" applyFont="1" applyFill="1" applyBorder="1" applyAlignment="1">
      <alignment vertical="center" wrapText="1"/>
    </xf>
    <xf numFmtId="0" fontId="107" fillId="30" borderId="40" xfId="0" applyFont="1" applyFill="1" applyBorder="1" applyAlignment="1">
      <alignment horizontal="center" vertical="center" wrapText="1"/>
    </xf>
    <xf numFmtId="0" fontId="107" fillId="30" borderId="41" xfId="0" applyFont="1" applyFill="1" applyBorder="1" applyAlignment="1">
      <alignment horizontal="center" vertical="center" wrapText="1"/>
    </xf>
    <xf numFmtId="0" fontId="107" fillId="30" borderId="42" xfId="0" applyFont="1" applyFill="1" applyBorder="1" applyAlignment="1">
      <alignment horizontal="center" vertical="center" wrapText="1"/>
    </xf>
    <xf numFmtId="178" fontId="94" fillId="0" borderId="0" xfId="1542" applyNumberFormat="1" applyAlignment="1"/>
    <xf numFmtId="182" fontId="94" fillId="0" borderId="0" xfId="1542" applyNumberFormat="1" applyAlignment="1"/>
    <xf numFmtId="0" fontId="106" fillId="28" borderId="40" xfId="0" applyFont="1" applyFill="1" applyBorder="1" applyAlignment="1">
      <alignment vertical="center" wrapText="1"/>
    </xf>
    <xf numFmtId="0" fontId="106" fillId="28" borderId="41" xfId="0" applyFont="1" applyFill="1" applyBorder="1" applyAlignment="1">
      <alignment vertical="center" wrapText="1"/>
    </xf>
    <xf numFmtId="0" fontId="106" fillId="28" borderId="42" xfId="0" applyFont="1" applyFill="1" applyBorder="1" applyAlignment="1">
      <alignment vertical="center" wrapText="1"/>
    </xf>
    <xf numFmtId="0" fontId="0" fillId="28" borderId="0" xfId="0" applyFill="1">
      <alignment vertical="center"/>
    </xf>
    <xf numFmtId="0" fontId="108" fillId="0" borderId="2" xfId="0" applyFont="1" applyBorder="1" applyAlignment="1">
      <alignment horizontal="center" vertical="center" wrapText="1"/>
    </xf>
    <xf numFmtId="0" fontId="98" fillId="0" borderId="2" xfId="0" applyFont="1" applyBorder="1" applyAlignment="1">
      <alignment horizontal="left" vertical="center" wrapText="1"/>
    </xf>
    <xf numFmtId="0" fontId="98" fillId="0" borderId="2" xfId="0" applyFont="1" applyBorder="1" applyAlignment="1">
      <alignment horizontal="center" vertical="center" wrapText="1"/>
    </xf>
    <xf numFmtId="197" fontId="109" fillId="12" borderId="2" xfId="0" applyNumberFormat="1" applyFont="1" applyFill="1" applyBorder="1" applyAlignment="1">
      <alignment horizontal="left" vertical="center" wrapText="1"/>
    </xf>
    <xf numFmtId="0" fontId="110" fillId="12" borderId="2" xfId="0" applyFont="1" applyFill="1" applyBorder="1" applyAlignment="1">
      <alignment horizontal="center"/>
    </xf>
    <xf numFmtId="57" fontId="98" fillId="0" borderId="2" xfId="0" applyNumberFormat="1" applyFont="1" applyBorder="1" applyAlignment="1">
      <alignment horizontal="left" vertical="center" wrapText="1"/>
    </xf>
    <xf numFmtId="0" fontId="111" fillId="25" borderId="2" xfId="0" applyFont="1" applyFill="1" applyBorder="1" applyAlignment="1">
      <alignment horizontal="center" vertical="center" wrapText="1"/>
    </xf>
    <xf numFmtId="57" fontId="98" fillId="0" borderId="2" xfId="0" applyNumberFormat="1" applyFont="1" applyFill="1" applyBorder="1" applyAlignment="1">
      <alignment horizontal="left" vertical="center" wrapText="1"/>
    </xf>
    <xf numFmtId="0" fontId="98" fillId="0" borderId="27" xfId="0" applyFont="1" applyFill="1" applyBorder="1" applyAlignment="1">
      <alignment horizontal="center" vertical="center" wrapText="1"/>
    </xf>
    <xf numFmtId="49" fontId="103" fillId="0" borderId="0" xfId="0" applyNumberFormat="1" applyFont="1" applyFill="1" applyBorder="1" applyAlignment="1">
      <alignment horizontal="center" vertical="center" wrapText="1"/>
    </xf>
    <xf numFmtId="177" fontId="23" fillId="0" borderId="0" xfId="0" applyNumberFormat="1" applyFont="1" applyAlignment="1"/>
    <xf numFmtId="10" fontId="103" fillId="0" borderId="0" xfId="0" applyNumberFormat="1" applyFont="1" applyFill="1" applyBorder="1" applyAlignment="1">
      <alignment horizontal="center" vertical="center" wrapText="1"/>
    </xf>
    <xf numFmtId="178" fontId="23" fillId="0" borderId="2" xfId="0" applyNumberFormat="1" applyFont="1" applyFill="1" applyBorder="1" applyAlignment="1">
      <alignment horizontal="center" vertical="center"/>
    </xf>
    <xf numFmtId="0" fontId="103" fillId="0" borderId="2" xfId="0" applyFont="1" applyFill="1" applyBorder="1" applyAlignment="1"/>
    <xf numFmtId="0" fontId="103" fillId="0" borderId="2" xfId="0" applyFont="1" applyBorder="1" applyAlignment="1"/>
    <xf numFmtId="49" fontId="23" fillId="28" borderId="2" xfId="0" applyNumberFormat="1" applyFont="1" applyFill="1" applyBorder="1" applyAlignment="1">
      <alignment horizontal="center" vertical="center"/>
    </xf>
    <xf numFmtId="0" fontId="23" fillId="28" borderId="2" xfId="0" applyFont="1" applyFill="1" applyBorder="1" applyAlignment="1">
      <alignment horizontal="center" vertical="center"/>
    </xf>
    <xf numFmtId="49" fontId="95" fillId="28" borderId="2" xfId="0" applyNumberFormat="1" applyFont="1" applyFill="1" applyBorder="1" applyAlignment="1">
      <alignment horizontal="center" vertical="center"/>
    </xf>
    <xf numFmtId="0" fontId="3" fillId="28" borderId="2" xfId="0" applyFont="1" applyFill="1" applyBorder="1" applyAlignment="1">
      <alignment horizontal="center"/>
    </xf>
    <xf numFmtId="182" fontId="4" fillId="28" borderId="2" xfId="1542" applyNumberFormat="1" applyFont="1" applyFill="1" applyBorder="1" applyAlignment="1">
      <alignment horizontal="center"/>
    </xf>
    <xf numFmtId="176" fontId="4" fillId="28" borderId="2" xfId="1542" applyNumberFormat="1" applyFont="1" applyFill="1" applyBorder="1" applyAlignment="1">
      <alignment horizontal="center"/>
    </xf>
    <xf numFmtId="198" fontId="3" fillId="0" borderId="2" xfId="1542" applyNumberFormat="1" applyFont="1" applyBorder="1" applyAlignment="1">
      <alignment horizontal="center"/>
    </xf>
    <xf numFmtId="0" fontId="37" fillId="31" borderId="32" xfId="0" applyFont="1" applyFill="1" applyBorder="1" applyAlignment="1">
      <alignment horizontal="center" vertical="center" wrapText="1"/>
    </xf>
    <xf numFmtId="178" fontId="37" fillId="31" borderId="2" xfId="0" applyNumberFormat="1" applyFont="1" applyFill="1" applyBorder="1" applyAlignment="1">
      <alignment horizontal="center" vertical="center" wrapText="1"/>
    </xf>
    <xf numFmtId="0" fontId="37" fillId="31" borderId="2" xfId="0" applyFont="1" applyFill="1" applyBorder="1" applyAlignment="1">
      <alignment horizontal="center" vertical="center" wrapText="1"/>
    </xf>
    <xf numFmtId="0" fontId="113" fillId="32" borderId="2" xfId="1749" applyFont="1" applyFill="1" applyBorder="1" applyAlignment="1">
      <alignment horizontal="center" vertical="center" wrapText="1"/>
    </xf>
    <xf numFmtId="0" fontId="113" fillId="0" borderId="0" xfId="1749" applyFont="1" applyBorder="1" applyAlignment="1">
      <alignment horizontal="left" vertical="center" wrapText="1"/>
    </xf>
    <xf numFmtId="0" fontId="114" fillId="0" borderId="0" xfId="1750">
      <alignment vertical="center"/>
    </xf>
    <xf numFmtId="14" fontId="113" fillId="32" borderId="2" xfId="1749" applyNumberFormat="1" applyFont="1" applyFill="1" applyBorder="1" applyAlignment="1">
      <alignment horizontal="center" vertical="center" wrapText="1"/>
    </xf>
    <xf numFmtId="0" fontId="113" fillId="29" borderId="2" xfId="1749" applyFont="1" applyFill="1" applyBorder="1" applyAlignment="1" applyProtection="1">
      <alignment horizontal="center" vertical="center" wrapText="1"/>
      <protection locked="0"/>
    </xf>
    <xf numFmtId="0" fontId="112" fillId="32" borderId="2" xfId="1749" applyFill="1" applyBorder="1" applyAlignment="1">
      <alignment vertical="center"/>
    </xf>
    <xf numFmtId="0" fontId="113" fillId="32" borderId="26" xfId="1749" applyFont="1" applyFill="1" applyBorder="1" applyAlignment="1">
      <alignment horizontal="center" vertical="center" wrapText="1"/>
    </xf>
    <xf numFmtId="0" fontId="114" fillId="32" borderId="2" xfId="1749" applyFont="1" applyFill="1" applyBorder="1" applyAlignment="1">
      <alignment vertical="center"/>
    </xf>
    <xf numFmtId="0" fontId="112" fillId="0" borderId="2" xfId="1749" applyBorder="1" applyAlignment="1" applyProtection="1">
      <alignment vertical="center"/>
      <protection locked="0"/>
    </xf>
    <xf numFmtId="0" fontId="113" fillId="0" borderId="2" xfId="1749" applyFont="1" applyBorder="1" applyAlignment="1" applyProtection="1">
      <alignment horizontal="left" vertical="center" wrapText="1"/>
      <protection locked="0"/>
    </xf>
    <xf numFmtId="0" fontId="1" fillId="0" borderId="2" xfId="0" applyFont="1" applyBorder="1" applyAlignment="1">
      <alignment horizontal="center" vertical="center"/>
    </xf>
    <xf numFmtId="31" fontId="1" fillId="0" borderId="2" xfId="0" applyNumberFormat="1" applyFont="1" applyBorder="1" applyAlignment="1">
      <alignment horizontal="center" vertical="center"/>
    </xf>
    <xf numFmtId="0" fontId="1" fillId="25" borderId="2" xfId="0" applyFont="1" applyFill="1" applyBorder="1" applyAlignment="1">
      <alignment horizontal="center" vertical="center"/>
    </xf>
    <xf numFmtId="0" fontId="27" fillId="0" borderId="2" xfId="0" applyFont="1" applyBorder="1" applyAlignment="1">
      <alignment horizontal="center" vertical="center"/>
    </xf>
    <xf numFmtId="31" fontId="27" fillId="0" borderId="2" xfId="0" applyNumberFormat="1" applyFont="1" applyBorder="1" applyAlignment="1">
      <alignment horizontal="center" vertical="center"/>
    </xf>
    <xf numFmtId="0" fontId="27" fillId="0" borderId="2" xfId="0" applyFont="1" applyBorder="1" applyAlignment="1">
      <alignment horizontal="left" vertical="center"/>
    </xf>
    <xf numFmtId="0" fontId="38" fillId="0" borderId="2" xfId="0" applyFont="1" applyBorder="1" applyAlignment="1">
      <alignment horizontal="center" vertical="center"/>
    </xf>
    <xf numFmtId="0" fontId="36" fillId="24" borderId="0" xfId="0" applyFont="1" applyFill="1" applyBorder="1" applyAlignment="1">
      <alignment horizontal="center" vertical="center" wrapText="1"/>
    </xf>
    <xf numFmtId="0" fontId="7" fillId="24" borderId="31" xfId="0" applyFont="1" applyFill="1" applyBorder="1" applyAlignment="1">
      <alignment horizontal="center" vertical="center"/>
    </xf>
    <xf numFmtId="0" fontId="37"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20" xfId="0" applyFont="1" applyFill="1" applyBorder="1" applyAlignment="1">
      <alignment horizontal="center" vertical="center" wrapText="1"/>
    </xf>
    <xf numFmtId="1" fontId="8" fillId="0" borderId="23" xfId="0" applyNumberFormat="1" applyFont="1" applyBorder="1" applyAlignment="1">
      <alignment horizontal="center" vertical="center" wrapText="1"/>
    </xf>
    <xf numFmtId="1" fontId="8" fillId="0" borderId="25" xfId="0" applyNumberFormat="1" applyFont="1" applyBorder="1" applyAlignment="1">
      <alignment horizontal="center" vertical="center" wrapText="1"/>
    </xf>
    <xf numFmtId="0" fontId="8" fillId="0" borderId="23" xfId="0" applyFont="1" applyBorder="1" applyAlignment="1">
      <alignment horizontal="center" vertical="center" wrapText="1"/>
    </xf>
    <xf numFmtId="0" fontId="8" fillId="0" borderId="25" xfId="0" applyFont="1" applyBorder="1" applyAlignment="1">
      <alignment horizontal="center" vertical="center" wrapText="1"/>
    </xf>
    <xf numFmtId="0" fontId="38" fillId="0" borderId="26" xfId="0" applyFont="1" applyBorder="1" applyAlignment="1">
      <alignment horizontal="center" vertical="center"/>
    </xf>
    <xf numFmtId="0" fontId="38" fillId="0" borderId="2" xfId="0" applyFont="1" applyBorder="1" applyAlignment="1">
      <alignment horizontal="center" vertical="center" wrapText="1"/>
    </xf>
    <xf numFmtId="0" fontId="0" fillId="0" borderId="2" xfId="0" applyBorder="1" applyAlignment="1">
      <alignment horizontal="center" vertical="center"/>
    </xf>
    <xf numFmtId="0" fontId="38" fillId="0" borderId="16"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19"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179" fontId="37" fillId="0" borderId="11" xfId="0" applyNumberFormat="1" applyFont="1" applyBorder="1" applyAlignment="1">
      <alignment horizontal="center" vertical="center" wrapText="1"/>
    </xf>
    <xf numFmtId="179" fontId="37" fillId="0" borderId="12" xfId="0" applyNumberFormat="1" applyFont="1" applyBorder="1" applyAlignment="1">
      <alignment horizontal="center" vertical="center" wrapText="1"/>
    </xf>
    <xf numFmtId="179" fontId="37" fillId="0" borderId="13" xfId="0" applyNumberFormat="1" applyFont="1" applyBorder="1" applyAlignment="1">
      <alignment horizontal="center" vertical="center" wrapText="1"/>
    </xf>
    <xf numFmtId="179" fontId="37" fillId="0" borderId="2" xfId="0" applyNumberFormat="1" applyFont="1" applyBorder="1" applyAlignment="1">
      <alignment horizontal="center" vertical="center" wrapText="1"/>
    </xf>
    <xf numFmtId="0" fontId="39" fillId="0" borderId="2" xfId="0" applyFont="1" applyFill="1" applyBorder="1" applyAlignment="1">
      <alignment horizontal="center" vertical="center"/>
    </xf>
    <xf numFmtId="0" fontId="38" fillId="0" borderId="17" xfId="0" applyFont="1" applyBorder="1" applyAlignment="1">
      <alignment horizontal="center" vertical="center"/>
    </xf>
    <xf numFmtId="0" fontId="38" fillId="0" borderId="20" xfId="0" applyFont="1" applyBorder="1" applyAlignment="1">
      <alignment horizontal="center" vertical="center"/>
    </xf>
    <xf numFmtId="0" fontId="0" fillId="0" borderId="2" xfId="0" applyBorder="1" applyAlignment="1">
      <alignment horizontal="right" vertical="center"/>
    </xf>
    <xf numFmtId="0" fontId="0" fillId="0" borderId="30" xfId="0" applyBorder="1" applyAlignment="1">
      <alignment horizontal="center" vertical="center"/>
    </xf>
    <xf numFmtId="0" fontId="0" fillId="0" borderId="2" xfId="0" applyFont="1" applyBorder="1" applyAlignment="1">
      <alignment horizontal="center" vertical="center"/>
    </xf>
    <xf numFmtId="0" fontId="38" fillId="0" borderId="39" xfId="0" applyFont="1" applyBorder="1" applyAlignment="1">
      <alignment horizontal="center" vertical="center" wrapText="1"/>
    </xf>
    <xf numFmtId="0" fontId="98" fillId="0" borderId="16"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6" xfId="0" applyFont="1" applyBorder="1" applyAlignment="1">
      <alignment horizontal="center" vertical="center" wrapText="1"/>
    </xf>
    <xf numFmtId="0" fontId="37" fillId="0" borderId="26"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20" xfId="0" applyFont="1" applyBorder="1" applyAlignment="1">
      <alignment horizontal="center" vertical="center" wrapText="1"/>
    </xf>
    <xf numFmtId="189" fontId="29" fillId="0" borderId="26" xfId="0" applyNumberFormat="1" applyFont="1" applyBorder="1" applyAlignment="1">
      <alignment horizontal="right" vertical="top" wrapText="1"/>
    </xf>
    <xf numFmtId="189" fontId="29" fillId="0" borderId="27" xfId="0" applyNumberFormat="1" applyFont="1" applyBorder="1" applyAlignment="1">
      <alignment horizontal="right" vertical="top" wrapText="1"/>
    </xf>
    <xf numFmtId="38" fontId="29" fillId="0" borderId="11" xfId="0" applyNumberFormat="1" applyFont="1" applyBorder="1" applyAlignment="1">
      <alignment horizontal="center" vertical="center"/>
    </xf>
    <xf numFmtId="38" fontId="29" fillId="0" borderId="13" xfId="0" applyNumberFormat="1" applyFont="1" applyBorder="1" applyAlignment="1">
      <alignment horizontal="center" vertical="center"/>
    </xf>
    <xf numFmtId="189" fontId="29" fillId="0" borderId="26" xfId="0" applyNumberFormat="1" applyFont="1" applyFill="1" applyBorder="1" applyAlignment="1">
      <alignment horizontal="center" vertical="top" wrapText="1"/>
    </xf>
    <xf numFmtId="189" fontId="29" fillId="0" borderId="27" xfId="0" applyNumberFormat="1" applyFont="1" applyFill="1" applyBorder="1" applyAlignment="1">
      <alignment horizontal="center" vertical="top" wrapText="1"/>
    </xf>
    <xf numFmtId="189" fontId="29" fillId="0" borderId="26" xfId="0" applyNumberFormat="1" applyFont="1" applyBorder="1" applyAlignment="1">
      <alignment horizontal="center" vertical="center" wrapText="1"/>
    </xf>
    <xf numFmtId="189" fontId="29" fillId="0" borderId="27" xfId="0" applyNumberFormat="1" applyFont="1" applyBorder="1" applyAlignment="1">
      <alignment horizontal="center" vertical="center" wrapText="1"/>
    </xf>
    <xf numFmtId="189" fontId="29" fillId="24" borderId="26" xfId="0" applyNumberFormat="1" applyFont="1" applyFill="1" applyBorder="1" applyAlignment="1">
      <alignment horizontal="center" vertical="center" wrapText="1"/>
    </xf>
    <xf numFmtId="189" fontId="29" fillId="24" borderId="27" xfId="0" applyNumberFormat="1" applyFont="1" applyFill="1" applyBorder="1" applyAlignment="1">
      <alignment horizontal="center" vertical="center" wrapText="1"/>
    </xf>
    <xf numFmtId="189" fontId="29" fillId="24" borderId="32" xfId="0" applyNumberFormat="1" applyFont="1" applyFill="1" applyBorder="1" applyAlignment="1">
      <alignment vertical="center" wrapText="1"/>
    </xf>
    <xf numFmtId="189" fontId="29" fillId="24" borderId="34" xfId="0" applyNumberFormat="1" applyFont="1" applyFill="1" applyBorder="1" applyAlignment="1">
      <alignment vertical="center" wrapText="1"/>
    </xf>
    <xf numFmtId="189" fontId="29" fillId="0" borderId="32" xfId="0" applyNumberFormat="1" applyFont="1" applyBorder="1" applyAlignment="1">
      <alignment vertical="center" wrapText="1"/>
    </xf>
    <xf numFmtId="189" fontId="29" fillId="0" borderId="34" xfId="0" applyNumberFormat="1" applyFont="1" applyBorder="1" applyAlignment="1">
      <alignment vertical="center" wrapText="1"/>
    </xf>
    <xf numFmtId="189" fontId="29" fillId="24" borderId="32" xfId="0" applyNumberFormat="1" applyFont="1" applyFill="1" applyBorder="1" applyAlignment="1">
      <alignment vertical="top" wrapText="1"/>
    </xf>
    <xf numFmtId="189" fontId="29" fillId="24" borderId="34" xfId="0" applyNumberFormat="1" applyFont="1" applyFill="1" applyBorder="1" applyAlignment="1">
      <alignment vertical="top" wrapText="1"/>
    </xf>
    <xf numFmtId="189" fontId="29" fillId="0" borderId="32" xfId="0" applyNumberFormat="1" applyFont="1" applyFill="1" applyBorder="1" applyAlignment="1">
      <alignment vertical="top" wrapText="1"/>
    </xf>
    <xf numFmtId="189" fontId="29" fillId="0" borderId="34" xfId="0" applyNumberFormat="1" applyFont="1" applyFill="1" applyBorder="1" applyAlignment="1">
      <alignment vertical="top" wrapText="1"/>
    </xf>
    <xf numFmtId="189" fontId="29" fillId="0" borderId="26" xfId="0" applyNumberFormat="1" applyFont="1" applyFill="1" applyBorder="1" applyAlignment="1">
      <alignment horizontal="right" vertical="top" wrapText="1"/>
    </xf>
    <xf numFmtId="189" fontId="31" fillId="0" borderId="27" xfId="0" applyNumberFormat="1" applyFont="1" applyFill="1" applyBorder="1" applyAlignment="1">
      <alignment horizontal="right" vertical="top" wrapText="1"/>
    </xf>
    <xf numFmtId="189" fontId="31" fillId="0" borderId="27" xfId="0" applyNumberFormat="1" applyFont="1" applyBorder="1" applyAlignment="1">
      <alignment horizontal="right" vertical="top" wrapText="1"/>
    </xf>
    <xf numFmtId="0" fontId="17" fillId="0" borderId="11" xfId="0" applyNumberFormat="1" applyFont="1" applyFill="1" applyBorder="1" applyAlignment="1" applyProtection="1">
      <alignment horizontal="center"/>
    </xf>
    <xf numFmtId="0" fontId="17" fillId="0" borderId="12" xfId="0" applyNumberFormat="1" applyFont="1" applyFill="1" applyBorder="1" applyAlignment="1" applyProtection="1">
      <alignment horizontal="center"/>
    </xf>
    <xf numFmtId="0" fontId="15" fillId="0" borderId="29" xfId="0" applyNumberFormat="1" applyFont="1" applyFill="1" applyBorder="1" applyAlignment="1" applyProtection="1">
      <alignment horizontal="center"/>
    </xf>
    <xf numFmtId="0" fontId="15" fillId="0" borderId="30" xfId="0" applyNumberFormat="1" applyFont="1" applyFill="1" applyBorder="1" applyAlignment="1" applyProtection="1">
      <alignment horizontal="center"/>
    </xf>
    <xf numFmtId="0" fontId="15" fillId="0" borderId="32" xfId="0" applyNumberFormat="1" applyFont="1" applyFill="1" applyBorder="1" applyAlignment="1" applyProtection="1">
      <alignment horizontal="center"/>
    </xf>
    <xf numFmtId="0" fontId="16" fillId="0" borderId="31" xfId="0" applyNumberFormat="1" applyFont="1" applyFill="1" applyBorder="1" applyAlignment="1" applyProtection="1">
      <alignment horizontal="center"/>
    </xf>
    <xf numFmtId="0" fontId="16" fillId="0" borderId="33" xfId="0" applyNumberFormat="1" applyFont="1" applyFill="1" applyBorder="1" applyAlignment="1" applyProtection="1">
      <alignment horizontal="center"/>
    </xf>
    <xf numFmtId="0" fontId="16" fillId="0" borderId="34" xfId="0" applyNumberFormat="1" applyFont="1" applyFill="1" applyBorder="1" applyAlignment="1" applyProtection="1">
      <alignment horizontal="center"/>
    </xf>
    <xf numFmtId="0" fontId="17" fillId="0" borderId="11" xfId="0" applyNumberFormat="1" applyFont="1" applyFill="1" applyBorder="1" applyAlignment="1" applyProtection="1">
      <alignment horizontal="center" vertical="center"/>
    </xf>
    <xf numFmtId="0" fontId="17" fillId="0" borderId="13" xfId="0" applyNumberFormat="1" applyFont="1" applyFill="1" applyBorder="1" applyAlignment="1" applyProtection="1">
      <alignment horizontal="center" vertical="center"/>
    </xf>
    <xf numFmtId="0" fontId="17" fillId="0" borderId="29" xfId="0" applyNumberFormat="1" applyFont="1" applyFill="1" applyBorder="1" applyAlignment="1" applyProtection="1">
      <alignment horizontal="center" vertical="center"/>
    </xf>
    <xf numFmtId="0" fontId="17" fillId="0" borderId="32" xfId="0" applyNumberFormat="1" applyFont="1" applyFill="1" applyBorder="1" applyAlignment="1" applyProtection="1">
      <alignment horizontal="center" vertical="center"/>
    </xf>
    <xf numFmtId="0" fontId="17" fillId="0" borderId="33" xfId="0" applyNumberFormat="1" applyFont="1" applyFill="1" applyBorder="1" applyAlignment="1" applyProtection="1">
      <alignment horizontal="center" vertical="center"/>
    </xf>
    <xf numFmtId="0" fontId="17" fillId="0" borderId="34" xfId="0" applyNumberFormat="1" applyFont="1" applyFill="1" applyBorder="1" applyAlignment="1" applyProtection="1">
      <alignment horizontal="center" vertical="center"/>
    </xf>
    <xf numFmtId="0" fontId="17" fillId="0" borderId="26" xfId="0" applyNumberFormat="1" applyFont="1" applyFill="1" applyBorder="1" applyAlignment="1" applyProtection="1">
      <alignment horizontal="center" vertical="center"/>
    </xf>
    <xf numFmtId="0" fontId="17" fillId="0" borderId="27" xfId="0" applyNumberFormat="1" applyFont="1" applyFill="1" applyBorder="1" applyAlignment="1" applyProtection="1">
      <alignment horizontal="center" vertical="center"/>
    </xf>
    <xf numFmtId="0" fontId="17" fillId="17" borderId="32" xfId="0" applyNumberFormat="1" applyFont="1" applyFill="1" applyBorder="1" applyAlignment="1" applyProtection="1">
      <alignment horizontal="center"/>
    </xf>
    <xf numFmtId="0" fontId="17" fillId="17" borderId="35" xfId="0" applyNumberFormat="1" applyFont="1" applyFill="1" applyBorder="1" applyAlignment="1" applyProtection="1">
      <alignment horizontal="center"/>
    </xf>
    <xf numFmtId="0" fontId="17" fillId="17" borderId="0" xfId="0" applyNumberFormat="1" applyFont="1" applyFill="1" applyBorder="1" applyAlignment="1" applyProtection="1">
      <alignment horizontal="center"/>
    </xf>
    <xf numFmtId="0" fontId="17" fillId="0" borderId="0" xfId="0" applyNumberFormat="1" applyFont="1" applyFill="1" applyBorder="1" applyAlignment="1" applyProtection="1"/>
    <xf numFmtId="0" fontId="0" fillId="0" borderId="26" xfId="0" applyBorder="1" applyAlignment="1">
      <alignment horizontal="center" vertical="center"/>
    </xf>
    <xf numFmtId="0" fontId="0" fillId="0" borderId="27" xfId="0" applyBorder="1" applyAlignment="1">
      <alignment horizontal="center" vertical="center"/>
    </xf>
    <xf numFmtId="0" fontId="17" fillId="0" borderId="36" xfId="0" applyNumberFormat="1" applyFont="1" applyFill="1" applyBorder="1" applyAlignment="1" applyProtection="1">
      <alignment horizontal="center" vertical="center"/>
    </xf>
    <xf numFmtId="0" fontId="17" fillId="0" borderId="35" xfId="0" applyNumberFormat="1" applyFont="1" applyFill="1" applyBorder="1" applyAlignment="1" applyProtection="1">
      <alignment horizontal="center" vertical="center"/>
    </xf>
    <xf numFmtId="0" fontId="17" fillId="0" borderId="26" xfId="0" applyNumberFormat="1" applyFont="1" applyFill="1" applyBorder="1" applyAlignment="1" applyProtection="1">
      <alignment horizontal="center" vertical="center" wrapText="1"/>
    </xf>
    <xf numFmtId="0" fontId="17" fillId="0" borderId="28" xfId="0" applyNumberFormat="1" applyFont="1" applyFill="1" applyBorder="1" applyAlignment="1" applyProtection="1">
      <alignment horizontal="center" vertical="center" wrapText="1"/>
    </xf>
    <xf numFmtId="0" fontId="17" fillId="0" borderId="27"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xf numFmtId="0" fontId="17" fillId="0" borderId="13" xfId="0" applyNumberFormat="1" applyFont="1" applyFill="1" applyBorder="1" applyAlignment="1" applyProtection="1">
      <alignment horizontal="center"/>
    </xf>
    <xf numFmtId="0" fontId="9" fillId="0" borderId="0" xfId="0" applyFont="1" applyAlignment="1">
      <alignment horizontal="center" vertical="center"/>
    </xf>
    <xf numFmtId="0" fontId="3" fillId="0" borderId="0" xfId="0" applyNumberFormat="1" applyFont="1" applyFill="1" applyBorder="1" applyAlignment="1" applyProtection="1">
      <alignment horizontal="center"/>
    </xf>
    <xf numFmtId="182" fontId="17" fillId="0" borderId="11" xfId="0" applyNumberFormat="1" applyFont="1" applyFill="1" applyBorder="1" applyAlignment="1" applyProtection="1">
      <alignment horizontal="center"/>
    </xf>
    <xf numFmtId="182" fontId="17" fillId="0" borderId="13" xfId="0" applyNumberFormat="1" applyFont="1" applyFill="1" applyBorder="1" applyAlignment="1" applyProtection="1">
      <alignment horizontal="center"/>
    </xf>
    <xf numFmtId="0" fontId="16" fillId="0" borderId="11" xfId="0" applyNumberFormat="1" applyFont="1" applyFill="1" applyBorder="1" applyAlignment="1" applyProtection="1">
      <alignment horizontal="center"/>
    </xf>
    <xf numFmtId="0" fontId="16" fillId="0" borderId="13" xfId="0" applyNumberFormat="1" applyFont="1" applyFill="1" applyBorder="1" applyAlignment="1" applyProtection="1">
      <alignment horizontal="center"/>
    </xf>
    <xf numFmtId="182" fontId="16" fillId="0" borderId="11" xfId="0" applyNumberFormat="1" applyFont="1" applyFill="1" applyBorder="1" applyAlignment="1" applyProtection="1">
      <alignment horizontal="center" vertical="center"/>
    </xf>
    <xf numFmtId="182" fontId="16" fillId="0" borderId="12" xfId="0" applyNumberFormat="1" applyFont="1" applyFill="1" applyBorder="1" applyAlignment="1" applyProtection="1">
      <alignment horizontal="center" vertical="center"/>
    </xf>
    <xf numFmtId="182" fontId="16" fillId="0" borderId="13" xfId="0" applyNumberFormat="1" applyFont="1" applyFill="1" applyBorder="1" applyAlignment="1" applyProtection="1">
      <alignment horizontal="center" vertical="center"/>
    </xf>
    <xf numFmtId="0" fontId="16" fillId="0" borderId="11" xfId="0" applyNumberFormat="1" applyFont="1" applyFill="1" applyBorder="1" applyAlignment="1" applyProtection="1">
      <alignment horizontal="center" vertical="center"/>
    </xf>
    <xf numFmtId="0" fontId="16" fillId="0" borderId="13" xfId="0" applyNumberFormat="1" applyFont="1" applyFill="1" applyBorder="1" applyAlignment="1" applyProtection="1">
      <alignment horizontal="center" vertical="center"/>
    </xf>
    <xf numFmtId="0" fontId="16" fillId="0" borderId="12" xfId="0" applyNumberFormat="1" applyFont="1" applyFill="1" applyBorder="1" applyAlignment="1" applyProtection="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17" fillId="0" borderId="32" xfId="0" applyNumberFormat="1" applyFont="1" applyFill="1" applyBorder="1" applyAlignment="1" applyProtection="1">
      <alignment horizontal="center" vertical="center" textRotation="255" wrapText="1"/>
    </xf>
    <xf numFmtId="0" fontId="17" fillId="0" borderId="35" xfId="0" applyNumberFormat="1" applyFont="1" applyFill="1" applyBorder="1" applyAlignment="1" applyProtection="1">
      <alignment horizontal="center" vertical="center" textRotation="255" wrapText="1"/>
    </xf>
    <xf numFmtId="0" fontId="17" fillId="0" borderId="34" xfId="0" applyNumberFormat="1" applyFont="1" applyFill="1" applyBorder="1" applyAlignment="1" applyProtection="1">
      <alignment horizontal="center" vertical="center" textRotation="255" wrapText="1"/>
    </xf>
    <xf numFmtId="0" fontId="17" fillId="0" borderId="26" xfId="0" applyNumberFormat="1" applyFont="1" applyFill="1" applyBorder="1" applyAlignment="1" applyProtection="1">
      <alignment horizontal="center" vertical="center" textRotation="255" wrapText="1"/>
    </xf>
    <xf numFmtId="0" fontId="17" fillId="0" borderId="28" xfId="0" applyNumberFormat="1" applyFont="1" applyFill="1" applyBorder="1" applyAlignment="1" applyProtection="1">
      <alignment horizontal="center" vertical="center" textRotation="255" wrapText="1"/>
    </xf>
    <xf numFmtId="0" fontId="17" fillId="0" borderId="27" xfId="0" applyNumberFormat="1" applyFont="1" applyFill="1" applyBorder="1" applyAlignment="1" applyProtection="1">
      <alignment horizontal="center" vertical="center" textRotation="255" wrapText="1"/>
    </xf>
    <xf numFmtId="0" fontId="0" fillId="0" borderId="0" xfId="0" applyAlignment="1">
      <alignment horizontal="center" vertical="center"/>
    </xf>
    <xf numFmtId="0" fontId="0" fillId="0" borderId="0" xfId="0" applyAlignment="1">
      <alignment horizontal="center" vertical="center" wrapText="1"/>
    </xf>
    <xf numFmtId="182" fontId="18" fillId="0" borderId="11" xfId="480" applyNumberFormat="1" applyFont="1" applyBorder="1" applyAlignment="1">
      <alignment horizontal="center" vertical="center"/>
    </xf>
    <xf numFmtId="182" fontId="18" fillId="0" borderId="13" xfId="480" applyNumberFormat="1"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6" borderId="11" xfId="0" applyFont="1" applyFill="1" applyBorder="1" applyAlignment="1">
      <alignment horizontal="left"/>
    </xf>
    <xf numFmtId="0" fontId="11" fillId="6" borderId="12" xfId="0" applyFont="1" applyFill="1" applyBorder="1" applyAlignment="1">
      <alignment horizontal="left"/>
    </xf>
    <xf numFmtId="0" fontId="11" fillId="6" borderId="13" xfId="0" applyFont="1" applyFill="1" applyBorder="1" applyAlignment="1">
      <alignment horizontal="left"/>
    </xf>
    <xf numFmtId="0" fontId="13" fillId="6" borderId="2" xfId="0" applyFont="1" applyFill="1" applyBorder="1" applyAlignment="1">
      <alignment horizontal="center"/>
    </xf>
    <xf numFmtId="0" fontId="13" fillId="6" borderId="12" xfId="0" applyFont="1" applyFill="1" applyBorder="1" applyAlignment="1">
      <alignment horizontal="center"/>
    </xf>
    <xf numFmtId="0" fontId="13" fillId="6" borderId="13" xfId="0" applyFont="1" applyFill="1" applyBorder="1" applyAlignment="1">
      <alignment horizontal="center"/>
    </xf>
    <xf numFmtId="0" fontId="0" fillId="0" borderId="0" xfId="0" applyFont="1" applyAlignment="1">
      <alignment horizontal="center" vertical="center"/>
    </xf>
    <xf numFmtId="1" fontId="4" fillId="0" borderId="11" xfId="480" applyNumberFormat="1" applyFont="1" applyFill="1" applyBorder="1" applyAlignment="1">
      <alignment horizontal="center" vertical="center" wrapText="1"/>
    </xf>
    <xf numFmtId="1" fontId="4" fillId="0" borderId="12" xfId="480" applyNumberFormat="1" applyFont="1" applyFill="1" applyBorder="1" applyAlignment="1">
      <alignment horizontal="center" vertical="center" wrapText="1"/>
    </xf>
    <xf numFmtId="9" fontId="9" fillId="0" borderId="26" xfId="707" applyNumberFormat="1" applyFont="1" applyBorder="1" applyAlignment="1" applyProtection="1">
      <alignment horizontal="center" vertical="center"/>
      <protection hidden="1"/>
    </xf>
    <xf numFmtId="9" fontId="9" fillId="0" borderId="27" xfId="707" applyNumberFormat="1" applyFont="1" applyBorder="1" applyAlignment="1" applyProtection="1">
      <alignment horizontal="center" vertical="center"/>
      <protection hidden="1"/>
    </xf>
    <xf numFmtId="0" fontId="3" fillId="0" borderId="26"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4" fillId="16" borderId="11" xfId="0" applyFont="1" applyFill="1" applyBorder="1" applyAlignment="1">
      <alignment horizontal="center"/>
    </xf>
    <xf numFmtId="0" fontId="4" fillId="16" borderId="12" xfId="0" applyFont="1" applyFill="1" applyBorder="1" applyAlignment="1">
      <alignment horizontal="center"/>
    </xf>
    <xf numFmtId="0" fontId="4" fillId="16" borderId="13" xfId="0" applyFont="1" applyFill="1" applyBorder="1" applyAlignment="1">
      <alignment horizontal="center"/>
    </xf>
    <xf numFmtId="0" fontId="4" fillId="0" borderId="2" xfId="0" applyFont="1" applyBorder="1" applyAlignment="1">
      <alignment horizontal="center"/>
    </xf>
    <xf numFmtId="178" fontId="4" fillId="0" borderId="11" xfId="707" applyNumberFormat="1" applyFont="1" applyBorder="1" applyAlignment="1" applyProtection="1">
      <alignment horizontal="center"/>
      <protection hidden="1"/>
    </xf>
    <xf numFmtId="178" fontId="4" fillId="0" borderId="12" xfId="707" applyNumberFormat="1" applyFont="1" applyBorder="1" applyAlignment="1" applyProtection="1">
      <alignment horizontal="center"/>
      <protection hidden="1"/>
    </xf>
    <xf numFmtId="178" fontId="4" fillId="0" borderId="13" xfId="707" applyNumberFormat="1" applyFont="1" applyBorder="1" applyAlignment="1" applyProtection="1">
      <alignment horizontal="center"/>
      <protection hidden="1"/>
    </xf>
    <xf numFmtId="40" fontId="31" fillId="0" borderId="0" xfId="0" applyNumberFormat="1" applyFont="1" applyBorder="1" applyAlignment="1">
      <alignment horizontal="right" vertical="top" wrapText="1"/>
    </xf>
    <xf numFmtId="189" fontId="29" fillId="24" borderId="26" xfId="0" applyNumberFormat="1" applyFont="1" applyFill="1" applyBorder="1" applyAlignment="1">
      <alignment horizontal="center" vertical="top" wrapText="1"/>
    </xf>
    <xf numFmtId="189" fontId="29" fillId="24" borderId="27" xfId="0" applyNumberFormat="1" applyFont="1" applyFill="1" applyBorder="1" applyAlignment="1">
      <alignment horizontal="center" vertical="top" wrapText="1"/>
    </xf>
    <xf numFmtId="189" fontId="29" fillId="0" borderId="26" xfId="0" applyNumberFormat="1" applyFont="1" applyBorder="1" applyAlignment="1">
      <alignment horizontal="center" vertical="top" wrapText="1"/>
    </xf>
    <xf numFmtId="189" fontId="29" fillId="0" borderId="27" xfId="0" applyNumberFormat="1" applyFont="1" applyBorder="1" applyAlignment="1">
      <alignment horizontal="center" vertical="top" wrapText="1"/>
    </xf>
    <xf numFmtId="189" fontId="29" fillId="0" borderId="11" xfId="0" applyNumberFormat="1" applyFont="1" applyBorder="1" applyAlignment="1">
      <alignment horizontal="center" vertical="center"/>
    </xf>
    <xf numFmtId="189" fontId="29" fillId="0" borderId="13" xfId="0" applyNumberFormat="1" applyFont="1" applyBorder="1" applyAlignment="1">
      <alignment horizontal="center" vertical="center"/>
    </xf>
    <xf numFmtId="38" fontId="29" fillId="0" borderId="11" xfId="0" applyNumberFormat="1" applyFont="1" applyBorder="1" applyAlignment="1">
      <alignment horizontal="center"/>
    </xf>
    <xf numFmtId="38" fontId="29" fillId="0" borderId="13" xfId="0" applyNumberFormat="1" applyFont="1" applyBorder="1" applyAlignment="1">
      <alignment horizontal="center"/>
    </xf>
    <xf numFmtId="189" fontId="29" fillId="24" borderId="28" xfId="0" applyNumberFormat="1" applyFont="1" applyFill="1" applyBorder="1" applyAlignment="1">
      <alignment horizontal="center" vertical="top" wrapText="1"/>
    </xf>
    <xf numFmtId="189" fontId="29" fillId="0" borderId="28" xfId="0" applyNumberFormat="1" applyFont="1" applyBorder="1" applyAlignment="1">
      <alignment horizontal="center" vertical="top" wrapText="1"/>
    </xf>
    <xf numFmtId="0" fontId="15" fillId="0" borderId="29" xfId="0" applyFont="1" applyBorder="1" applyAlignment="1">
      <alignment horizontal="left" vertical="center"/>
    </xf>
    <xf numFmtId="0" fontId="15" fillId="0" borderId="30" xfId="0" applyFont="1" applyBorder="1" applyAlignment="1">
      <alignment horizontal="left" vertical="center"/>
    </xf>
    <xf numFmtId="0" fontId="15" fillId="0" borderId="32" xfId="0" applyFont="1" applyBorder="1" applyAlignment="1">
      <alignment horizontal="left" vertical="center"/>
    </xf>
    <xf numFmtId="0" fontId="15" fillId="0" borderId="2" xfId="0" applyFont="1" applyBorder="1" applyAlignment="1">
      <alignment horizontal="center" vertical="center"/>
    </xf>
    <xf numFmtId="0" fontId="15" fillId="0" borderId="2" xfId="0" applyFont="1" applyBorder="1" applyAlignment="1">
      <alignment horizontal="center"/>
    </xf>
    <xf numFmtId="0" fontId="23" fillId="0" borderId="2" xfId="0" applyFont="1" applyFill="1" applyBorder="1" applyAlignment="1">
      <alignment horizontal="center" vertical="center"/>
    </xf>
    <xf numFmtId="0" fontId="23" fillId="5" borderId="32" xfId="0" applyFont="1" applyFill="1" applyBorder="1" applyAlignment="1">
      <alignment horizontal="center"/>
    </xf>
    <xf numFmtId="0" fontId="23" fillId="5" borderId="28" xfId="0" applyFont="1" applyFill="1" applyBorder="1" applyAlignment="1">
      <alignment horizontal="center"/>
    </xf>
    <xf numFmtId="0" fontId="23" fillId="12" borderId="2" xfId="0" applyFont="1" applyFill="1" applyBorder="1" applyAlignment="1">
      <alignment horizontal="center" vertical="center" wrapText="1"/>
    </xf>
    <xf numFmtId="0" fontId="6" fillId="20" borderId="26" xfId="0" applyFont="1" applyFill="1" applyBorder="1" applyAlignment="1">
      <alignment horizontal="center" vertical="center" wrapText="1"/>
    </xf>
    <xf numFmtId="0" fontId="6" fillId="20" borderId="27" xfId="0" applyFont="1" applyFill="1" applyBorder="1" applyAlignment="1">
      <alignment horizontal="center" vertical="center" wrapText="1"/>
    </xf>
    <xf numFmtId="0" fontId="95" fillId="0" borderId="11"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1" xfId="0" applyFont="1" applyBorder="1" applyAlignment="1">
      <alignment horizontal="center" vertical="center"/>
    </xf>
    <xf numFmtId="0" fontId="23" fillId="0" borderId="13" xfId="0" applyFont="1" applyBorder="1" applyAlignment="1">
      <alignment horizontal="center" vertical="center"/>
    </xf>
    <xf numFmtId="0" fontId="23" fillId="0" borderId="11" xfId="0" applyFont="1" applyBorder="1" applyAlignment="1">
      <alignment horizontal="center"/>
    </xf>
    <xf numFmtId="0" fontId="23" fillId="0" borderId="12" xfId="0" applyFont="1" applyBorder="1" applyAlignment="1">
      <alignment horizont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11" xfId="0" applyFont="1" applyFill="1" applyBorder="1" applyAlignment="1">
      <alignment horizontal="center"/>
    </xf>
    <xf numFmtId="0" fontId="23" fillId="0" borderId="13" xfId="0" applyFont="1" applyFill="1" applyBorder="1" applyAlignment="1">
      <alignment horizontal="center"/>
    </xf>
    <xf numFmtId="0" fontId="23" fillId="0" borderId="2" xfId="0" applyFont="1" applyBorder="1" applyAlignment="1">
      <alignment horizontal="center" vertical="center"/>
    </xf>
    <xf numFmtId="0" fontId="23" fillId="12" borderId="26" xfId="0" applyFont="1" applyFill="1" applyBorder="1" applyAlignment="1">
      <alignment horizontal="center" vertical="center" wrapText="1" readingOrder="1"/>
    </xf>
    <xf numFmtId="0" fontId="23" fillId="12" borderId="26" xfId="0" applyFont="1" applyFill="1" applyBorder="1" applyAlignment="1">
      <alignment horizontal="center" vertical="center" textRotation="255" wrapText="1"/>
    </xf>
    <xf numFmtId="0" fontId="23" fillId="5" borderId="30" xfId="0" applyFont="1" applyFill="1" applyBorder="1" applyAlignment="1">
      <alignment horizontal="center"/>
    </xf>
    <xf numFmtId="0" fontId="23" fillId="12" borderId="28" xfId="0" applyFont="1" applyFill="1" applyBorder="1" applyAlignment="1">
      <alignment horizontal="center" vertical="center" wrapText="1" readingOrder="1"/>
    </xf>
    <xf numFmtId="0" fontId="23" fillId="12" borderId="27" xfId="0" applyFont="1" applyFill="1" applyBorder="1" applyAlignment="1">
      <alignment horizontal="center" vertical="center" wrapText="1" readingOrder="1"/>
    </xf>
    <xf numFmtId="0" fontId="23" fillId="12" borderId="2" xfId="0" applyFont="1" applyFill="1" applyBorder="1" applyAlignment="1">
      <alignment horizontal="center" vertical="center" textRotation="255" wrapText="1"/>
    </xf>
    <xf numFmtId="0" fontId="23" fillId="0" borderId="32" xfId="0" applyFont="1" applyBorder="1" applyAlignment="1">
      <alignment horizontal="center" vertical="center"/>
    </xf>
    <xf numFmtId="0" fontId="23" fillId="0" borderId="13" xfId="0" applyFont="1" applyBorder="1" applyAlignment="1">
      <alignment horizontal="center"/>
    </xf>
    <xf numFmtId="0" fontId="23" fillId="0" borderId="11" xfId="0" applyFont="1" applyFill="1" applyBorder="1" applyAlignment="1">
      <alignment horizontal="center" vertical="center"/>
    </xf>
    <xf numFmtId="182" fontId="23" fillId="0" borderId="2" xfId="0" applyNumberFormat="1" applyFont="1" applyFill="1" applyBorder="1" applyAlignment="1">
      <alignment horizontal="center"/>
    </xf>
    <xf numFmtId="0" fontId="15" fillId="0" borderId="0" xfId="0" applyFont="1" applyFill="1" applyAlignment="1">
      <alignment horizontal="center"/>
    </xf>
    <xf numFmtId="0" fontId="15" fillId="0" borderId="2" xfId="0" applyFont="1" applyFill="1" applyBorder="1" applyAlignment="1">
      <alignment horizontal="center"/>
    </xf>
    <xf numFmtId="182" fontId="15" fillId="0" borderId="2" xfId="0" applyNumberFormat="1" applyFont="1" applyBorder="1" applyAlignment="1">
      <alignment horizontal="center" vertical="center"/>
    </xf>
    <xf numFmtId="180" fontId="95" fillId="0" borderId="2" xfId="0" applyNumberFormat="1" applyFont="1" applyBorder="1" applyAlignment="1">
      <alignment horizontal="center"/>
    </xf>
    <xf numFmtId="0" fontId="23" fillId="0" borderId="29"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36" xfId="0" applyFont="1" applyBorder="1" applyAlignment="1">
      <alignment horizontal="center" vertical="center"/>
    </xf>
    <xf numFmtId="0" fontId="23" fillId="0" borderId="35" xfId="0" applyFont="1" applyBorder="1" applyAlignment="1">
      <alignment horizontal="center" vertical="center"/>
    </xf>
    <xf numFmtId="1" fontId="11" fillId="0" borderId="11" xfId="480" applyNumberFormat="1" applyFont="1" applyFill="1" applyBorder="1" applyAlignment="1">
      <alignment horizontal="center" vertical="center" wrapText="1"/>
    </xf>
    <xf numFmtId="1" fontId="11" fillId="0" borderId="12" xfId="480" applyNumberFormat="1" applyFont="1" applyFill="1" applyBorder="1" applyAlignment="1">
      <alignment horizontal="center" vertical="center" wrapText="1"/>
    </xf>
    <xf numFmtId="0" fontId="4"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3" fillId="0" borderId="11" xfId="721" applyFont="1" applyBorder="1" applyAlignment="1" applyProtection="1">
      <alignment horizontal="center"/>
      <protection hidden="1"/>
    </xf>
    <xf numFmtId="0" fontId="3" fillId="0" borderId="13" xfId="721" applyFont="1" applyBorder="1" applyAlignment="1" applyProtection="1">
      <alignment horizontal="center"/>
      <protection hidden="1"/>
    </xf>
    <xf numFmtId="0" fontId="4" fillId="16" borderId="11" xfId="1542" applyFont="1" applyFill="1" applyBorder="1" applyAlignment="1">
      <alignment horizontal="center"/>
    </xf>
    <xf numFmtId="0" fontId="4" fillId="16" borderId="12" xfId="1542" applyFont="1" applyFill="1" applyBorder="1" applyAlignment="1">
      <alignment horizontal="center"/>
    </xf>
    <xf numFmtId="0" fontId="4" fillId="16" borderId="13" xfId="1542" applyFont="1" applyFill="1" applyBorder="1" applyAlignment="1">
      <alignment horizontal="center"/>
    </xf>
    <xf numFmtId="0" fontId="4" fillId="0" borderId="11" xfId="1542" applyFont="1" applyBorder="1" applyAlignment="1">
      <alignment horizontal="center"/>
    </xf>
    <xf numFmtId="0" fontId="4" fillId="0" borderId="12" xfId="1542" applyFont="1" applyBorder="1" applyAlignment="1">
      <alignment horizontal="center"/>
    </xf>
    <xf numFmtId="0" fontId="4" fillId="0" borderId="13" xfId="1542" applyFont="1" applyBorder="1" applyAlignment="1">
      <alignment horizontal="center"/>
    </xf>
    <xf numFmtId="0" fontId="4" fillId="0" borderId="2" xfId="1542" applyFont="1" applyBorder="1" applyAlignment="1">
      <alignment horizontal="center"/>
    </xf>
    <xf numFmtId="178" fontId="3" fillId="0" borderId="11" xfId="721" applyNumberFormat="1" applyFont="1" applyBorder="1" applyAlignment="1" applyProtection="1">
      <alignment horizontal="center"/>
      <protection hidden="1"/>
    </xf>
    <xf numFmtId="178" fontId="3" fillId="0" borderId="13" xfId="721" applyNumberFormat="1" applyFont="1" applyBorder="1" applyAlignment="1" applyProtection="1">
      <alignment horizontal="center"/>
      <protection hidden="1"/>
    </xf>
    <xf numFmtId="9" fontId="12" fillId="0" borderId="11" xfId="721" applyNumberFormat="1" applyFont="1" applyBorder="1" applyAlignment="1" applyProtection="1">
      <alignment horizontal="center"/>
      <protection hidden="1"/>
    </xf>
    <xf numFmtId="9" fontId="12" fillId="0" borderId="13" xfId="721" applyNumberFormat="1" applyFont="1" applyBorder="1" applyAlignment="1" applyProtection="1">
      <alignment horizontal="center"/>
      <protection hidden="1"/>
    </xf>
    <xf numFmtId="0" fontId="11" fillId="6" borderId="11" xfId="1542" applyFont="1" applyFill="1" applyBorder="1" applyAlignment="1">
      <alignment horizontal="left"/>
    </xf>
    <xf numFmtId="0" fontId="11" fillId="6" borderId="12" xfId="1542" applyFont="1" applyFill="1" applyBorder="1" applyAlignment="1">
      <alignment horizontal="left"/>
    </xf>
    <xf numFmtId="0" fontId="11" fillId="6" borderId="13" xfId="1542" applyFont="1" applyFill="1" applyBorder="1" applyAlignment="1">
      <alignment horizontal="left"/>
    </xf>
    <xf numFmtId="0" fontId="13" fillId="6" borderId="2" xfId="1542" applyFont="1" applyFill="1" applyBorder="1" applyAlignment="1">
      <alignment horizontal="center"/>
    </xf>
    <xf numFmtId="0" fontId="13" fillId="6" borderId="12" xfId="1542" applyFont="1" applyFill="1" applyBorder="1" applyAlignment="1">
      <alignment horizontal="center"/>
    </xf>
    <xf numFmtId="0" fontId="13" fillId="6" borderId="13" xfId="1542" applyFont="1" applyFill="1" applyBorder="1" applyAlignment="1">
      <alignment horizontal="center"/>
    </xf>
    <xf numFmtId="178" fontId="4" fillId="0" borderId="11" xfId="721" applyNumberFormat="1" applyFont="1" applyBorder="1" applyAlignment="1" applyProtection="1">
      <alignment horizontal="center"/>
      <protection hidden="1"/>
    </xf>
    <xf numFmtId="178" fontId="4" fillId="0" borderId="12" xfId="721" applyNumberFormat="1" applyFont="1" applyBorder="1" applyAlignment="1" applyProtection="1">
      <alignment horizontal="center"/>
      <protection hidden="1"/>
    </xf>
    <xf numFmtId="178" fontId="4" fillId="0" borderId="13" xfId="721" applyNumberFormat="1" applyFont="1" applyBorder="1" applyAlignment="1" applyProtection="1">
      <alignment horizontal="center"/>
      <protection hidden="1"/>
    </xf>
    <xf numFmtId="0" fontId="4" fillId="0" borderId="11" xfId="721" applyFont="1" applyBorder="1" applyAlignment="1" applyProtection="1">
      <alignment horizontal="center"/>
      <protection hidden="1"/>
    </xf>
    <xf numFmtId="0" fontId="4" fillId="0" borderId="13" xfId="721" applyFont="1" applyBorder="1" applyAlignment="1" applyProtection="1">
      <alignment horizontal="center"/>
      <protection hidden="1"/>
    </xf>
    <xf numFmtId="0" fontId="21" fillId="0" borderId="0" xfId="1542" applyFont="1" applyAlignment="1">
      <alignment horizontal="left"/>
    </xf>
    <xf numFmtId="9" fontId="9" fillId="0" borderId="26" xfId="721" applyNumberFormat="1" applyFont="1" applyBorder="1" applyAlignment="1" applyProtection="1">
      <alignment horizontal="center" vertical="center"/>
      <protection hidden="1"/>
    </xf>
    <xf numFmtId="9" fontId="9" fillId="0" borderId="27" xfId="721" applyNumberFormat="1" applyFont="1" applyBorder="1" applyAlignment="1" applyProtection="1">
      <alignment horizontal="center" vertical="center"/>
      <protection hidden="1"/>
    </xf>
    <xf numFmtId="0" fontId="22" fillId="0" borderId="29" xfId="0" applyFont="1" applyBorder="1" applyAlignment="1">
      <alignment horizontal="left" vertical="center"/>
    </xf>
    <xf numFmtId="0" fontId="22" fillId="0" borderId="30" xfId="0" applyFont="1" applyBorder="1" applyAlignment="1">
      <alignment horizontal="left" vertical="center"/>
    </xf>
    <xf numFmtId="0" fontId="22" fillId="0" borderId="32" xfId="0" applyFont="1" applyBorder="1" applyAlignment="1">
      <alignment horizontal="left" vertical="center"/>
    </xf>
    <xf numFmtId="0" fontId="95" fillId="0" borderId="2" xfId="0" applyFont="1" applyFill="1" applyBorder="1" applyAlignment="1">
      <alignment horizontal="center" vertical="center"/>
    </xf>
    <xf numFmtId="178" fontId="23" fillId="0" borderId="2" xfId="0" applyNumberFormat="1" applyFont="1" applyBorder="1" applyAlignment="1">
      <alignment horizontal="center" vertical="center"/>
    </xf>
    <xf numFmtId="49" fontId="3" fillId="0" borderId="0" xfId="0" applyNumberFormat="1" applyFont="1" applyFill="1" applyBorder="1" applyAlignment="1">
      <alignment horizontal="center" vertical="center" wrapText="1"/>
    </xf>
    <xf numFmtId="0" fontId="105" fillId="0" borderId="2" xfId="0" applyFont="1" applyBorder="1" applyAlignment="1">
      <alignment horizontal="center" vertical="center"/>
    </xf>
    <xf numFmtId="9" fontId="15" fillId="0" borderId="0" xfId="0" applyNumberFormat="1" applyFont="1" applyBorder="1" applyAlignment="1">
      <alignment horizontal="center"/>
    </xf>
    <xf numFmtId="0" fontId="23" fillId="0" borderId="11" xfId="0" applyNumberFormat="1" applyFont="1" applyFill="1" applyBorder="1" applyAlignment="1">
      <alignment horizontal="center" vertical="center" wrapText="1"/>
    </xf>
    <xf numFmtId="0" fontId="23" fillId="0" borderId="13" xfId="0" applyNumberFormat="1" applyFont="1" applyFill="1" applyBorder="1" applyAlignment="1">
      <alignment horizontal="center" vertical="center" wrapText="1"/>
    </xf>
    <xf numFmtId="0" fontId="108" fillId="0" borderId="11" xfId="0" applyFont="1" applyBorder="1" applyAlignment="1">
      <alignment horizontal="center" vertical="center" wrapText="1"/>
    </xf>
    <xf numFmtId="0" fontId="108" fillId="0" borderId="12" xfId="0" applyFont="1" applyBorder="1" applyAlignment="1">
      <alignment horizontal="center" vertical="center" wrapText="1"/>
    </xf>
    <xf numFmtId="0" fontId="108" fillId="0" borderId="13" xfId="0" applyFont="1" applyBorder="1" applyAlignment="1">
      <alignment horizontal="center" vertical="center" wrapText="1"/>
    </xf>
    <xf numFmtId="0" fontId="17" fillId="0" borderId="26" xfId="0" applyNumberFormat="1" applyFont="1" applyFill="1" applyBorder="1" applyAlignment="1" applyProtection="1">
      <alignment horizontal="center" wrapText="1"/>
    </xf>
    <xf numFmtId="0" fontId="17" fillId="0" borderId="27" xfId="0" applyNumberFormat="1" applyFont="1" applyFill="1" applyBorder="1" applyAlignment="1" applyProtection="1">
      <alignment horizontal="center" wrapText="1"/>
    </xf>
    <xf numFmtId="0" fontId="18" fillId="0" borderId="2" xfId="0" applyNumberFormat="1" applyFont="1" applyFill="1" applyBorder="1" applyAlignment="1" applyProtection="1">
      <alignment horizontal="center" vertical="center" wrapText="1"/>
    </xf>
    <xf numFmtId="0" fontId="2" fillId="0" borderId="2" xfId="611" applyFont="1" applyBorder="1" applyAlignment="1">
      <alignment horizontal="center"/>
    </xf>
    <xf numFmtId="0" fontId="3" fillId="0" borderId="2" xfId="611" applyFont="1" applyFill="1" applyBorder="1" applyAlignment="1">
      <alignment horizontal="center" vertical="center"/>
    </xf>
    <xf numFmtId="178" fontId="3" fillId="0" borderId="2" xfId="611" applyNumberFormat="1" applyFont="1" applyFill="1" applyBorder="1" applyAlignment="1">
      <alignment horizontal="center" vertical="center"/>
    </xf>
    <xf numFmtId="0" fontId="3" fillId="0" borderId="2" xfId="611" applyFont="1" applyFill="1" applyBorder="1" applyAlignment="1">
      <alignment horizontal="center" vertical="center" wrapText="1"/>
    </xf>
    <xf numFmtId="0" fontId="5" fillId="0" borderId="2" xfId="611" applyFont="1" applyBorder="1" applyAlignment="1">
      <alignment horizontal="center" vertical="center" wrapText="1"/>
    </xf>
    <xf numFmtId="0" fontId="3" fillId="0" borderId="11" xfId="611" applyFont="1" applyFill="1" applyBorder="1" applyAlignment="1">
      <alignment horizontal="center" vertical="center"/>
    </xf>
    <xf numFmtId="0" fontId="3" fillId="0" borderId="12" xfId="611" applyFont="1" applyFill="1" applyBorder="1" applyAlignment="1">
      <alignment horizontal="center" vertical="center"/>
    </xf>
    <xf numFmtId="0" fontId="3" fillId="0" borderId="13" xfId="611" applyFont="1" applyFill="1" applyBorder="1" applyAlignment="1">
      <alignment horizontal="center" vertical="center"/>
    </xf>
    <xf numFmtId="179" fontId="3" fillId="0" borderId="2" xfId="611" applyNumberFormat="1" applyFont="1" applyBorder="1" applyAlignment="1">
      <alignment horizontal="center" vertical="center"/>
    </xf>
    <xf numFmtId="0" fontId="3" fillId="0" borderId="12" xfId="611" applyFont="1" applyBorder="1" applyAlignment="1">
      <alignment horizontal="center" vertical="center"/>
    </xf>
    <xf numFmtId="0" fontId="3" fillId="0" borderId="13" xfId="611" applyFont="1" applyBorder="1" applyAlignment="1">
      <alignment horizontal="center" vertical="center"/>
    </xf>
    <xf numFmtId="0" fontId="4" fillId="0" borderId="2" xfId="611" applyFont="1" applyFill="1" applyBorder="1" applyAlignment="1">
      <alignment horizontal="center" vertical="center"/>
    </xf>
    <xf numFmtId="178" fontId="4" fillId="0" borderId="12" xfId="611" applyNumberFormat="1" applyFont="1" applyBorder="1" applyAlignment="1">
      <alignment horizontal="center" vertical="center"/>
    </xf>
    <xf numFmtId="0" fontId="4" fillId="0" borderId="12" xfId="611" applyFont="1" applyBorder="1" applyAlignment="1">
      <alignment horizontal="center" vertical="center"/>
    </xf>
    <xf numFmtId="0" fontId="4" fillId="0" borderId="13" xfId="611" applyFont="1" applyBorder="1" applyAlignment="1">
      <alignment horizontal="center" vertical="center"/>
    </xf>
    <xf numFmtId="179" fontId="3" fillId="0" borderId="12" xfId="611" applyNumberFormat="1" applyFont="1" applyBorder="1" applyAlignment="1">
      <alignment horizontal="center" vertical="center"/>
    </xf>
    <xf numFmtId="179" fontId="3" fillId="0" borderId="13" xfId="611" applyNumberFormat="1" applyFont="1" applyBorder="1" applyAlignment="1">
      <alignment horizontal="center" vertical="center"/>
    </xf>
    <xf numFmtId="0" fontId="4" fillId="0" borderId="14" xfId="611" applyFont="1" applyFill="1" applyBorder="1" applyAlignment="1">
      <alignment horizontal="center" vertical="center" wrapText="1"/>
    </xf>
    <xf numFmtId="0" fontId="4" fillId="0" borderId="15" xfId="611" applyFont="1" applyFill="1" applyBorder="1" applyAlignment="1">
      <alignment horizontal="center" vertical="center" wrapText="1"/>
    </xf>
    <xf numFmtId="0" fontId="4" fillId="0" borderId="21" xfId="611" applyFont="1" applyFill="1" applyBorder="1" applyAlignment="1">
      <alignment horizontal="center" vertical="center" wrapText="1"/>
    </xf>
    <xf numFmtId="0" fontId="6" fillId="0" borderId="2" xfId="611" applyFont="1" applyBorder="1" applyAlignment="1">
      <alignment horizontal="center" vertical="center" wrapText="1"/>
    </xf>
    <xf numFmtId="179" fontId="6" fillId="0" borderId="2" xfId="611" applyNumberFormat="1" applyFont="1" applyBorder="1" applyAlignment="1">
      <alignment horizontal="center" vertical="center" wrapText="1"/>
    </xf>
    <xf numFmtId="0" fontId="7" fillId="12" borderId="0" xfId="611" applyFont="1" applyFill="1" applyAlignment="1">
      <alignment horizontal="center"/>
    </xf>
    <xf numFmtId="9" fontId="6" fillId="0" borderId="2" xfId="611" applyNumberFormat="1" applyFont="1" applyBorder="1" applyAlignment="1">
      <alignment horizontal="center" vertical="center"/>
    </xf>
    <xf numFmtId="0" fontId="1" fillId="0" borderId="2" xfId="611" applyBorder="1" applyAlignment="1">
      <alignment horizontal="center" vertical="center"/>
    </xf>
    <xf numFmtId="178" fontId="1" fillId="0" borderId="2" xfId="611" applyNumberFormat="1" applyBorder="1" applyAlignment="1">
      <alignment horizontal="center" vertical="center"/>
    </xf>
    <xf numFmtId="0" fontId="9" fillId="0" borderId="11" xfId="611" applyFont="1" applyBorder="1" applyAlignment="1">
      <alignment horizontal="left" vertical="center" wrapText="1"/>
    </xf>
    <xf numFmtId="0" fontId="9" fillId="0" borderId="12" xfId="611" applyFont="1" applyBorder="1" applyAlignment="1">
      <alignment horizontal="left" vertical="center" wrapText="1"/>
    </xf>
    <xf numFmtId="0" fontId="9" fillId="0" borderId="24" xfId="611" applyFont="1" applyBorder="1" applyAlignment="1">
      <alignment horizontal="left" vertical="center" wrapText="1"/>
    </xf>
    <xf numFmtId="0" fontId="9" fillId="0" borderId="2" xfId="611" applyFont="1" applyBorder="1" applyAlignment="1">
      <alignment horizontal="center" vertical="center" wrapText="1"/>
    </xf>
    <xf numFmtId="0" fontId="9" fillId="0" borderId="23" xfId="611" applyFont="1" applyBorder="1" applyAlignment="1">
      <alignment horizontal="center" vertical="center" wrapText="1"/>
    </xf>
    <xf numFmtId="0" fontId="4" fillId="0" borderId="16" xfId="611" applyFont="1" applyBorder="1" applyAlignment="1">
      <alignment horizontal="center" vertical="center" wrapText="1"/>
    </xf>
    <xf numFmtId="0" fontId="4" fillId="0" borderId="17" xfId="611" applyFont="1" applyBorder="1" applyAlignment="1">
      <alignment horizontal="center" vertical="center" wrapText="1"/>
    </xf>
    <xf numFmtId="0" fontId="8" fillId="0" borderId="17" xfId="611" applyFont="1" applyBorder="1" applyAlignment="1">
      <alignment horizontal="center" vertical="center" wrapText="1"/>
    </xf>
    <xf numFmtId="0" fontId="8" fillId="0" borderId="22" xfId="611" applyFont="1" applyBorder="1" applyAlignment="1">
      <alignment horizontal="center" vertical="center" wrapText="1"/>
    </xf>
    <xf numFmtId="0" fontId="9" fillId="0" borderId="2" xfId="611" applyFont="1" applyBorder="1" applyAlignment="1">
      <alignment horizontal="left" vertical="center" wrapText="1"/>
    </xf>
    <xf numFmtId="0" fontId="9" fillId="0" borderId="23" xfId="611" applyFont="1" applyBorder="1" applyAlignment="1">
      <alignment horizontal="left" vertical="center" wrapText="1"/>
    </xf>
    <xf numFmtId="0" fontId="9" fillId="0" borderId="20" xfId="611" applyFont="1" applyBorder="1" applyAlignment="1">
      <alignment horizontal="center" vertical="center" wrapText="1"/>
    </xf>
    <xf numFmtId="0" fontId="9" fillId="0" borderId="25" xfId="611" applyFont="1" applyBorder="1" applyAlignment="1">
      <alignment horizontal="center" vertical="center" wrapText="1"/>
    </xf>
    <xf numFmtId="177" fontId="3" fillId="0" borderId="2" xfId="611" applyNumberFormat="1" applyFont="1" applyFill="1" applyBorder="1" applyAlignment="1">
      <alignment horizontal="center" vertical="center"/>
    </xf>
    <xf numFmtId="0" fontId="9" fillId="24" borderId="11" xfId="611" applyFont="1" applyFill="1" applyBorder="1" applyAlignment="1">
      <alignment horizontal="left" vertical="center" wrapText="1"/>
    </xf>
    <xf numFmtId="0" fontId="9" fillId="24" borderId="12" xfId="611" applyFont="1" applyFill="1" applyBorder="1" applyAlignment="1">
      <alignment horizontal="left" vertical="center" wrapText="1"/>
    </xf>
    <xf numFmtId="0" fontId="9" fillId="24" borderId="24" xfId="611" applyFont="1" applyFill="1" applyBorder="1" applyAlignment="1">
      <alignment horizontal="left" vertical="center" wrapText="1"/>
    </xf>
  </cellXfs>
  <cellStyles count="1753">
    <cellStyle name="20% - Accent1" xfId="24"/>
    <cellStyle name="20% - Accent2" xfId="30"/>
    <cellStyle name="20% - Accent3" xfId="1"/>
    <cellStyle name="20% - Accent4" xfId="33"/>
    <cellStyle name="20% - Accent5" xfId="36"/>
    <cellStyle name="20% - Accent6" xfId="39"/>
    <cellStyle name="20% - 强调文字颜色 1" xfId="40" builtinId="30" customBuiltin="1"/>
    <cellStyle name="20% - 强调文字颜色 1 2" xfId="45"/>
    <cellStyle name="20% - 强调文字颜色 1 2 2" xfId="50"/>
    <cellStyle name="20% - 强调文字颜色 1 2 3" xfId="57"/>
    <cellStyle name="20% - 强调文字颜色 1 2 4" xfId="65"/>
    <cellStyle name="20% - 强调文字颜色 1 2 5" xfId="16"/>
    <cellStyle name="20% - 强调文字颜色 1 2 6" xfId="70"/>
    <cellStyle name="20% - 强调文字颜色 1 3" xfId="77"/>
    <cellStyle name="20% - 强调文字颜色 1 4" xfId="78"/>
    <cellStyle name="20% - 强调文字颜色 1 4 2" xfId="80"/>
    <cellStyle name="20% - 强调文字颜色 1 4 3" xfId="83"/>
    <cellStyle name="20% - 强调文字颜色 1 5" xfId="87"/>
    <cellStyle name="20% - 强调文字颜色 1 5 2" xfId="88"/>
    <cellStyle name="20% - 强调文字颜色 1 5 3" xfId="44"/>
    <cellStyle name="20% - 强调文字颜色 2" xfId="90" builtinId="34" customBuiltin="1"/>
    <cellStyle name="20% - 强调文字颜色 2 2" xfId="91"/>
    <cellStyle name="20% - 强调文字颜色 2 2 2" xfId="8"/>
    <cellStyle name="20% - 强调文字颜色 2 2 3" xfId="79"/>
    <cellStyle name="20% - 强调文字颜色 2 2 4" xfId="82"/>
    <cellStyle name="20% - 强调文字颜色 2 2 5" xfId="92"/>
    <cellStyle name="20% - 强调文字颜色 2 2 6" xfId="26"/>
    <cellStyle name="20% - 强调文字颜色 2 3" xfId="93"/>
    <cellStyle name="20% - 强调文字颜色 2 4" xfId="94"/>
    <cellStyle name="20% - 强调文字颜色 2 4 2" xfId="98"/>
    <cellStyle name="20% - 强调文字颜色 2 4 3" xfId="101"/>
    <cellStyle name="20% - 强调文字颜色 2 5" xfId="102"/>
    <cellStyle name="20% - 强调文字颜色 2 5 2" xfId="103"/>
    <cellStyle name="20% - 强调文字颜色 2 5 3" xfId="104"/>
    <cellStyle name="20% - 强调文字颜色 3" xfId="46" builtinId="38" customBuiltin="1"/>
    <cellStyle name="20% - 强调文字颜色 3 2" xfId="52"/>
    <cellStyle name="20% - 强调文字颜色 3 2 2" xfId="105"/>
    <cellStyle name="20% - 强调文字颜色 3 2 3" xfId="95"/>
    <cellStyle name="20% - 强调文字颜色 3 2 4" xfId="99"/>
    <cellStyle name="20% - 强调文字颜色 3 2 5" xfId="106"/>
    <cellStyle name="20% - 强调文字颜色 3 2 6" xfId="107"/>
    <cellStyle name="20% - 强调文字颜色 3 3" xfId="59"/>
    <cellStyle name="20% - 强调文字颜色 3 4" xfId="62"/>
    <cellStyle name="20% - 强调文字颜色 3 4 2" xfId="109"/>
    <cellStyle name="20% - 强调文字颜色 3 4 3" xfId="112"/>
    <cellStyle name="20% - 强调文字颜色 3 5" xfId="18"/>
    <cellStyle name="20% - 强调文字颜色 3 5 2" xfId="114"/>
    <cellStyle name="20% - 强调文字颜色 3 5 3" xfId="116"/>
    <cellStyle name="20% - 强调文字颜色 4" xfId="75" builtinId="42" customBuiltin="1"/>
    <cellStyle name="20% - 强调文字颜色 4 2" xfId="117"/>
    <cellStyle name="20% - 强调文字颜色 4 2 2" xfId="9"/>
    <cellStyle name="20% - 强调文字颜色 4 2 3" xfId="108"/>
    <cellStyle name="20% - 强调文字颜色 4 2 4" xfId="111"/>
    <cellStyle name="20% - 强调文字颜色 4 2 5" xfId="118"/>
    <cellStyle name="20% - 强调文字颜色 4 2 6" xfId="5"/>
    <cellStyle name="20% - 强调文字颜色 4 3" xfId="119"/>
    <cellStyle name="20% - 强调文字颜色 4 4" xfId="120"/>
    <cellStyle name="20% - 强调文字颜色 4 4 2" xfId="22"/>
    <cellStyle name="20% - 强调文字颜色 4 4 3" xfId="122"/>
    <cellStyle name="20% - 强调文字颜色 4 5" xfId="124"/>
    <cellStyle name="20% - 强调文字颜色 4 5 2" xfId="127"/>
    <cellStyle name="20% - 强调文字颜色 4 5 3" xfId="129"/>
    <cellStyle name="20% - 强调文字颜色 5" xfId="131" builtinId="46" customBuiltin="1"/>
    <cellStyle name="20% - 强调文字颜色 5 2" xfId="133"/>
    <cellStyle name="20% - 强调文字颜色 5 2 2" xfId="134"/>
    <cellStyle name="20% - 强调文字颜色 5 2 3" xfId="136"/>
    <cellStyle name="20% - 强调文字颜色 5 2 4" xfId="137"/>
    <cellStyle name="20% - 强调文字颜色 5 2 5" xfId="138"/>
    <cellStyle name="20% - 强调文字颜色 5 2 6" xfId="139"/>
    <cellStyle name="20% - 强调文字颜色 5 3" xfId="140"/>
    <cellStyle name="20% - 强调文字颜色 5 4" xfId="141"/>
    <cellStyle name="20% - 强调文字颜色 5 4 2" xfId="29"/>
    <cellStyle name="20% - 强调文字颜色 5 4 3" xfId="3"/>
    <cellStyle name="20% - 强调文字颜色 5 5" xfId="143"/>
    <cellStyle name="20% - 强调文字颜色 5 5 2" xfId="145"/>
    <cellStyle name="20% - 强调文字颜色 5 5 3" xfId="147"/>
    <cellStyle name="20% - 强调文字颜色 6" xfId="148" builtinId="50" customBuiltin="1"/>
    <cellStyle name="20% - 强调文字颜色 6 2" xfId="150"/>
    <cellStyle name="20% - 强调文字颜色 6 2 2" xfId="153"/>
    <cellStyle name="20% - 强调文字颜色 6 2 3" xfId="156"/>
    <cellStyle name="20% - 强调文字颜色 6 2 4" xfId="158"/>
    <cellStyle name="20% - 强调文字颜色 6 2 5" xfId="160"/>
    <cellStyle name="20% - 强调文字颜色 6 2 6" xfId="161"/>
    <cellStyle name="20% - 强调文字颜色 6 3" xfId="162"/>
    <cellStyle name="20% - 强调文字颜色 6 4" xfId="164"/>
    <cellStyle name="20% - 强调文字颜色 6 4 2" xfId="173"/>
    <cellStyle name="20% - 强调文字颜色 6 4 3" xfId="179"/>
    <cellStyle name="20% - 强调文字颜色 6 5" xfId="181"/>
    <cellStyle name="20% - 强调文字颜色 6 5 2" xfId="188"/>
    <cellStyle name="20% - 强调文字颜色 6 5 3" xfId="194"/>
    <cellStyle name="3232" xfId="135"/>
    <cellStyle name="40% - Accent1" xfId="196"/>
    <cellStyle name="40% - Accent2" xfId="197"/>
    <cellStyle name="40% - Accent3" xfId="198"/>
    <cellStyle name="40% - Accent4" xfId="202"/>
    <cellStyle name="40% - Accent5" xfId="207"/>
    <cellStyle name="40% - Accent6" xfId="209"/>
    <cellStyle name="40% - 强调文字颜色 1" xfId="210" builtinId="31" customBuiltin="1"/>
    <cellStyle name="40% - 强调文字颜色 1 2" xfId="212"/>
    <cellStyle name="40% - 强调文字颜色 1 2 2" xfId="216"/>
    <cellStyle name="40% - 强调文字颜色 1 2 3" xfId="217"/>
    <cellStyle name="40% - 强调文字颜色 1 2 4" xfId="218"/>
    <cellStyle name="40% - 强调文字颜色 1 2 5" xfId="219"/>
    <cellStyle name="40% - 强调文字颜色 1 2 6" xfId="222"/>
    <cellStyle name="40% - 强调文字颜色 1 3" xfId="225"/>
    <cellStyle name="40% - 强调文字颜色 1 4" xfId="232"/>
    <cellStyle name="40% - 强调文字颜色 1 4 2" xfId="235"/>
    <cellStyle name="40% - 强调文字颜色 1 4 3" xfId="236"/>
    <cellStyle name="40% - 强调文字颜色 1 5" xfId="238"/>
    <cellStyle name="40% - 强调文字颜色 1 5 2" xfId="242"/>
    <cellStyle name="40% - 强调文字颜色 1 5 3" xfId="243"/>
    <cellStyle name="40% - 强调文字颜色 2" xfId="246" builtinId="35" customBuiltin="1"/>
    <cellStyle name="40% - 强调文字颜色 2 2" xfId="56"/>
    <cellStyle name="40% - 强调文字颜色 2 2 2" xfId="249"/>
    <cellStyle name="40% - 强调文字颜色 2 2 3" xfId="250"/>
    <cellStyle name="40% - 强调文字颜色 2 2 4" xfId="251"/>
    <cellStyle name="40% - 强调文字颜色 2 2 5" xfId="252"/>
    <cellStyle name="40% - 强调文字颜色 2 2 6" xfId="254"/>
    <cellStyle name="40% - 强调文字颜色 2 3" xfId="67"/>
    <cellStyle name="40% - 强调文字颜色 2 4" xfId="14"/>
    <cellStyle name="40% - 强调文字颜色 2 4 2" xfId="256"/>
    <cellStyle name="40% - 强调文字颜色 2 4 3" xfId="259"/>
    <cellStyle name="40% - 强调文字颜色 2 5" xfId="71"/>
    <cellStyle name="40% - 强调文字颜色 2 5 2" xfId="261"/>
    <cellStyle name="40% - 强调文字颜色 2 5 3" xfId="262"/>
    <cellStyle name="40% - 强调文字颜色 3" xfId="265" builtinId="39" customBuiltin="1"/>
    <cellStyle name="40% - 强调文字颜色 3 2" xfId="267"/>
    <cellStyle name="40% - 强调文字颜色 3 2 2" xfId="269"/>
    <cellStyle name="40% - 强调文字颜色 3 2 3" xfId="270"/>
    <cellStyle name="40% - 强调文字颜色 3 2 4" xfId="272"/>
    <cellStyle name="40% - 强调文字颜色 3 2 5" xfId="273"/>
    <cellStyle name="40% - 强调文字颜色 3 2 6" xfId="274"/>
    <cellStyle name="40% - 强调文字颜色 3 3" xfId="276"/>
    <cellStyle name="40% - 强调文字颜色 3 4" xfId="278"/>
    <cellStyle name="40% - 强调文字颜色 3 4 2" xfId="282"/>
    <cellStyle name="40% - 强调文字颜色 3 4 3" xfId="285"/>
    <cellStyle name="40% - 强调文字颜色 3 5" xfId="286"/>
    <cellStyle name="40% - 强调文字颜色 3 5 2" xfId="288"/>
    <cellStyle name="40% - 强调文字颜色 3 5 3" xfId="289"/>
    <cellStyle name="40% - 强调文字颜色 4" xfId="293" builtinId="43" customBuiltin="1"/>
    <cellStyle name="40% - 强调文字颜色 4 2" xfId="84"/>
    <cellStyle name="40% - 强调文字颜色 4 2 2" xfId="295"/>
    <cellStyle name="40% - 强调文字颜色 4 2 3" xfId="299"/>
    <cellStyle name="40% - 强调文字颜色 4 2 4" xfId="302"/>
    <cellStyle name="40% - 强调文字颜色 4 2 5" xfId="303"/>
    <cellStyle name="40% - 强调文字颜色 4 2 6" xfId="306"/>
    <cellStyle name="40% - 强调文字颜色 4 3" xfId="307"/>
    <cellStyle name="40% - 强调文字颜色 4 4" xfId="152"/>
    <cellStyle name="40% - 强调文字颜色 4 4 2" xfId="311"/>
    <cellStyle name="40% - 强调文字颜色 4 4 3" xfId="312"/>
    <cellStyle name="40% - 强调文字颜色 4 5" xfId="155"/>
    <cellStyle name="40% - 强调文字颜色 4 5 2" xfId="313"/>
    <cellStyle name="40% - 强调文字颜色 4 5 3" xfId="314"/>
    <cellStyle name="40% - 强调文字颜色 5" xfId="317" builtinId="47" customBuiltin="1"/>
    <cellStyle name="40% - 强调文字颜色 5 2" xfId="42"/>
    <cellStyle name="40% - 强调文字颜色 5 2 2" xfId="182"/>
    <cellStyle name="40% - 强调文字颜色 5 2 3" xfId="318"/>
    <cellStyle name="40% - 强调文字颜色 5 2 4" xfId="320"/>
    <cellStyle name="40% - 强调文字颜色 5 2 5" xfId="322"/>
    <cellStyle name="40% - 强调文字颜色 5 2 6" xfId="325"/>
    <cellStyle name="40% - 强调文字颜色 5 3" xfId="327"/>
    <cellStyle name="40% - 强调文字颜色 5 4" xfId="330"/>
    <cellStyle name="40% - 强调文字颜色 5 4 2" xfId="332"/>
    <cellStyle name="40% - 强调文字颜色 5 4 3" xfId="335"/>
    <cellStyle name="40% - 强调文字颜色 5 5" xfId="338"/>
    <cellStyle name="40% - 强调文字颜色 5 5 2" xfId="341"/>
    <cellStyle name="40% - 强调文字颜色 5 5 3" xfId="343"/>
    <cellStyle name="40% - 强调文字颜色 6" xfId="346" builtinId="51" customBuiltin="1"/>
    <cellStyle name="40% - 强调文字颜色 6 2" xfId="347"/>
    <cellStyle name="40% - 强调文字颜色 6 2 2" xfId="352"/>
    <cellStyle name="40% - 强调文字颜色 6 2 3" xfId="353"/>
    <cellStyle name="40% - 强调文字颜色 6 2 4" xfId="354"/>
    <cellStyle name="40% - 强调文字颜色 6 2 5" xfId="355"/>
    <cellStyle name="40% - 强调文字颜色 6 2 6" xfId="358"/>
    <cellStyle name="40% - 强调文字颜色 6 3" xfId="359"/>
    <cellStyle name="40% - 强调文字颜色 6 4" xfId="168"/>
    <cellStyle name="40% - 强调文字颜色 6 4 2" xfId="364"/>
    <cellStyle name="40% - 强调文字颜色 6 4 3" xfId="365"/>
    <cellStyle name="40% - 强调文字颜色 6 5" xfId="175"/>
    <cellStyle name="40% - 强调文字颜色 6 5 2" xfId="367"/>
    <cellStyle name="40% - 强调文字颜色 6 5 3" xfId="368"/>
    <cellStyle name="60% - Accent1" xfId="369"/>
    <cellStyle name="60% - Accent2" xfId="372"/>
    <cellStyle name="60% - Accent3" xfId="373"/>
    <cellStyle name="60% - Accent4" xfId="374"/>
    <cellStyle name="60% - Accent5" xfId="376"/>
    <cellStyle name="60% - Accent6" xfId="378"/>
    <cellStyle name="60% - 强调文字颜色 1" xfId="379" builtinId="32" customBuiltin="1"/>
    <cellStyle name="60% - 强调文字颜色 1 2" xfId="63"/>
    <cellStyle name="60% - 强调文字颜色 1 2 2" xfId="110"/>
    <cellStyle name="60% - 强调文字颜色 1 2 3" xfId="113"/>
    <cellStyle name="60% - 强调文字颜色 1 2 4" xfId="380"/>
    <cellStyle name="60% - 强调文字颜色 1 2 5" xfId="381"/>
    <cellStyle name="60% - 强调文字颜色 1 2 6" xfId="382"/>
    <cellStyle name="60% - 强调文字颜色 1 3" xfId="17"/>
    <cellStyle name="60% - 强调文字颜色 1 4" xfId="384"/>
    <cellStyle name="60% - 强调文字颜色 1 4 2" xfId="386"/>
    <cellStyle name="60% - 强调文字颜色 1 4 3" xfId="390"/>
    <cellStyle name="60% - 强调文字颜色 1 5" xfId="393"/>
    <cellStyle name="60% - 强调文字颜色 1 5 2" xfId="395"/>
    <cellStyle name="60% - 强调文字颜色 1 5 3" xfId="397"/>
    <cellStyle name="60% - 强调文字颜色 2" xfId="398" builtinId="36" customBuiltin="1"/>
    <cellStyle name="60% - 强调文字颜色 2 2" xfId="121"/>
    <cellStyle name="60% - 强调文字颜色 2 2 2" xfId="21"/>
    <cellStyle name="60% - 强调文字颜色 2 2 3" xfId="123"/>
    <cellStyle name="60% - 强调文字颜色 2 2 4" xfId="399"/>
    <cellStyle name="60% - 强调文字颜色 2 2 5" xfId="400"/>
    <cellStyle name="60% - 强调文字颜色 2 2 6" xfId="401"/>
    <cellStyle name="60% - 强调文字颜色 2 3" xfId="126"/>
    <cellStyle name="60% - 强调文字颜色 2 4" xfId="402"/>
    <cellStyle name="60% - 强调文字颜色 2 4 2" xfId="403"/>
    <cellStyle name="60% - 强调文字颜色 2 4 3" xfId="405"/>
    <cellStyle name="60% - 强调文字颜色 2 5" xfId="406"/>
    <cellStyle name="60% - 强调文字颜色 2 5 2" xfId="130"/>
    <cellStyle name="60% - 强调文字颜色 2 5 3" xfId="149"/>
    <cellStyle name="60% - 强调文字颜色 3" xfId="407" builtinId="40" customBuiltin="1"/>
    <cellStyle name="60% - 强调文字颜色 3 2" xfId="142"/>
    <cellStyle name="60% - 强调文字颜色 3 2 2" xfId="28"/>
    <cellStyle name="60% - 强调文字颜色 3 2 3" xfId="4"/>
    <cellStyle name="60% - 强调文字颜色 3 2 4" xfId="32"/>
    <cellStyle name="60% - 强调文字颜色 3 2 5" xfId="35"/>
    <cellStyle name="60% - 强调文字颜色 3 2 6" xfId="38"/>
    <cellStyle name="60% - 强调文字颜色 3 3" xfId="144"/>
    <cellStyle name="60% - 强调文字颜色 3 4" xfId="408"/>
    <cellStyle name="60% - 强调文字颜色 3 4 2" xfId="409"/>
    <cellStyle name="60% - 强调文字颜色 3 4 3" xfId="410"/>
    <cellStyle name="60% - 强调文字颜色 3 5" xfId="411"/>
    <cellStyle name="60% - 强调文字颜色 3 5 2" xfId="412"/>
    <cellStyle name="60% - 强调文字颜色 3 5 3" xfId="413"/>
    <cellStyle name="60% - 强调文字颜色 4" xfId="414" builtinId="44" customBuiltin="1"/>
    <cellStyle name="60% - 强调文字颜色 4 2" xfId="165"/>
    <cellStyle name="60% - 强调文字颜色 4 2 2" xfId="169"/>
    <cellStyle name="60% - 强调文字颜色 4 2 3" xfId="176"/>
    <cellStyle name="60% - 强调文字颜色 4 2 4" xfId="415"/>
    <cellStyle name="60% - 强调文字颜色 4 2 5" xfId="419"/>
    <cellStyle name="60% - 强调文字颜色 4 2 6" xfId="420"/>
    <cellStyle name="60% - 强调文字颜色 4 3" xfId="183"/>
    <cellStyle name="60% - 强调文字颜色 4 4" xfId="319"/>
    <cellStyle name="60% - 强调文字颜色 4 4 2" xfId="201"/>
    <cellStyle name="60% - 强调文字颜色 4 4 3" xfId="205"/>
    <cellStyle name="60% - 强调文字颜色 4 5" xfId="321"/>
    <cellStyle name="60% - 强调文字颜色 4 5 2" xfId="421"/>
    <cellStyle name="60% - 强调文字颜色 4 5 3" xfId="422"/>
    <cellStyle name="60% - 强调文字颜色 5" xfId="423" builtinId="48" customBuiltin="1"/>
    <cellStyle name="60% - 强调文字颜色 5 2" xfId="425"/>
    <cellStyle name="60% - 强调文字颜色 5 2 2" xfId="426"/>
    <cellStyle name="60% - 强调文字颜色 5 2 3" xfId="428"/>
    <cellStyle name="60% - 强调文字颜色 5 2 4" xfId="429"/>
    <cellStyle name="60% - 强调文字颜色 5 2 5" xfId="430"/>
    <cellStyle name="60% - 强调文字颜色 5 2 6" xfId="433"/>
    <cellStyle name="60% - 强调文字颜色 5 3" xfId="436"/>
    <cellStyle name="60% - 强调文字颜色 5 4" xfId="437"/>
    <cellStyle name="60% - 强调文字颜色 5 4 2" xfId="438"/>
    <cellStyle name="60% - 强调文字颜色 5 4 3" xfId="441"/>
    <cellStyle name="60% - 强调文字颜色 5 5" xfId="443"/>
    <cellStyle name="60% - 强调文字颜色 5 5 2" xfId="444"/>
    <cellStyle name="60% - 强调文字颜色 5 5 3" xfId="445"/>
    <cellStyle name="60% - 强调文字颜色 6" xfId="446" builtinId="52" customBuiltin="1"/>
    <cellStyle name="60% - 强调文字颜色 6 2" xfId="448"/>
    <cellStyle name="60% - 强调文字颜色 6 2 2" xfId="449"/>
    <cellStyle name="60% - 强调文字颜色 6 2 3" xfId="452"/>
    <cellStyle name="60% - 强调文字颜色 6 2 4" xfId="151"/>
    <cellStyle name="60% - 强调文字颜色 6 2 5" xfId="163"/>
    <cellStyle name="60% - 强调文字颜色 6 2 6" xfId="166"/>
    <cellStyle name="60% - 强调文字颜色 6 3" xfId="333"/>
    <cellStyle name="60% - 强调文字颜色 6 4" xfId="336"/>
    <cellStyle name="60% - 强调文字颜色 6 4 2" xfId="453"/>
    <cellStyle name="60% - 强调文字颜色 6 4 3" xfId="454"/>
    <cellStyle name="60% - 强调文字颜色 6 5" xfId="455"/>
    <cellStyle name="60% - 强调文字颜色 6 5 2" xfId="457"/>
    <cellStyle name="60% - 强调文字颜色 6 5 3" xfId="459"/>
    <cellStyle name="Accent1" xfId="228"/>
    <cellStyle name="Accent2" xfId="233"/>
    <cellStyle name="Accent3" xfId="240"/>
    <cellStyle name="Accent4" xfId="461"/>
    <cellStyle name="Accent5" xfId="463"/>
    <cellStyle name="Accent6" xfId="464"/>
    <cellStyle name="Bad" xfId="469"/>
    <cellStyle name="Calculation" xfId="470"/>
    <cellStyle name="Change A&amp;ll" xfId="247"/>
    <cellStyle name="Change A&amp;ll 10" xfId="471"/>
    <cellStyle name="Change A&amp;ll 2" xfId="55"/>
    <cellStyle name="Change A&amp;ll 3" xfId="68"/>
    <cellStyle name="Change A&amp;ll 4" xfId="13"/>
    <cellStyle name="Change A&amp;ll 5" xfId="72"/>
    <cellStyle name="Change A&amp;ll 6" xfId="472"/>
    <cellStyle name="Change A&amp;ll 7" xfId="475"/>
    <cellStyle name="Change A&amp;ll 8" xfId="476"/>
    <cellStyle name="Change A&amp;ll 9" xfId="477"/>
    <cellStyle name="Check Cell" xfId="184"/>
    <cellStyle name="Explanatory Text" xfId="478"/>
    <cellStyle name="Good" xfId="479"/>
    <cellStyle name="Heading 1" xfId="483"/>
    <cellStyle name="Heading 2" xfId="51"/>
    <cellStyle name="Heading 3" xfId="58"/>
    <cellStyle name="Heading 4" xfId="64"/>
    <cellStyle name="Input" xfId="484"/>
    <cellStyle name="Linked Cell" xfId="296"/>
    <cellStyle name="Neutral" xfId="167"/>
    <cellStyle name="Normal_Book2" xfId="485"/>
    <cellStyle name="Note" xfId="48"/>
    <cellStyle name="Note 10" xfId="271"/>
    <cellStyle name="Note 2" xfId="487"/>
    <cellStyle name="Note 3" xfId="491"/>
    <cellStyle name="Note 4" xfId="495"/>
    <cellStyle name="Note 5" xfId="497"/>
    <cellStyle name="Note 6" xfId="500"/>
    <cellStyle name="Note 7" xfId="504"/>
    <cellStyle name="Note 8" xfId="213"/>
    <cellStyle name="Note 9" xfId="226"/>
    <cellStyle name="Output" xfId="507"/>
    <cellStyle name="Title" xfId="383"/>
    <cellStyle name="Total" xfId="245"/>
    <cellStyle name="Warning Text" xfId="342"/>
    <cellStyle name="百分比" xfId="10" builtinId="5"/>
    <cellStyle name="百分比 10" xfId="339"/>
    <cellStyle name="百分比 11" xfId="508"/>
    <cellStyle name="百分比 12" xfId="510"/>
    <cellStyle name="百分比 13" xfId="511"/>
    <cellStyle name="百分比 2" xfId="513"/>
    <cellStyle name="百分比 3" xfId="515"/>
    <cellStyle name="百分比 4" xfId="517"/>
    <cellStyle name="百分比 5" xfId="519"/>
    <cellStyle name="百分比 6" xfId="521"/>
    <cellStyle name="百分比 7" xfId="523"/>
    <cellStyle name="百分比 8" xfId="488"/>
    <cellStyle name="百分比 9" xfId="492"/>
    <cellStyle name="标题" xfId="20" builtinId="15" customBuiltin="1"/>
    <cellStyle name="标题 1" xfId="516" builtinId="16" customBuiltin="1"/>
    <cellStyle name="标题 1 2" xfId="524"/>
    <cellStyle name="标题 1 2 2" xfId="366"/>
    <cellStyle name="标题 1 2 3" xfId="526"/>
    <cellStyle name="标题 1 2 4" xfId="527"/>
    <cellStyle name="标题 1 2 5" xfId="23"/>
    <cellStyle name="标题 1 2 6" xfId="27"/>
    <cellStyle name="标题 1 3" xfId="528"/>
    <cellStyle name="标题 1 4" xfId="529"/>
    <cellStyle name="标题 1 4 2" xfId="424"/>
    <cellStyle name="标题 1 4 3" xfId="447"/>
    <cellStyle name="标题 1 5" xfId="530"/>
    <cellStyle name="标题 1 5 2" xfId="531"/>
    <cellStyle name="标题 1 5 3" xfId="533"/>
    <cellStyle name="标题 2" xfId="518" builtinId="17" customBuiltin="1"/>
    <cellStyle name="标题 2 2" xfId="534"/>
    <cellStyle name="标题 2 2 2" xfId="537"/>
    <cellStyle name="标题 2 2 3" xfId="540"/>
    <cellStyle name="标题 2 2 4" xfId="348"/>
    <cellStyle name="标题 2 2 5" xfId="360"/>
    <cellStyle name="标题 2 2 6" xfId="170"/>
    <cellStyle name="标题 2 3" xfId="541"/>
    <cellStyle name="标题 2 4" xfId="542"/>
    <cellStyle name="标题 2 4 2" xfId="543"/>
    <cellStyle name="标题 2 4 3" xfId="544"/>
    <cellStyle name="标题 2 5" xfId="545"/>
    <cellStyle name="标题 2 5 2" xfId="546"/>
    <cellStyle name="标题 2 5 3" xfId="547"/>
    <cellStyle name="标题 3" xfId="520" builtinId="18" customBuiltin="1"/>
    <cellStyle name="标题 3 2" xfId="548"/>
    <cellStyle name="标题 3 2 2" xfId="549"/>
    <cellStyle name="标题 3 2 3" xfId="551"/>
    <cellStyle name="标题 3 2 4" xfId="552"/>
    <cellStyle name="标题 3 2 5" xfId="553"/>
    <cellStyle name="标题 3 2 6" xfId="427"/>
    <cellStyle name="标题 3 3" xfId="11"/>
    <cellStyle name="标题 3 4" xfId="554"/>
    <cellStyle name="标题 3 4 2" xfId="555"/>
    <cellStyle name="标题 3 4 3" xfId="556"/>
    <cellStyle name="标题 3 5" xfId="19"/>
    <cellStyle name="标题 3 5 2" xfId="557"/>
    <cellStyle name="标题 3 5 3" xfId="558"/>
    <cellStyle name="标题 4" xfId="522" builtinId="19" customBuiltin="1"/>
    <cellStyle name="标题 4 2" xfId="432"/>
    <cellStyle name="标题 4 2 2" xfId="559"/>
    <cellStyle name="标题 4 2 3" xfId="388"/>
    <cellStyle name="标题 4 2 4" xfId="392"/>
    <cellStyle name="标题 4 2 5" xfId="561"/>
    <cellStyle name="标题 4 2 6" xfId="451"/>
    <cellStyle name="标题 4 3" xfId="435"/>
    <cellStyle name="标题 4 4" xfId="298"/>
    <cellStyle name="标题 4 4 2" xfId="563"/>
    <cellStyle name="标题 4 4 3" xfId="564"/>
    <cellStyle name="标题 4 5" xfId="301"/>
    <cellStyle name="标题 4 5 2" xfId="565"/>
    <cellStyle name="标题 4 5 3" xfId="566"/>
    <cellStyle name="标题 5" xfId="489"/>
    <cellStyle name="标题 5 2" xfId="567"/>
    <cellStyle name="标题 5 2 2" xfId="568"/>
    <cellStyle name="标题 5 2 3" xfId="404"/>
    <cellStyle name="标题 5 3" xfId="569"/>
    <cellStyle name="标题 5 3 2" xfId="76"/>
    <cellStyle name="标题 5 3 3" xfId="132"/>
    <cellStyle name="标题 5 4" xfId="211"/>
    <cellStyle name="标题 5 4 2" xfId="214"/>
    <cellStyle name="标题 5 4 3" xfId="227"/>
    <cellStyle name="标题 5 5" xfId="248"/>
    <cellStyle name="标题 5 6" xfId="266"/>
    <cellStyle name="标题 6" xfId="493"/>
    <cellStyle name="标题 6 2" xfId="571"/>
    <cellStyle name="标题 6 3" xfId="573"/>
    <cellStyle name="标题 7" xfId="496"/>
    <cellStyle name="标题 7 2" xfId="574"/>
    <cellStyle name="标题 7 3" xfId="575"/>
    <cellStyle name="标题 8" xfId="498"/>
    <cellStyle name="标题 8 2" xfId="577"/>
    <cellStyle name="标题 8 3" xfId="580"/>
    <cellStyle name="差" xfId="290" builtinId="27" customBuiltin="1"/>
    <cellStyle name="差 2" xfId="583"/>
    <cellStyle name="差 2 2" xfId="585"/>
    <cellStyle name="差 2 3" xfId="258"/>
    <cellStyle name="差 2 4" xfId="260"/>
    <cellStyle name="差 2 5" xfId="587"/>
    <cellStyle name="差 2 6" xfId="589"/>
    <cellStyle name="差 3" xfId="590"/>
    <cellStyle name="差 4" xfId="512"/>
    <cellStyle name="差 4 2" xfId="591"/>
    <cellStyle name="差 4 3" xfId="592"/>
    <cellStyle name="差 5" xfId="514"/>
    <cellStyle name="差 5 2" xfId="593"/>
    <cellStyle name="差 5 3" xfId="594"/>
    <cellStyle name="常规" xfId="0" builtinId="0"/>
    <cellStyle name="常规 10" xfId="480"/>
    <cellStyle name="常规 10 10" xfId="598"/>
    <cellStyle name="常规 10 11" xfId="603"/>
    <cellStyle name="常规 10 2" xfId="499"/>
    <cellStyle name="常规 10 2 2" xfId="576"/>
    <cellStyle name="常规 10 2 2 2" xfId="604"/>
    <cellStyle name="常规 10 2 2 3" xfId="440"/>
    <cellStyle name="常规 10 2 2 4" xfId="442"/>
    <cellStyle name="常规 10 2 2 5" xfId="606"/>
    <cellStyle name="常规 10 2 2 6" xfId="570"/>
    <cellStyle name="常规 10 2 2 7" xfId="572"/>
    <cellStyle name="常规 10 2 3" xfId="579"/>
    <cellStyle name="常规 10 2 4" xfId="607"/>
    <cellStyle name="常规 10 2 5" xfId="608"/>
    <cellStyle name="常规 10 2 6" xfId="609"/>
    <cellStyle name="常规 10 2 7" xfId="610"/>
    <cellStyle name="常规 10 3" xfId="501"/>
    <cellStyle name="常规 10 4" xfId="502"/>
    <cellStyle name="常规 10 5" xfId="215"/>
    <cellStyle name="常规 10 6" xfId="229"/>
    <cellStyle name="常规 10 7" xfId="234"/>
    <cellStyle name="常规 10 8" xfId="241"/>
    <cellStyle name="常规 10 9" xfId="462"/>
    <cellStyle name="常规 11" xfId="597"/>
    <cellStyle name="常规 11 10" xfId="294"/>
    <cellStyle name="常规 11 2" xfId="253"/>
    <cellStyle name="常规 11 2 2" xfId="611"/>
    <cellStyle name="常规 11 2 3" xfId="612"/>
    <cellStyle name="常规 11 2 4" xfId="613"/>
    <cellStyle name="常规 11 2 5" xfId="614"/>
    <cellStyle name="常规 11 3" xfId="255"/>
    <cellStyle name="常规 11 4" xfId="47"/>
    <cellStyle name="常规 11 5" xfId="54"/>
    <cellStyle name="常规 11 6" xfId="69"/>
    <cellStyle name="常规 11 7" xfId="12"/>
    <cellStyle name="常规 11 8" xfId="74"/>
    <cellStyle name="常规 11 9" xfId="474"/>
    <cellStyle name="常规 12" xfId="601"/>
    <cellStyle name="常规 12 10" xfId="615"/>
    <cellStyle name="常规 12 2" xfId="616"/>
    <cellStyle name="常规 12 3" xfId="617"/>
    <cellStyle name="常规 12 4" xfId="618"/>
    <cellStyle name="常规 12 5" xfId="268"/>
    <cellStyle name="常规 12 6" xfId="277"/>
    <cellStyle name="常规 12 7" xfId="279"/>
    <cellStyle name="常规 12 8" xfId="287"/>
    <cellStyle name="常规 12 9" xfId="619"/>
    <cellStyle name="常规 13" xfId="622"/>
    <cellStyle name="常规 13 10" xfId="525"/>
    <cellStyle name="常规 13 2" xfId="588"/>
    <cellStyle name="常规 13 3" xfId="624"/>
    <cellStyle name="常规 13 4" xfId="81"/>
    <cellStyle name="常规 13 5" xfId="86"/>
    <cellStyle name="常规 13 6" xfId="310"/>
    <cellStyle name="常规 13 7" xfId="154"/>
    <cellStyle name="常规 13 8" xfId="157"/>
    <cellStyle name="常规 13 9" xfId="159"/>
    <cellStyle name="常规 14" xfId="627"/>
    <cellStyle name="常规 14 10" xfId="275"/>
    <cellStyle name="常规 14 2" xfId="628"/>
    <cellStyle name="常规 14 3" xfId="629"/>
    <cellStyle name="常规 14 4" xfId="89"/>
    <cellStyle name="常规 14 5" xfId="41"/>
    <cellStyle name="常规 14 6" xfId="328"/>
    <cellStyle name="常规 14 7" xfId="331"/>
    <cellStyle name="常规 14 8" xfId="340"/>
    <cellStyle name="常规 14 9" xfId="509"/>
    <cellStyle name="常规 15" xfId="186"/>
    <cellStyle name="常规 15 10" xfId="630"/>
    <cellStyle name="常规 15 2" xfId="632"/>
    <cellStyle name="常规 15 3" xfId="535"/>
    <cellStyle name="常规 15 4" xfId="538"/>
    <cellStyle name="常规 15 5" xfId="351"/>
    <cellStyle name="常规 15 6" xfId="363"/>
    <cellStyle name="常规 15 7" xfId="174"/>
    <cellStyle name="常规 15 8" xfId="180"/>
    <cellStyle name="常规 15 9" xfId="418"/>
    <cellStyle name="常规 16" xfId="191"/>
    <cellStyle name="常规 16 10" xfId="634"/>
    <cellStyle name="常规 16 2" xfId="482"/>
    <cellStyle name="常规 16 3" xfId="595"/>
    <cellStyle name="常规 16 4" xfId="599"/>
    <cellStyle name="常规 16 5" xfId="620"/>
    <cellStyle name="常规 16 6" xfId="625"/>
    <cellStyle name="常规 16 7" xfId="189"/>
    <cellStyle name="常规 16 8" xfId="195"/>
    <cellStyle name="常规 16 9" xfId="639"/>
    <cellStyle name="常规 17" xfId="636"/>
    <cellStyle name="常规 17 10" xfId="505"/>
    <cellStyle name="常规 17 2" xfId="642"/>
    <cellStyle name="常规 17 2 2" xfId="644"/>
    <cellStyle name="常规 17 2 3" xfId="645"/>
    <cellStyle name="常规 17 3" xfId="646"/>
    <cellStyle name="常规 17 4" xfId="648"/>
    <cellStyle name="常规 17 5" xfId="650"/>
    <cellStyle name="常规 17 6" xfId="653"/>
    <cellStyle name="常规 17 7" xfId="656"/>
    <cellStyle name="常规 17 8" xfId="658"/>
    <cellStyle name="常规 17 9" xfId="661"/>
    <cellStyle name="常规 18" xfId="664"/>
    <cellStyle name="常规 18 10" xfId="667"/>
    <cellStyle name="常规 18 2" xfId="669"/>
    <cellStyle name="常规 18 3" xfId="671"/>
    <cellStyle name="常规 18 4" xfId="673"/>
    <cellStyle name="常规 18 5" xfId="675"/>
    <cellStyle name="常规 18 6" xfId="678"/>
    <cellStyle name="常规 18 7" xfId="683"/>
    <cellStyle name="常规 18 8" xfId="685"/>
    <cellStyle name="常规 18 9" xfId="687"/>
    <cellStyle name="常规 19" xfId="689"/>
    <cellStyle name="常规 19 10" xfId="305"/>
    <cellStyle name="常规 19 2" xfId="691"/>
    <cellStyle name="常规 19 3" xfId="693"/>
    <cellStyle name="常规 19 4" xfId="695"/>
    <cellStyle name="常规 19 5" xfId="697"/>
    <cellStyle name="常规 19 6" xfId="699"/>
    <cellStyle name="常规 19 7" xfId="701"/>
    <cellStyle name="常规 19 8" xfId="703"/>
    <cellStyle name="常规 19 9" xfId="705"/>
    <cellStyle name="常规 2" xfId="707"/>
    <cellStyle name="常规 2 10" xfId="708"/>
    <cellStyle name="常规 2 10 2" xfId="710"/>
    <cellStyle name="常规 2 10 3" xfId="711"/>
    <cellStyle name="常规 2 11" xfId="712"/>
    <cellStyle name="常规 2 11 2" xfId="714"/>
    <cellStyle name="常规 2 11 3" xfId="716"/>
    <cellStyle name="常规 2 12" xfId="718"/>
    <cellStyle name="常规 2 13" xfId="720"/>
    <cellStyle name="常规 2 14" xfId="721"/>
    <cellStyle name="常规 2 15" xfId="722"/>
    <cellStyle name="常规 2 16" xfId="723"/>
    <cellStyle name="常规 2 17" xfId="724"/>
    <cellStyle name="常规 2 2" xfId="726"/>
    <cellStyle name="常规 2 2 10" xfId="727"/>
    <cellStyle name="常规 2 2 2" xfId="728"/>
    <cellStyle name="常规 2 2 2 2 3" xfId="1751"/>
    <cellStyle name="常规 2 2 3" xfId="729"/>
    <cellStyle name="常规 2 2 4" xfId="730"/>
    <cellStyle name="常规 2 2 5" xfId="731"/>
    <cellStyle name="常规 2 2 6" xfId="732"/>
    <cellStyle name="常规 2 2 7" xfId="733"/>
    <cellStyle name="常规 2 2 8" xfId="734"/>
    <cellStyle name="常规 2 2 9" xfId="735"/>
    <cellStyle name="常规 2 3" xfId="736"/>
    <cellStyle name="常规 2 3 2" xfId="737"/>
    <cellStyle name="常规 2 3 3" xfId="738"/>
    <cellStyle name="常规 2 3 4" xfId="739"/>
    <cellStyle name="常规 2 3 5" xfId="740"/>
    <cellStyle name="常规 2 3 6" xfId="741"/>
    <cellStyle name="常规 2 3 7" xfId="742"/>
    <cellStyle name="常规 2 4" xfId="743"/>
    <cellStyle name="常规 2 4 2" xfId="744"/>
    <cellStyle name="常规 2 4 3" xfId="745"/>
    <cellStyle name="常规 2 4 4" xfId="746"/>
    <cellStyle name="常规 2 4 5" xfId="747"/>
    <cellStyle name="常规 2 4 6" xfId="748"/>
    <cellStyle name="常规 2 4 7" xfId="749"/>
    <cellStyle name="常规 2 5" xfId="750"/>
    <cellStyle name="常规 2 5 2" xfId="751"/>
    <cellStyle name="常规 2 5 3" xfId="752"/>
    <cellStyle name="常规 2 6" xfId="753"/>
    <cellStyle name="常规 2 6 2" xfId="754"/>
    <cellStyle name="常规 2 6 3" xfId="755"/>
    <cellStyle name="常规 2 7" xfId="578"/>
    <cellStyle name="常规 2 7 2" xfId="756"/>
    <cellStyle name="常规 2 7 3" xfId="757"/>
    <cellStyle name="常规 2 8" xfId="581"/>
    <cellStyle name="常规 2 8 2" xfId="758"/>
    <cellStyle name="常规 2 8 3" xfId="760"/>
    <cellStyle name="常规 2 9" xfId="762"/>
    <cellStyle name="常规 2 9 2" xfId="764"/>
    <cellStyle name="常规 2 9 3" xfId="766"/>
    <cellStyle name="常规 20" xfId="185"/>
    <cellStyle name="常规 20 10" xfId="631"/>
    <cellStyle name="常规 20 2" xfId="633"/>
    <cellStyle name="常规 20 3" xfId="536"/>
    <cellStyle name="常规 20 4" xfId="539"/>
    <cellStyle name="常规 20 5" xfId="350"/>
    <cellStyle name="常规 20 6" xfId="362"/>
    <cellStyle name="常规 20 7" xfId="172"/>
    <cellStyle name="常规 20 8" xfId="178"/>
    <cellStyle name="常规 20 9" xfId="417"/>
    <cellStyle name="常规 21" xfId="190"/>
    <cellStyle name="常规 21 10" xfId="635"/>
    <cellStyle name="常规 21 2" xfId="481"/>
    <cellStyle name="常规 21 3" xfId="596"/>
    <cellStyle name="常规 21 4" xfId="600"/>
    <cellStyle name="常规 21 5" xfId="621"/>
    <cellStyle name="常规 21 6" xfId="626"/>
    <cellStyle name="常规 21 7" xfId="187"/>
    <cellStyle name="常规 21 8" xfId="193"/>
    <cellStyle name="常规 21 9" xfId="640"/>
    <cellStyle name="常规 22" xfId="637"/>
    <cellStyle name="常规 22 10" xfId="503"/>
    <cellStyle name="常规 22 2" xfId="643"/>
    <cellStyle name="常规 22 3" xfId="647"/>
    <cellStyle name="常规 22 4" xfId="649"/>
    <cellStyle name="常规 22 5" xfId="651"/>
    <cellStyle name="常规 22 6" xfId="654"/>
    <cellStyle name="常规 22 7" xfId="657"/>
    <cellStyle name="常规 22 8" xfId="659"/>
    <cellStyle name="常规 22 9" xfId="662"/>
    <cellStyle name="常规 23" xfId="665"/>
    <cellStyle name="常规 23 10" xfId="668"/>
    <cellStyle name="常规 23 2" xfId="670"/>
    <cellStyle name="常规 23 3" xfId="672"/>
    <cellStyle name="常规 23 4" xfId="674"/>
    <cellStyle name="常规 23 5" xfId="676"/>
    <cellStyle name="常规 23 6" xfId="679"/>
    <cellStyle name="常规 23 7" xfId="684"/>
    <cellStyle name="常规 23 8" xfId="686"/>
    <cellStyle name="常规 23 9" xfId="688"/>
    <cellStyle name="常规 24" xfId="690"/>
    <cellStyle name="常规 24 10" xfId="304"/>
    <cellStyle name="常规 24 2" xfId="692"/>
    <cellStyle name="常规 24 2 2" xfId="768"/>
    <cellStyle name="常规 24 2 2 2" xfId="769"/>
    <cellStyle name="常规 24 2 2 2 2" xfId="770"/>
    <cellStyle name="常规 24 2 2 2 3" xfId="771"/>
    <cellStyle name="常规 24 2 2 3" xfId="772"/>
    <cellStyle name="常规 24 2 2 3 2" xfId="773"/>
    <cellStyle name="常规 24 2 2 3 3" xfId="774"/>
    <cellStyle name="常规 24 2 2 4" xfId="775"/>
    <cellStyle name="常规 24 2 2 5" xfId="776"/>
    <cellStyle name="常规 24 2 2 6" xfId="777"/>
    <cellStyle name="常规 24 2 3" xfId="778"/>
    <cellStyle name="常规 24 2 3 2" xfId="779"/>
    <cellStyle name="常规 24 2 3 2 2" xfId="780"/>
    <cellStyle name="常规 24 2 3 2 3" xfId="781"/>
    <cellStyle name="常规 24 2 3 3" xfId="782"/>
    <cellStyle name="常规 24 2 3 3 2" xfId="783"/>
    <cellStyle name="常规 24 2 3 3 3" xfId="784"/>
    <cellStyle name="常规 24 2 3 4" xfId="785"/>
    <cellStyle name="常规 24 2 3 5" xfId="786"/>
    <cellStyle name="常规 24 2 3 6" xfId="787"/>
    <cellStyle name="常规 24 2 4" xfId="788"/>
    <cellStyle name="常规 24 2 4 2" xfId="789"/>
    <cellStyle name="常规 24 2 4 2 2" xfId="790"/>
    <cellStyle name="常规 24 2 4 2 3" xfId="791"/>
    <cellStyle name="常规 24 2 4 3" xfId="792"/>
    <cellStyle name="常规 24 2 4 3 2" xfId="793"/>
    <cellStyle name="常规 24 2 4 3 3" xfId="794"/>
    <cellStyle name="常规 24 2 4 4" xfId="795"/>
    <cellStyle name="常规 24 2 4 5" xfId="796"/>
    <cellStyle name="常规 24 2 4 6" xfId="797"/>
    <cellStyle name="常规 24 2 5" xfId="765"/>
    <cellStyle name="常规 24 2 5 2" xfId="798"/>
    <cellStyle name="常规 24 2 5 2 2" xfId="799"/>
    <cellStyle name="常规 24 2 5 2 3" xfId="49"/>
    <cellStyle name="常规 24 2 5 3" xfId="800"/>
    <cellStyle name="常规 24 2 5 3 2" xfId="801"/>
    <cellStyle name="常规 24 2 5 3 3" xfId="802"/>
    <cellStyle name="常规 24 2 5 4" xfId="803"/>
    <cellStyle name="常规 24 2 5 5" xfId="804"/>
    <cellStyle name="常规 24 2 5 6" xfId="805"/>
    <cellStyle name="常规 24 2 6" xfId="767"/>
    <cellStyle name="常规 24 2 6 2" xfId="806"/>
    <cellStyle name="常规 24 2 6 2 2" xfId="808"/>
    <cellStyle name="常规 24 2 6 2 3" xfId="809"/>
    <cellStyle name="常规 24 2 6 3" xfId="810"/>
    <cellStyle name="常规 24 2 6 3 2" xfId="812"/>
    <cellStyle name="常规 24 2 6 3 3" xfId="813"/>
    <cellStyle name="常规 24 2 6 4" xfId="814"/>
    <cellStyle name="常规 24 2 6 5" xfId="815"/>
    <cellStyle name="常规 24 2 6 6" xfId="817"/>
    <cellStyle name="常规 24 2 7" xfId="819"/>
    <cellStyle name="常规 24 2 8" xfId="820"/>
    <cellStyle name="常规 24 3" xfId="694"/>
    <cellStyle name="常规 24 4" xfId="696"/>
    <cellStyle name="常规 24 5" xfId="698"/>
    <cellStyle name="常规 24 6" xfId="700"/>
    <cellStyle name="常规 24 7" xfId="702"/>
    <cellStyle name="常规 24 8" xfId="704"/>
    <cellStyle name="常规 24 9" xfId="706"/>
    <cellStyle name="常规 25" xfId="821"/>
    <cellStyle name="常规 25 10" xfId="823"/>
    <cellStyle name="常规 25 2" xfId="825"/>
    <cellStyle name="常规 25 3" xfId="827"/>
    <cellStyle name="常规 25 4" xfId="829"/>
    <cellStyle name="常规 25 5" xfId="831"/>
    <cellStyle name="常规 25 6" xfId="833"/>
    <cellStyle name="常规 25 7" xfId="835"/>
    <cellStyle name="常规 25 8" xfId="837"/>
    <cellStyle name="常规 25 9" xfId="839"/>
    <cellStyle name="常规 26" xfId="841"/>
    <cellStyle name="常规 26 10" xfId="843"/>
    <cellStyle name="常规 26 2" xfId="264"/>
    <cellStyle name="常规 26 3" xfId="292"/>
    <cellStyle name="常规 26 4" xfId="316"/>
    <cellStyle name="常规 26 5" xfId="345"/>
    <cellStyle name="常规 26 6" xfId="845"/>
    <cellStyle name="常规 26 7" xfId="847"/>
    <cellStyle name="常规 26 8" xfId="849"/>
    <cellStyle name="常规 26 9" xfId="851"/>
    <cellStyle name="常规 27" xfId="853"/>
    <cellStyle name="常规 27 10" xfId="855"/>
    <cellStyle name="常规 27 2" xfId="857"/>
    <cellStyle name="常规 27 3" xfId="859"/>
    <cellStyle name="常规 27 4" xfId="861"/>
    <cellStyle name="常规 27 5" xfId="863"/>
    <cellStyle name="常规 27 6" xfId="865"/>
    <cellStyle name="常规 27 7" xfId="867"/>
    <cellStyle name="常规 27 8" xfId="869"/>
    <cellStyle name="常规 27 9" xfId="871"/>
    <cellStyle name="常规 28" xfId="873"/>
    <cellStyle name="常规 28 10" xfId="875"/>
    <cellStyle name="常规 28 2" xfId="877"/>
    <cellStyle name="常规 28 3" xfId="879"/>
    <cellStyle name="常规 28 4" xfId="881"/>
    <cellStyle name="常规 28 5" xfId="883"/>
    <cellStyle name="常规 28 6" xfId="885"/>
    <cellStyle name="常规 28 7" xfId="889"/>
    <cellStyle name="常规 28 8" xfId="891"/>
    <cellStyle name="常规 28 9" xfId="893"/>
    <cellStyle name="常规 29" xfId="895"/>
    <cellStyle name="常规 29 10" xfId="324"/>
    <cellStyle name="常规 29 2" xfId="897"/>
    <cellStyle name="常规 29 3" xfId="899"/>
    <cellStyle name="常规 29 4" xfId="901"/>
    <cellStyle name="常规 29 5" xfId="903"/>
    <cellStyle name="常规 29 6" xfId="905"/>
    <cellStyle name="常规 29 7" xfId="907"/>
    <cellStyle name="常规 29 8" xfId="909"/>
    <cellStyle name="常规 29 9" xfId="911"/>
    <cellStyle name="常规 3" xfId="913"/>
    <cellStyle name="常规 3 10" xfId="915"/>
    <cellStyle name="常规 3 11" xfId="916"/>
    <cellStyle name="常规 3 2" xfId="917"/>
    <cellStyle name="常规 3 2 2" xfId="918"/>
    <cellStyle name="常规 3 2 3" xfId="919"/>
    <cellStyle name="常规 3 2 4" xfId="920"/>
    <cellStyle name="常规 3 2 5" xfId="53"/>
    <cellStyle name="常规 3 2 6" xfId="60"/>
    <cellStyle name="常规 3 2 7" xfId="61"/>
    <cellStyle name="常规 3 3" xfId="921"/>
    <cellStyle name="常规 3 4" xfId="922"/>
    <cellStyle name="常规 3 5" xfId="923"/>
    <cellStyle name="常规 3 6" xfId="924"/>
    <cellStyle name="常规 3 7" xfId="925"/>
    <cellStyle name="常规 3 8" xfId="926"/>
    <cellStyle name="常规 3 9" xfId="927"/>
    <cellStyle name="常规 30" xfId="822"/>
    <cellStyle name="常规 30 10" xfId="824"/>
    <cellStyle name="常规 30 2" xfId="826"/>
    <cellStyle name="常规 30 3" xfId="828"/>
    <cellStyle name="常规 30 4" xfId="830"/>
    <cellStyle name="常规 30 5" xfId="832"/>
    <cellStyle name="常规 30 6" xfId="834"/>
    <cellStyle name="常规 30 7" xfId="836"/>
    <cellStyle name="常规 30 8" xfId="838"/>
    <cellStyle name="常规 30 9" xfId="840"/>
    <cellStyle name="常规 31" xfId="842"/>
    <cellStyle name="常规 31 10" xfId="844"/>
    <cellStyle name="常规 31 2" xfId="263"/>
    <cellStyle name="常规 31 3" xfId="291"/>
    <cellStyle name="常规 31 4" xfId="315"/>
    <cellStyle name="常规 31 5" xfId="344"/>
    <cellStyle name="常规 31 6" xfId="846"/>
    <cellStyle name="常规 31 7" xfId="848"/>
    <cellStyle name="常规 31 8" xfId="850"/>
    <cellStyle name="常规 31 9" xfId="852"/>
    <cellStyle name="常规 32" xfId="854"/>
    <cellStyle name="常规 32 10" xfId="856"/>
    <cellStyle name="常规 32 2" xfId="858"/>
    <cellStyle name="常规 32 3" xfId="860"/>
    <cellStyle name="常规 32 4" xfId="862"/>
    <cellStyle name="常规 32 5" xfId="864"/>
    <cellStyle name="常规 32 6" xfId="866"/>
    <cellStyle name="常规 32 7" xfId="868"/>
    <cellStyle name="常规 32 8" xfId="870"/>
    <cellStyle name="常规 32 9" xfId="872"/>
    <cellStyle name="常规 33" xfId="874"/>
    <cellStyle name="常规 33 10" xfId="876"/>
    <cellStyle name="常规 33 2" xfId="878"/>
    <cellStyle name="常规 33 3" xfId="880"/>
    <cellStyle name="常规 33 4" xfId="882"/>
    <cellStyle name="常规 33 5" xfId="884"/>
    <cellStyle name="常规 33 6" xfId="886"/>
    <cellStyle name="常规 33 7" xfId="890"/>
    <cellStyle name="常规 33 8" xfId="892"/>
    <cellStyle name="常规 33 9" xfId="894"/>
    <cellStyle name="常规 34" xfId="896"/>
    <cellStyle name="常规 34 10" xfId="323"/>
    <cellStyle name="常规 34 2" xfId="898"/>
    <cellStyle name="常规 34 3" xfId="900"/>
    <cellStyle name="常规 34 4" xfId="902"/>
    <cellStyle name="常规 34 5" xfId="904"/>
    <cellStyle name="常规 34 6" xfId="906"/>
    <cellStyle name="常规 34 7" xfId="908"/>
    <cellStyle name="常规 34 8" xfId="910"/>
    <cellStyle name="常规 34 9" xfId="912"/>
    <cellStyle name="常规 35" xfId="928"/>
    <cellStyle name="常规 35 10" xfId="930"/>
    <cellStyle name="常规 35 2" xfId="932"/>
    <cellStyle name="常规 35 3" xfId="934"/>
    <cellStyle name="常规 35 4" xfId="936"/>
    <cellStyle name="常规 35 5" xfId="938"/>
    <cellStyle name="常规 35 6" xfId="940"/>
    <cellStyle name="常规 35 7" xfId="942"/>
    <cellStyle name="常规 35 8" xfId="944"/>
    <cellStyle name="常规 35 9" xfId="946"/>
    <cellStyle name="常规 36" xfId="948"/>
    <cellStyle name="常规 36 10" xfId="950"/>
    <cellStyle name="常规 36 2" xfId="953"/>
    <cellStyle name="常规 36 3" xfId="955"/>
    <cellStyle name="常规 36 4" xfId="957"/>
    <cellStyle name="常规 36 5" xfId="959"/>
    <cellStyle name="常规 36 6" xfId="961"/>
    <cellStyle name="常规 36 7" xfId="963"/>
    <cellStyle name="常规 36 8" xfId="965"/>
    <cellStyle name="常规 36 9" xfId="967"/>
    <cellStyle name="常规 37" xfId="969"/>
    <cellStyle name="常规 37 10" xfId="971"/>
    <cellStyle name="常规 37 2" xfId="221"/>
    <cellStyle name="常规 37 3" xfId="973"/>
    <cellStyle name="常规 37 4" xfId="975"/>
    <cellStyle name="常规 37 5" xfId="977"/>
    <cellStyle name="常规 37 6" xfId="979"/>
    <cellStyle name="常规 37 7" xfId="981"/>
    <cellStyle name="常规 37 8" xfId="983"/>
    <cellStyle name="常规 37 9" xfId="985"/>
    <cellStyle name="常规 38" xfId="987"/>
    <cellStyle name="常规 38 10" xfId="990"/>
    <cellStyle name="常规 38 2" xfId="993"/>
    <cellStyle name="常规 38 3" xfId="995"/>
    <cellStyle name="常规 38 4" xfId="997"/>
    <cellStyle name="常规 38 5" xfId="999"/>
    <cellStyle name="常规 38 6" xfId="1001"/>
    <cellStyle name="常规 38 7" xfId="1005"/>
    <cellStyle name="常规 38 8" xfId="1007"/>
    <cellStyle name="常规 38 9" xfId="1009"/>
    <cellStyle name="常规 39" xfId="1011"/>
    <cellStyle name="常规 39 10" xfId="357"/>
    <cellStyle name="常规 39 2" xfId="1013"/>
    <cellStyle name="常规 39 3" xfId="1015"/>
    <cellStyle name="常规 39 4" xfId="1017"/>
    <cellStyle name="常规 39 5" xfId="1019"/>
    <cellStyle name="常规 39 6" xfId="1021"/>
    <cellStyle name="常规 39 7" xfId="1023"/>
    <cellStyle name="常规 39 8" xfId="1025"/>
    <cellStyle name="常规 39 9" xfId="1027"/>
    <cellStyle name="常规 4" xfId="1029"/>
    <cellStyle name="常规 4 10" xfId="1031"/>
    <cellStyle name="常规 4 11" xfId="1032"/>
    <cellStyle name="常规 4 2" xfId="1033"/>
    <cellStyle name="常规 4 2 10" xfId="1034"/>
    <cellStyle name="常规 4 2 2" xfId="1035"/>
    <cellStyle name="常规 4 2 3" xfId="1037"/>
    <cellStyle name="常规 4 2 4" xfId="1039"/>
    <cellStyle name="常规 4 2 5" xfId="1041"/>
    <cellStyle name="常规 4 2 6" xfId="1043"/>
    <cellStyle name="常规 4 2 7" xfId="1045"/>
    <cellStyle name="常规 4 2 8" xfId="1047"/>
    <cellStyle name="常规 4 2 9" xfId="1048"/>
    <cellStyle name="常规 4 3" xfId="1049"/>
    <cellStyle name="常规 4 4" xfId="1036"/>
    <cellStyle name="常规 4 5" xfId="1038"/>
    <cellStyle name="常规 4 6" xfId="1040"/>
    <cellStyle name="常规 4 7" xfId="1042"/>
    <cellStyle name="常规 4 8" xfId="1044"/>
    <cellStyle name="常规 4 9" xfId="1046"/>
    <cellStyle name="常规 40" xfId="929"/>
    <cellStyle name="常规 40 10" xfId="931"/>
    <cellStyle name="常规 40 2" xfId="933"/>
    <cellStyle name="常规 40 3" xfId="935"/>
    <cellStyle name="常规 40 4" xfId="937"/>
    <cellStyle name="常规 40 5" xfId="939"/>
    <cellStyle name="常规 40 6" xfId="941"/>
    <cellStyle name="常规 40 7" xfId="943"/>
    <cellStyle name="常规 40 8" xfId="945"/>
    <cellStyle name="常规 40 9" xfId="947"/>
    <cellStyle name="常规 41" xfId="949"/>
    <cellStyle name="常规 41 10" xfId="951"/>
    <cellStyle name="常规 41 2" xfId="954"/>
    <cellStyle name="常规 41 3" xfId="956"/>
    <cellStyle name="常规 41 4" xfId="958"/>
    <cellStyle name="常规 41 5" xfId="960"/>
    <cellStyle name="常规 41 6" xfId="962"/>
    <cellStyle name="常规 41 7" xfId="964"/>
    <cellStyle name="常规 41 8" xfId="966"/>
    <cellStyle name="常规 41 9" xfId="968"/>
    <cellStyle name="常规 42" xfId="970"/>
    <cellStyle name="常规 42 10" xfId="972"/>
    <cellStyle name="常规 42 2" xfId="220"/>
    <cellStyle name="常规 42 3" xfId="974"/>
    <cellStyle name="常规 42 4" xfId="976"/>
    <cellStyle name="常规 42 5" xfId="978"/>
    <cellStyle name="常规 42 6" xfId="980"/>
    <cellStyle name="常规 42 7" xfId="982"/>
    <cellStyle name="常规 42 8" xfId="984"/>
    <cellStyle name="常规 42 9" xfId="986"/>
    <cellStyle name="常规 43" xfId="988"/>
    <cellStyle name="常规 43 10" xfId="991"/>
    <cellStyle name="常规 43 2" xfId="994"/>
    <cellStyle name="常规 43 3" xfId="996"/>
    <cellStyle name="常规 43 4" xfId="998"/>
    <cellStyle name="常规 43 5" xfId="1000"/>
    <cellStyle name="常规 43 6" xfId="1002"/>
    <cellStyle name="常规 43 7" xfId="1006"/>
    <cellStyle name="常规 43 8" xfId="1008"/>
    <cellStyle name="常规 43 9" xfId="1010"/>
    <cellStyle name="常规 44" xfId="1012"/>
    <cellStyle name="常规 44 10" xfId="356"/>
    <cellStyle name="常规 44 2" xfId="1014"/>
    <cellStyle name="常规 44 3" xfId="1016"/>
    <cellStyle name="常规 44 4" xfId="1018"/>
    <cellStyle name="常规 44 5" xfId="1020"/>
    <cellStyle name="常规 44 6" xfId="1022"/>
    <cellStyle name="常规 44 7" xfId="1024"/>
    <cellStyle name="常规 44 8" xfId="1026"/>
    <cellStyle name="常规 44 9" xfId="1028"/>
    <cellStyle name="常规 45" xfId="1050"/>
    <cellStyle name="常规 45 10" xfId="1052"/>
    <cellStyle name="常规 45 2" xfId="1054"/>
    <cellStyle name="常规 45 3" xfId="1056"/>
    <cellStyle name="常规 45 4" xfId="1058"/>
    <cellStyle name="常规 45 5" xfId="1060"/>
    <cellStyle name="常规 45 6" xfId="1062"/>
    <cellStyle name="常规 45 7" xfId="1064"/>
    <cellStyle name="常规 45 8" xfId="1066"/>
    <cellStyle name="常规 45 9" xfId="1068"/>
    <cellStyle name="常规 46" xfId="1070"/>
    <cellStyle name="常规 46 10" xfId="1072"/>
    <cellStyle name="常规 46 2" xfId="1074"/>
    <cellStyle name="常规 46 3" xfId="1076"/>
    <cellStyle name="常规 46 4" xfId="1078"/>
    <cellStyle name="常规 46 5" xfId="1080"/>
    <cellStyle name="常规 46 6" xfId="1082"/>
    <cellStyle name="常规 46 7" xfId="1084"/>
    <cellStyle name="常规 46 8" xfId="1086"/>
    <cellStyle name="常规 46 9" xfId="1088"/>
    <cellStyle name="常规 47" xfId="1090"/>
    <cellStyle name="常规 47 10" xfId="371"/>
    <cellStyle name="常规 47 2" xfId="1092"/>
    <cellStyle name="常规 47 3" xfId="1094"/>
    <cellStyle name="常规 47 4" xfId="1096"/>
    <cellStyle name="常规 47 5" xfId="1098"/>
    <cellStyle name="常规 47 6" xfId="1100"/>
    <cellStyle name="常规 47 7" xfId="1102"/>
    <cellStyle name="常规 47 8" xfId="1104"/>
    <cellStyle name="常规 47 9" xfId="1106"/>
    <cellStyle name="常规 48" xfId="1108"/>
    <cellStyle name="常规 48 10" xfId="1110"/>
    <cellStyle name="常规 48 2" xfId="1112"/>
    <cellStyle name="常规 48 3" xfId="1114"/>
    <cellStyle name="常规 48 4" xfId="1116"/>
    <cellStyle name="常规 48 5" xfId="1118"/>
    <cellStyle name="常规 48 6" xfId="1120"/>
    <cellStyle name="常规 48 7" xfId="1124"/>
    <cellStyle name="常规 48 8" xfId="1126"/>
    <cellStyle name="常规 48 9" xfId="1128"/>
    <cellStyle name="常规 49" xfId="1130"/>
    <cellStyle name="常规 49 10" xfId="309"/>
    <cellStyle name="常规 49 2" xfId="1132"/>
    <cellStyle name="常规 49 3" xfId="1134"/>
    <cellStyle name="常规 49 4" xfId="1136"/>
    <cellStyle name="常规 49 5" xfId="1138"/>
    <cellStyle name="常规 49 6" xfId="1140"/>
    <cellStyle name="常规 49 7" xfId="1142"/>
    <cellStyle name="常规 49 8" xfId="1144"/>
    <cellStyle name="常规 49 9" xfId="1146"/>
    <cellStyle name="常规 5" xfId="1148"/>
    <cellStyle name="常规 5 10" xfId="1149"/>
    <cellStyle name="常规 5 11" xfId="1150"/>
    <cellStyle name="常规 5 2" xfId="1151"/>
    <cellStyle name="常规 5 2 2" xfId="1152"/>
    <cellStyle name="常规 5 2 3" xfId="1153"/>
    <cellStyle name="常规 5 2 4" xfId="1154"/>
    <cellStyle name="常规 5 2 5" xfId="486"/>
    <cellStyle name="常规 5 2 6" xfId="490"/>
    <cellStyle name="常规 5 2 7" xfId="494"/>
    <cellStyle name="常规 5 3" xfId="1155"/>
    <cellStyle name="常规 5 4" xfId="1156"/>
    <cellStyle name="常规 5 5" xfId="1157"/>
    <cellStyle name="常规 5 6" xfId="1158"/>
    <cellStyle name="常规 5 7" xfId="1159"/>
    <cellStyle name="常规 5 8" xfId="1160"/>
    <cellStyle name="常规 5 9" xfId="1161"/>
    <cellStyle name="常规 50" xfId="1051"/>
    <cellStyle name="常规 50 10" xfId="1053"/>
    <cellStyle name="常规 50 2" xfId="1055"/>
    <cellStyle name="常规 50 3" xfId="1057"/>
    <cellStyle name="常规 50 4" xfId="1059"/>
    <cellStyle name="常规 50 5" xfId="1061"/>
    <cellStyle name="常规 50 6" xfId="1063"/>
    <cellStyle name="常规 50 7" xfId="1065"/>
    <cellStyle name="常规 50 8" xfId="1067"/>
    <cellStyle name="常规 50 9" xfId="1069"/>
    <cellStyle name="常规 51" xfId="1071"/>
    <cellStyle name="常规 51 10" xfId="1073"/>
    <cellStyle name="常规 51 2" xfId="1075"/>
    <cellStyle name="常规 51 3" xfId="1077"/>
    <cellStyle name="常规 51 4" xfId="1079"/>
    <cellStyle name="常规 51 5" xfId="1081"/>
    <cellStyle name="常规 51 6" xfId="1083"/>
    <cellStyle name="常规 51 7" xfId="1085"/>
    <cellStyle name="常规 51 8" xfId="1087"/>
    <cellStyle name="常规 51 9" xfId="1089"/>
    <cellStyle name="常规 52" xfId="1091"/>
    <cellStyle name="常规 52 10" xfId="370"/>
    <cellStyle name="常规 52 2" xfId="1093"/>
    <cellStyle name="常规 52 3" xfId="1095"/>
    <cellStyle name="常规 52 4" xfId="1097"/>
    <cellStyle name="常规 52 5" xfId="1099"/>
    <cellStyle name="常规 52 6" xfId="1101"/>
    <cellStyle name="常规 52 7" xfId="1103"/>
    <cellStyle name="常规 52 8" xfId="1105"/>
    <cellStyle name="常规 52 9" xfId="1107"/>
    <cellStyle name="常规 53" xfId="1109"/>
    <cellStyle name="常规 53 10" xfId="1111"/>
    <cellStyle name="常规 53 2" xfId="1113"/>
    <cellStyle name="常规 53 3" xfId="1115"/>
    <cellStyle name="常规 53 4" xfId="1117"/>
    <cellStyle name="常规 53 5" xfId="1119"/>
    <cellStyle name="常规 53 6" xfId="1121"/>
    <cellStyle name="常规 53 7" xfId="1125"/>
    <cellStyle name="常规 53 8" xfId="1127"/>
    <cellStyle name="常规 53 9" xfId="1129"/>
    <cellStyle name="常规 54" xfId="1131"/>
    <cellStyle name="常规 54 10" xfId="308"/>
    <cellStyle name="常规 54 2" xfId="1133"/>
    <cellStyle name="常规 54 3" xfId="1135"/>
    <cellStyle name="常规 54 4" xfId="1137"/>
    <cellStyle name="常规 54 5" xfId="1139"/>
    <cellStyle name="常规 54 6" xfId="1141"/>
    <cellStyle name="常规 54 7" xfId="1143"/>
    <cellStyle name="常规 54 8" xfId="1145"/>
    <cellStyle name="常规 54 9" xfId="1147"/>
    <cellStyle name="常规 55" xfId="1162"/>
    <cellStyle name="常规 55 10" xfId="680"/>
    <cellStyle name="常规 55 2" xfId="1164"/>
    <cellStyle name="常规 55 3" xfId="1166"/>
    <cellStyle name="常规 55 4" xfId="1168"/>
    <cellStyle name="常规 55 5" xfId="1170"/>
    <cellStyle name="常规 55 6" xfId="1172"/>
    <cellStyle name="常规 55 7" xfId="1174"/>
    <cellStyle name="常规 55 8" xfId="1176"/>
    <cellStyle name="常规 55 9" xfId="1178"/>
    <cellStyle name="常规 56" xfId="1180"/>
    <cellStyle name="常规 56 10" xfId="887"/>
    <cellStyle name="常规 56 2" xfId="1182"/>
    <cellStyle name="常规 56 3" xfId="1184"/>
    <cellStyle name="常规 56 4" xfId="1186"/>
    <cellStyle name="常规 56 5" xfId="1188"/>
    <cellStyle name="常规 56 6" xfId="1190"/>
    <cellStyle name="常规 56 7" xfId="1192"/>
    <cellStyle name="常规 56 8" xfId="1194"/>
    <cellStyle name="常规 56 9" xfId="1196"/>
    <cellStyle name="常规 57" xfId="1198"/>
    <cellStyle name="常规 57 10" xfId="1003"/>
    <cellStyle name="常规 57 2" xfId="1201"/>
    <cellStyle name="常规 57 3" xfId="1203"/>
    <cellStyle name="常规 57 4" xfId="1205"/>
    <cellStyle name="常规 57 5" xfId="1207"/>
    <cellStyle name="常规 57 6" xfId="1209"/>
    <cellStyle name="常规 57 7" xfId="1211"/>
    <cellStyle name="常规 57 8" xfId="1213"/>
    <cellStyle name="常规 57 9" xfId="1215"/>
    <cellStyle name="常规 58" xfId="1217"/>
    <cellStyle name="常规 58 10" xfId="1122"/>
    <cellStyle name="常规 58 2" xfId="1220"/>
    <cellStyle name="常规 58 3" xfId="1222"/>
    <cellStyle name="常规 58 4" xfId="1224"/>
    <cellStyle name="常规 58 5" xfId="1226"/>
    <cellStyle name="常规 58 6" xfId="468"/>
    <cellStyle name="常规 58 7" xfId="1228"/>
    <cellStyle name="常规 58 8" xfId="1230"/>
    <cellStyle name="常规 58 9" xfId="1232"/>
    <cellStyle name="常规 59" xfId="1234"/>
    <cellStyle name="常规 59 10" xfId="467"/>
    <cellStyle name="常规 59 2" xfId="1236"/>
    <cellStyle name="常规 59 3" xfId="1238"/>
    <cellStyle name="常规 59 4" xfId="1240"/>
    <cellStyle name="常规 59 5" xfId="1242"/>
    <cellStyle name="常规 59 6" xfId="1244"/>
    <cellStyle name="常规 59 7" xfId="1246"/>
    <cellStyle name="常规 59 8" xfId="1248"/>
    <cellStyle name="常规 59 9" xfId="1250"/>
    <cellStyle name="常规 6" xfId="1252"/>
    <cellStyle name="常规 6 10" xfId="1253"/>
    <cellStyle name="常规 6 2" xfId="1254"/>
    <cellStyle name="常规 6 2 2" xfId="1752"/>
    <cellStyle name="常规 6 3" xfId="1255"/>
    <cellStyle name="常规 6 4" xfId="1256"/>
    <cellStyle name="常规 6 5" xfId="1257"/>
    <cellStyle name="常规 6 6" xfId="1259"/>
    <cellStyle name="常规 6 7" xfId="1260"/>
    <cellStyle name="常规 6 8" xfId="1261"/>
    <cellStyle name="常规 6 9" xfId="1262"/>
    <cellStyle name="常规 60" xfId="1163"/>
    <cellStyle name="常规 60 10" xfId="681"/>
    <cellStyle name="常规 60 2" xfId="1165"/>
    <cellStyle name="常规 60 3" xfId="1167"/>
    <cellStyle name="常规 60 4" xfId="1169"/>
    <cellStyle name="常规 60 5" xfId="1171"/>
    <cellStyle name="常规 60 6" xfId="1173"/>
    <cellStyle name="常规 60 7" xfId="1175"/>
    <cellStyle name="常规 60 8" xfId="1177"/>
    <cellStyle name="常规 60 9" xfId="1179"/>
    <cellStyle name="常规 61" xfId="1181"/>
    <cellStyle name="常规 61 10" xfId="888"/>
    <cellStyle name="常规 61 2" xfId="1183"/>
    <cellStyle name="常规 61 3" xfId="1185"/>
    <cellStyle name="常规 61 4" xfId="1187"/>
    <cellStyle name="常规 61 5" xfId="1189"/>
    <cellStyle name="常规 61 6" xfId="1191"/>
    <cellStyle name="常规 61 7" xfId="1193"/>
    <cellStyle name="常规 61 8" xfId="1195"/>
    <cellStyle name="常规 61 9" xfId="1197"/>
    <cellStyle name="常规 62" xfId="1199"/>
    <cellStyle name="常规 62 10" xfId="1004"/>
    <cellStyle name="常规 62 2" xfId="1202"/>
    <cellStyle name="常规 62 3" xfId="1204"/>
    <cellStyle name="常规 62 4" xfId="1206"/>
    <cellStyle name="常规 62 5" xfId="1208"/>
    <cellStyle name="常规 62 6" xfId="1210"/>
    <cellStyle name="常规 62 7" xfId="1212"/>
    <cellStyle name="常规 62 8" xfId="1214"/>
    <cellStyle name="常规 62 9" xfId="1216"/>
    <cellStyle name="常规 63" xfId="1218"/>
    <cellStyle name="常规 63 10" xfId="1123"/>
    <cellStyle name="常规 63 2" xfId="1221"/>
    <cellStyle name="常规 63 3" xfId="1223"/>
    <cellStyle name="常规 63 4" xfId="1225"/>
    <cellStyle name="常规 63 5" xfId="1227"/>
    <cellStyle name="常规 63 6" xfId="466"/>
    <cellStyle name="常规 63 7" xfId="1229"/>
    <cellStyle name="常规 63 8" xfId="1231"/>
    <cellStyle name="常规 63 9" xfId="1233"/>
    <cellStyle name="常规 64" xfId="1235"/>
    <cellStyle name="常规 64 10" xfId="465"/>
    <cellStyle name="常规 64 2" xfId="1237"/>
    <cellStyle name="常规 64 3" xfId="1239"/>
    <cellStyle name="常规 64 4" xfId="1241"/>
    <cellStyle name="常规 64 5" xfId="1243"/>
    <cellStyle name="常规 64 6" xfId="1245"/>
    <cellStyle name="常规 64 7" xfId="1247"/>
    <cellStyle name="常规 64 8" xfId="1249"/>
    <cellStyle name="常规 64 9" xfId="1251"/>
    <cellStyle name="常规 65" xfId="200"/>
    <cellStyle name="常规 65 10" xfId="1263"/>
    <cellStyle name="常规 65 2" xfId="1267"/>
    <cellStyle name="常规 65 3" xfId="1269"/>
    <cellStyle name="常规 65 4" xfId="1271"/>
    <cellStyle name="常规 65 5" xfId="1273"/>
    <cellStyle name="常规 65 6" xfId="1275"/>
    <cellStyle name="常规 65 7" xfId="1277"/>
    <cellStyle name="常规 65 8" xfId="1279"/>
    <cellStyle name="常规 65 9" xfId="1281"/>
    <cellStyle name="常规 66" xfId="204"/>
    <cellStyle name="常规 66 10" xfId="1283"/>
    <cellStyle name="常规 66 2" xfId="1286"/>
    <cellStyle name="常规 66 3" xfId="1288"/>
    <cellStyle name="常规 66 4" xfId="1290"/>
    <cellStyle name="常规 66 5" xfId="1292"/>
    <cellStyle name="常规 66 6" xfId="1294"/>
    <cellStyle name="常规 66 7" xfId="1296"/>
    <cellStyle name="常规 66 8" xfId="1298"/>
    <cellStyle name="常规 66 9" xfId="1301"/>
    <cellStyle name="常规 67" xfId="1304"/>
    <cellStyle name="常规 67 10" xfId="1307"/>
    <cellStyle name="常规 67 2" xfId="1309"/>
    <cellStyle name="常规 67 3" xfId="1311"/>
    <cellStyle name="常规 67 4" xfId="1313"/>
    <cellStyle name="常规 67 5" xfId="1315"/>
    <cellStyle name="常规 67 6" xfId="1317"/>
    <cellStyle name="常规 67 7" xfId="1319"/>
    <cellStyle name="常规 67 8" xfId="1321"/>
    <cellStyle name="常规 67 9" xfId="1324"/>
    <cellStyle name="常规 68" xfId="1327"/>
    <cellStyle name="常规 68 10" xfId="1330"/>
    <cellStyle name="常规 68 2" xfId="1332"/>
    <cellStyle name="常规 68 3" xfId="1334"/>
    <cellStyle name="常规 68 4" xfId="1336"/>
    <cellStyle name="常规 68 5" xfId="1338"/>
    <cellStyle name="常规 68 6" xfId="1264"/>
    <cellStyle name="常规 68 7" xfId="1340"/>
    <cellStyle name="常规 68 8" xfId="1342"/>
    <cellStyle name="常规 68 9" xfId="1344"/>
    <cellStyle name="常规 69" xfId="1346"/>
    <cellStyle name="常规 69 10" xfId="1348"/>
    <cellStyle name="常规 69 2" xfId="1350"/>
    <cellStyle name="常规 69 3" xfId="1352"/>
    <cellStyle name="常规 69 4" xfId="1354"/>
    <cellStyle name="常规 69 5" xfId="1356"/>
    <cellStyle name="常规 69 6" xfId="1358"/>
    <cellStyle name="常规 69 7" xfId="1360"/>
    <cellStyle name="常规 69 8" xfId="1362"/>
    <cellStyle name="常规 69 9" xfId="1364"/>
    <cellStyle name="常规 7" xfId="1366"/>
    <cellStyle name="常规 7 10" xfId="1367"/>
    <cellStyle name="常规 7 2" xfId="1368"/>
    <cellStyle name="常规 7 2 2" xfId="816"/>
    <cellStyle name="常规 7 2 2 2" xfId="1369"/>
    <cellStyle name="常规 7 2 2 2 2" xfId="1370"/>
    <cellStyle name="常规 7 2 2 2 3" xfId="1371"/>
    <cellStyle name="常规 7 2 2 3" xfId="1372"/>
    <cellStyle name="常规 7 2 2 3 2" xfId="1373"/>
    <cellStyle name="常规 7 2 2 3 3" xfId="1374"/>
    <cellStyle name="常规 7 2 2 4" xfId="1375"/>
    <cellStyle name="常规 7 2 2 5" xfId="807"/>
    <cellStyle name="常规 7 2 2 6" xfId="811"/>
    <cellStyle name="常规 7 2 3" xfId="818"/>
    <cellStyle name="常规 7 2 3 2" xfId="1376"/>
    <cellStyle name="常规 7 2 3 2 2" xfId="1377"/>
    <cellStyle name="常规 7 2 3 2 3" xfId="1378"/>
    <cellStyle name="常规 7 2 3 3" xfId="1379"/>
    <cellStyle name="常规 7 2 3 3 2" xfId="1380"/>
    <cellStyle name="常规 7 2 3 3 3" xfId="1381"/>
    <cellStyle name="常规 7 2 3 4" xfId="1382"/>
    <cellStyle name="常规 7 2 3 5" xfId="1383"/>
    <cellStyle name="常规 7 2 3 6" xfId="1384"/>
    <cellStyle name="常规 7 2 4" xfId="1385"/>
    <cellStyle name="常规 7 2 4 2" xfId="1386"/>
    <cellStyle name="常规 7 2 4 2 2" xfId="1387"/>
    <cellStyle name="常规 7 2 4 2 3" xfId="1388"/>
    <cellStyle name="常规 7 2 4 3" xfId="1389"/>
    <cellStyle name="常规 7 2 4 3 2" xfId="1390"/>
    <cellStyle name="常规 7 2 4 3 3" xfId="1391"/>
    <cellStyle name="常规 7 2 4 4" xfId="1392"/>
    <cellStyle name="常规 7 2 4 5" xfId="1393"/>
    <cellStyle name="常规 7 2 4 6" xfId="1394"/>
    <cellStyle name="常规 7 2 5" xfId="1395"/>
    <cellStyle name="常规 7 2 5 2" xfId="1396"/>
    <cellStyle name="常规 7 2 5 2 2" xfId="1397"/>
    <cellStyle name="常规 7 2 5 2 3" xfId="1398"/>
    <cellStyle name="常规 7 2 5 3" xfId="1399"/>
    <cellStyle name="常规 7 2 5 3 2" xfId="1400"/>
    <cellStyle name="常规 7 2 5 3 3" xfId="1401"/>
    <cellStyle name="常规 7 2 5 4" xfId="1402"/>
    <cellStyle name="常规 7 2 5 5" xfId="1403"/>
    <cellStyle name="常规 7 2 5 6" xfId="1404"/>
    <cellStyle name="常规 7 2 6" xfId="1405"/>
    <cellStyle name="常规 7 2 6 2" xfId="1406"/>
    <cellStyle name="常规 7 2 6 2 2" xfId="224"/>
    <cellStyle name="常规 7 2 6 2 3" xfId="231"/>
    <cellStyle name="常规 7 2 6 3" xfId="1408"/>
    <cellStyle name="常规 7 2 6 3 2" xfId="66"/>
    <cellStyle name="常规 7 2 6 3 3" xfId="15"/>
    <cellStyle name="常规 7 2 6 4" xfId="1409"/>
    <cellStyle name="常规 7 2 6 5" xfId="1410"/>
    <cellStyle name="常规 7 2 6 6" xfId="1411"/>
    <cellStyle name="常规 7 2 7" xfId="1412"/>
    <cellStyle name="常规 7 2 8" xfId="1413"/>
    <cellStyle name="常规 7 3" xfId="1414"/>
    <cellStyle name="常规 7 3 2" xfId="1415"/>
    <cellStyle name="常规 7 3 2 2" xfId="725"/>
    <cellStyle name="常规 7 3 2 2 2" xfId="115"/>
    <cellStyle name="常规 7 3 2 2 3" xfId="7"/>
    <cellStyle name="常规 7 3 2 3" xfId="1416"/>
    <cellStyle name="常规 7 3 2 3 2" xfId="1417"/>
    <cellStyle name="常规 7 3 2 3 3" xfId="1418"/>
    <cellStyle name="常规 7 3 2 4" xfId="1419"/>
    <cellStyle name="常规 7 3 2 5" xfId="1420"/>
    <cellStyle name="常规 7 3 2 6" xfId="1421"/>
    <cellStyle name="常规 7 3 3" xfId="1422"/>
    <cellStyle name="常规 7 3 3 2" xfId="1423"/>
    <cellStyle name="常规 7 3 3 2 2" xfId="128"/>
    <cellStyle name="常规 7 3 3 2 3" xfId="1424"/>
    <cellStyle name="常规 7 3 3 3" xfId="385"/>
    <cellStyle name="常规 7 3 3 3 2" xfId="1425"/>
    <cellStyle name="常规 7 3 3 3 3" xfId="1426"/>
    <cellStyle name="常规 7 3 3 4" xfId="389"/>
    <cellStyle name="常规 7 3 3 5" xfId="1427"/>
    <cellStyle name="常规 7 3 3 6" xfId="1428"/>
    <cellStyle name="常规 7 3 4" xfId="1429"/>
    <cellStyle name="常规 7 3 4 2" xfId="1430"/>
    <cellStyle name="常规 7 3 4 2 2" xfId="146"/>
    <cellStyle name="常规 7 3 4 2 3" xfId="1431"/>
    <cellStyle name="常规 7 3 4 3" xfId="394"/>
    <cellStyle name="常规 7 3 4 3 2" xfId="1432"/>
    <cellStyle name="常规 7 3 4 3 3" xfId="1433"/>
    <cellStyle name="常规 7 3 4 4" xfId="396"/>
    <cellStyle name="常规 7 3 4 5" xfId="1434"/>
    <cellStyle name="常规 7 3 4 6" xfId="1435"/>
    <cellStyle name="常规 7 3 5" xfId="1436"/>
    <cellStyle name="常规 7 3 5 2" xfId="1437"/>
    <cellStyle name="常规 7 3 5 2 2" xfId="192"/>
    <cellStyle name="常规 7 3 5 2 3" xfId="641"/>
    <cellStyle name="常规 7 3 5 3" xfId="1438"/>
    <cellStyle name="常规 7 3 5 3 2" xfId="660"/>
    <cellStyle name="常规 7 3 5 3 3" xfId="663"/>
    <cellStyle name="常规 7 3 5 4" xfId="1439"/>
    <cellStyle name="常规 7 3 5 5" xfId="1440"/>
    <cellStyle name="常规 7 3 5 6" xfId="1441"/>
    <cellStyle name="常规 7 3 6" xfId="1442"/>
    <cellStyle name="常规 7 3 6 2" xfId="1443"/>
    <cellStyle name="常规 7 3 6 2 2" xfId="1299"/>
    <cellStyle name="常规 7 3 6 2 3" xfId="1302"/>
    <cellStyle name="常规 7 3 6 3" xfId="1444"/>
    <cellStyle name="常规 7 3 6 3 2" xfId="1322"/>
    <cellStyle name="常规 7 3 6 3 3" xfId="1325"/>
    <cellStyle name="常规 7 3 6 4" xfId="1445"/>
    <cellStyle name="常规 7 3 6 5" xfId="1446"/>
    <cellStyle name="常规 7 3 6 6" xfId="1447"/>
    <cellStyle name="常规 7 3 7" xfId="1448"/>
    <cellStyle name="常规 7 3 8" xfId="1449"/>
    <cellStyle name="常规 7 4" xfId="1450"/>
    <cellStyle name="常规 7 5" xfId="1451"/>
    <cellStyle name="常规 7 6" xfId="506"/>
    <cellStyle name="常规 7 7" xfId="1452"/>
    <cellStyle name="常规 7 8" xfId="1453"/>
    <cellStyle name="常规 7 9" xfId="1454"/>
    <cellStyle name="常规 70" xfId="199"/>
    <cellStyle name="常规 70 10" xfId="1265"/>
    <cellStyle name="常规 70 2" xfId="1268"/>
    <cellStyle name="常规 70 3" xfId="1270"/>
    <cellStyle name="常规 70 4" xfId="1272"/>
    <cellStyle name="常规 70 5" xfId="1274"/>
    <cellStyle name="常规 70 6" xfId="1276"/>
    <cellStyle name="常规 70 7" xfId="1278"/>
    <cellStyle name="常规 70 8" xfId="1280"/>
    <cellStyle name="常规 70 9" xfId="1282"/>
    <cellStyle name="常规 71" xfId="203"/>
    <cellStyle name="常规 71 10" xfId="1284"/>
    <cellStyle name="常规 71 2" xfId="1287"/>
    <cellStyle name="常规 71 3" xfId="1289"/>
    <cellStyle name="常规 71 4" xfId="1291"/>
    <cellStyle name="常规 71 5" xfId="1293"/>
    <cellStyle name="常规 71 6" xfId="1295"/>
    <cellStyle name="常规 71 7" xfId="1297"/>
    <cellStyle name="常规 71 8" xfId="1300"/>
    <cellStyle name="常规 71 9" xfId="1303"/>
    <cellStyle name="常规 72" xfId="1305"/>
    <cellStyle name="常规 72 10" xfId="1308"/>
    <cellStyle name="常规 72 2" xfId="1310"/>
    <cellStyle name="常规 72 3" xfId="1312"/>
    <cellStyle name="常规 72 4" xfId="1314"/>
    <cellStyle name="常规 72 5" xfId="1316"/>
    <cellStyle name="常规 72 6" xfId="1318"/>
    <cellStyle name="常规 72 7" xfId="1320"/>
    <cellStyle name="常规 72 8" xfId="1323"/>
    <cellStyle name="常规 72 9" xfId="1326"/>
    <cellStyle name="常规 73" xfId="1328"/>
    <cellStyle name="常规 73 10" xfId="1331"/>
    <cellStyle name="常规 73 2" xfId="1333"/>
    <cellStyle name="常规 73 3" xfId="1335"/>
    <cellStyle name="常规 73 4" xfId="1337"/>
    <cellStyle name="常规 73 5" xfId="1339"/>
    <cellStyle name="常规 73 6" xfId="1266"/>
    <cellStyle name="常规 73 7" xfId="1341"/>
    <cellStyle name="常规 73 8" xfId="1343"/>
    <cellStyle name="常规 73 9" xfId="1345"/>
    <cellStyle name="常规 74" xfId="1347"/>
    <cellStyle name="常规 74 10" xfId="1349"/>
    <cellStyle name="常规 74 2" xfId="1351"/>
    <cellStyle name="常规 74 3" xfId="1353"/>
    <cellStyle name="常规 74 4" xfId="1355"/>
    <cellStyle name="常规 74 5" xfId="1357"/>
    <cellStyle name="常规 74 6" xfId="1359"/>
    <cellStyle name="常规 74 7" xfId="1361"/>
    <cellStyle name="常规 74 8" xfId="1363"/>
    <cellStyle name="常规 74 9" xfId="1365"/>
    <cellStyle name="常规 75" xfId="281"/>
    <cellStyle name="常规 75 10" xfId="1455"/>
    <cellStyle name="常规 75 2" xfId="1456"/>
    <cellStyle name="常规 75 3" xfId="1458"/>
    <cellStyle name="常规 75 4" xfId="1460"/>
    <cellStyle name="常规 75 5" xfId="1462"/>
    <cellStyle name="常规 75 6" xfId="1464"/>
    <cellStyle name="常规 75 7" xfId="1466"/>
    <cellStyle name="常规 75 8" xfId="1468"/>
    <cellStyle name="常规 75 9" xfId="1469"/>
    <cellStyle name="常规 76" xfId="284"/>
    <cellStyle name="常规 76 10" xfId="1470"/>
    <cellStyle name="常规 76 2" xfId="1471"/>
    <cellStyle name="常规 76 3" xfId="1472"/>
    <cellStyle name="常规 76 4" xfId="1473"/>
    <cellStyle name="常规 76 5" xfId="1474"/>
    <cellStyle name="常规 76 6" xfId="1475"/>
    <cellStyle name="常规 76 7" xfId="1476"/>
    <cellStyle name="常规 76 8" xfId="1477"/>
    <cellStyle name="常规 76 9" xfId="1478"/>
    <cellStyle name="常规 77" xfId="1479"/>
    <cellStyle name="常规 77 10" xfId="989"/>
    <cellStyle name="常规 77 2" xfId="1481"/>
    <cellStyle name="常规 77 3" xfId="1482"/>
    <cellStyle name="常规 77 4" xfId="1483"/>
    <cellStyle name="常规 77 5" xfId="1485"/>
    <cellStyle name="常规 77 6" xfId="1487"/>
    <cellStyle name="常规 77 7" xfId="1489"/>
    <cellStyle name="常规 77 8" xfId="1491"/>
    <cellStyle name="常规 77 9" xfId="1493"/>
    <cellStyle name="常规 78" xfId="1494"/>
    <cellStyle name="常规 78 10" xfId="439"/>
    <cellStyle name="常规 78 2" xfId="1496"/>
    <cellStyle name="常规 78 3" xfId="1497"/>
    <cellStyle name="常规 78 4" xfId="1498"/>
    <cellStyle name="常规 78 5" xfId="1499"/>
    <cellStyle name="常规 78 6" xfId="1285"/>
    <cellStyle name="常规 78 7" xfId="1500"/>
    <cellStyle name="常规 78 8" xfId="1501"/>
    <cellStyle name="常规 78 9" xfId="1502"/>
    <cellStyle name="常规 79" xfId="1503"/>
    <cellStyle name="常规 79 10" xfId="1505"/>
    <cellStyle name="常规 79 2" xfId="1506"/>
    <cellStyle name="常规 79 3" xfId="1507"/>
    <cellStyle name="常规 79 4" xfId="1508"/>
    <cellStyle name="常规 79 5" xfId="1510"/>
    <cellStyle name="常规 79 6" xfId="1512"/>
    <cellStyle name="常规 79 7" xfId="1513"/>
    <cellStyle name="常规 79 8" xfId="1514"/>
    <cellStyle name="常规 79 9" xfId="1515"/>
    <cellStyle name="常规 8" xfId="1516"/>
    <cellStyle name="常规 8 10" xfId="1517"/>
    <cellStyle name="常规 8 11" xfId="1518"/>
    <cellStyle name="常规 8 2" xfId="1519"/>
    <cellStyle name="常规 8 2 2" xfId="1520"/>
    <cellStyle name="常规 8 2 2 2" xfId="1521"/>
    <cellStyle name="常规 8 2 2 3" xfId="1522"/>
    <cellStyle name="常规 8 2 2 4" xfId="1523"/>
    <cellStyle name="常规 8 2 2 5" xfId="1524"/>
    <cellStyle name="常规 8 2 2 6" xfId="1525"/>
    <cellStyle name="常规 8 2 2 7" xfId="1526"/>
    <cellStyle name="常规 8 2 3" xfId="1527"/>
    <cellStyle name="常规 8 2 4" xfId="1528"/>
    <cellStyle name="常规 8 2 5" xfId="1529"/>
    <cellStyle name="常规 8 2 6" xfId="1530"/>
    <cellStyle name="常规 8 2 7" xfId="1531"/>
    <cellStyle name="常规 8 3" xfId="1532"/>
    <cellStyle name="常规 8 3 2" xfId="1533"/>
    <cellStyle name="常规 8 3 3" xfId="1534"/>
    <cellStyle name="常规 8 4" xfId="1535"/>
    <cellStyle name="常规 8 5" xfId="1536"/>
    <cellStyle name="常规 8 6" xfId="1537"/>
    <cellStyle name="常规 8 7" xfId="1538"/>
    <cellStyle name="常规 8 8" xfId="244"/>
    <cellStyle name="常规 8 9" xfId="1539"/>
    <cellStyle name="常规 80" xfId="280"/>
    <cellStyle name="常规 80 2" xfId="1457"/>
    <cellStyle name="常规 80 3" xfId="1459"/>
    <cellStyle name="常规 80 4" xfId="1461"/>
    <cellStyle name="常规 80 5" xfId="1463"/>
    <cellStyle name="常规 80 6" xfId="1465"/>
    <cellStyle name="常规 80 7" xfId="1467"/>
    <cellStyle name="常规 81" xfId="283"/>
    <cellStyle name="常规 82" xfId="1480"/>
    <cellStyle name="常规 83" xfId="1495"/>
    <cellStyle name="常规 84" xfId="1504"/>
    <cellStyle name="常规 85" xfId="97"/>
    <cellStyle name="常规 86" xfId="100"/>
    <cellStyle name="常规 87" xfId="1540"/>
    <cellStyle name="常规 88" xfId="1541"/>
    <cellStyle name="常规 89" xfId="1542"/>
    <cellStyle name="常规 9" xfId="1407"/>
    <cellStyle name="常规 9 10" xfId="1543"/>
    <cellStyle name="常规 9 11" xfId="1749"/>
    <cellStyle name="常规 9 2" xfId="223"/>
    <cellStyle name="常规 9 3" xfId="230"/>
    <cellStyle name="常规 9 4" xfId="237"/>
    <cellStyle name="常规 9 5" xfId="1544"/>
    <cellStyle name="常规 9 6" xfId="1545"/>
    <cellStyle name="常规 9 7" xfId="1546"/>
    <cellStyle name="常规 9 8" xfId="1547"/>
    <cellStyle name="常规 9 9" xfId="1548"/>
    <cellStyle name="常规 90" xfId="1750"/>
    <cellStyle name="常规_计算表-华北大酒店B座（新）" xfId="334"/>
    <cellStyle name="超链接" xfId="1549" builtinId="8"/>
    <cellStyle name="超链接 3" xfId="1550"/>
    <cellStyle name="超链接 4" xfId="1551"/>
    <cellStyle name="超链接 5" xfId="1552"/>
    <cellStyle name="超链接 7" xfId="1553"/>
    <cellStyle name="超链接 8" xfId="1554"/>
    <cellStyle name="超链接 9" xfId="1555"/>
    <cellStyle name="好" xfId="1556" builtinId="26" customBuiltin="1"/>
    <cellStyle name="好 2" xfId="1557"/>
    <cellStyle name="好 2 2" xfId="1558"/>
    <cellStyle name="好 2 3" xfId="43"/>
    <cellStyle name="好 2 4" xfId="326"/>
    <cellStyle name="好 2 5" xfId="329"/>
    <cellStyle name="好 2 6" xfId="337"/>
    <cellStyle name="好 3" xfId="1559"/>
    <cellStyle name="好 4" xfId="1560"/>
    <cellStyle name="好 4 2" xfId="602"/>
    <cellStyle name="好 4 3" xfId="623"/>
    <cellStyle name="好 5" xfId="550"/>
    <cellStyle name="好 5 2" xfId="1200"/>
    <cellStyle name="好 5 3" xfId="1219"/>
    <cellStyle name="汇总" xfId="1561" builtinId="25" customBuiltin="1"/>
    <cellStyle name="汇总 2" xfId="1562"/>
    <cellStyle name="汇总 2 2" xfId="1563"/>
    <cellStyle name="汇总 2 3" xfId="1564"/>
    <cellStyle name="汇总 2 4" xfId="1565"/>
    <cellStyle name="汇总 2 5" xfId="1566"/>
    <cellStyle name="汇总 2 6" xfId="1567"/>
    <cellStyle name="汇总 3" xfId="1568"/>
    <cellStyle name="汇总 4" xfId="1569"/>
    <cellStyle name="汇总 4 2" xfId="1570"/>
    <cellStyle name="汇总 4 3" xfId="1571"/>
    <cellStyle name="汇总 5" xfId="1572"/>
    <cellStyle name="汇总 5 2" xfId="1573"/>
    <cellStyle name="汇总 5 3" xfId="1574"/>
    <cellStyle name="计算" xfId="1575" builtinId="22" customBuiltin="1"/>
    <cellStyle name="计算 2" xfId="1576"/>
    <cellStyle name="计算 2 2" xfId="1577"/>
    <cellStyle name="计算 2 3" xfId="1578"/>
    <cellStyle name="计算 2 4" xfId="1579"/>
    <cellStyle name="计算 2 5" xfId="1580"/>
    <cellStyle name="计算 2 6" xfId="1581"/>
    <cellStyle name="计算 3" xfId="1582"/>
    <cellStyle name="计算 4" xfId="1583"/>
    <cellStyle name="计算 4 2" xfId="952"/>
    <cellStyle name="计算 4 3" xfId="1584"/>
    <cellStyle name="计算 5" xfId="1585"/>
    <cellStyle name="计算 5 2" xfId="1586"/>
    <cellStyle name="计算 5 3" xfId="1587"/>
    <cellStyle name="检查单元格" xfId="85" builtinId="23" customBuiltin="1"/>
    <cellStyle name="检查单元格 2" xfId="1588"/>
    <cellStyle name="检查单元格 2 2" xfId="1589"/>
    <cellStyle name="检查单元格 2 3" xfId="1590"/>
    <cellStyle name="检查单元格 2 4" xfId="1591"/>
    <cellStyle name="检查单元格 2 5" xfId="1592"/>
    <cellStyle name="检查单元格 2 6" xfId="1593"/>
    <cellStyle name="检查单元格 3" xfId="1594"/>
    <cellStyle name="检查单元格 4" xfId="1595"/>
    <cellStyle name="检查单元格 4 2" xfId="1596"/>
    <cellStyle name="检查单元格 4 3" xfId="1597"/>
    <cellStyle name="检查单元格 5" xfId="1598"/>
    <cellStyle name="检查单元格 5 2" xfId="1599"/>
    <cellStyle name="检查单元格 5 3" xfId="1600"/>
    <cellStyle name="解释性文本" xfId="532" builtinId="53" customBuiltin="1"/>
    <cellStyle name="解释性文本 2" xfId="1601"/>
    <cellStyle name="解释性文本 2 2" xfId="1602"/>
    <cellStyle name="解释性文本 2 3" xfId="1603"/>
    <cellStyle name="解释性文本 2 4" xfId="1604"/>
    <cellStyle name="解释性文本 2 5" xfId="1605"/>
    <cellStyle name="解释性文本 2 6" xfId="1606"/>
    <cellStyle name="解释性文本 3" xfId="1607"/>
    <cellStyle name="解释性文本 4" xfId="1608"/>
    <cellStyle name="解释性文本 4 2" xfId="1609"/>
    <cellStyle name="解释性文本 4 3" xfId="1610"/>
    <cellStyle name="解释性文本 5" xfId="584"/>
    <cellStyle name="解释性文本 5 2" xfId="586"/>
    <cellStyle name="解释性文本 5 3" xfId="257"/>
    <cellStyle name="警告文本" xfId="1258" builtinId="11" customBuiltin="1"/>
    <cellStyle name="警告文本 2" xfId="206"/>
    <cellStyle name="警告文本 2 2" xfId="1611"/>
    <cellStyle name="警告文本 2 3" xfId="1612"/>
    <cellStyle name="警告文本 2 4" xfId="1613"/>
    <cellStyle name="警告文本 2 5" xfId="1614"/>
    <cellStyle name="警告文本 2 6" xfId="605"/>
    <cellStyle name="警告文本 3" xfId="208"/>
    <cellStyle name="警告文本 4" xfId="1615"/>
    <cellStyle name="警告文本 4 2" xfId="1616"/>
    <cellStyle name="警告文本 4 3" xfId="1617"/>
    <cellStyle name="警告文本 5" xfId="1618"/>
    <cellStyle name="警告文本 5 2" xfId="1619"/>
    <cellStyle name="警告文本 5 3" xfId="1620"/>
    <cellStyle name="链接单元格" xfId="1621" builtinId="24" customBuiltin="1"/>
    <cellStyle name="链接单元格 2" xfId="1622"/>
    <cellStyle name="链接单元格 2 2" xfId="1623"/>
    <cellStyle name="链接单元格 2 3" xfId="1624"/>
    <cellStyle name="链接单元格 2 4" xfId="1625"/>
    <cellStyle name="链接单元格 2 5" xfId="1626"/>
    <cellStyle name="链接单元格 2 6" xfId="1627"/>
    <cellStyle name="链接单元格 3" xfId="1628"/>
    <cellStyle name="链接单元格 4" xfId="1629"/>
    <cellStyle name="链接单元格 4 2" xfId="1630"/>
    <cellStyle name="链接单元格 4 3" xfId="1631"/>
    <cellStyle name="链接单元格 5" xfId="1632"/>
    <cellStyle name="链接单元格 5 2" xfId="1633"/>
    <cellStyle name="链接单元格 5 3" xfId="1634"/>
    <cellStyle name="千位分隔" xfId="6" builtinId="3"/>
    <cellStyle name="千位分隔 10" xfId="1635"/>
    <cellStyle name="千位分隔 10 2" xfId="1636"/>
    <cellStyle name="千位分隔 10 2 10" xfId="1637"/>
    <cellStyle name="千位分隔 10 2 2" xfId="1638"/>
    <cellStyle name="千位分隔 10 2 3" xfId="1639"/>
    <cellStyle name="千位分隔 10 2 4" xfId="1640"/>
    <cellStyle name="千位分隔 10 2 5" xfId="1641"/>
    <cellStyle name="千位分隔 10 2 6" xfId="1642"/>
    <cellStyle name="千位分隔 10 2 7" xfId="1643"/>
    <cellStyle name="千位分隔 10 2 8" xfId="1644"/>
    <cellStyle name="千位分隔 10 2 9" xfId="1645"/>
    <cellStyle name="千位分隔 11" xfId="992"/>
    <cellStyle name="千位分隔 12" xfId="1646"/>
    <cellStyle name="千位分隔 2" xfId="1647"/>
    <cellStyle name="千位分隔 3" xfId="431"/>
    <cellStyle name="千位分隔 3 10" xfId="1648"/>
    <cellStyle name="千位分隔 3 2" xfId="560"/>
    <cellStyle name="千位分隔 3 3" xfId="387"/>
    <cellStyle name="千位分隔 3 4" xfId="391"/>
    <cellStyle name="千位分隔 3 5" xfId="562"/>
    <cellStyle name="千位分隔 3 6" xfId="450"/>
    <cellStyle name="千位分隔 3 7" xfId="1649"/>
    <cellStyle name="千位分隔 3 8" xfId="1650"/>
    <cellStyle name="千位分隔 3 9" xfId="1651"/>
    <cellStyle name="千位分隔 4" xfId="434"/>
    <cellStyle name="千位分隔 5" xfId="297"/>
    <cellStyle name="千位分隔 6" xfId="300"/>
    <cellStyle name="千位分隔 7" xfId="1652"/>
    <cellStyle name="千位分隔 8" xfId="1653"/>
    <cellStyle name="千位分隔 9" xfId="1654"/>
    <cellStyle name="强调文字颜色 1" xfId="1655" builtinId="29" customBuiltin="1"/>
    <cellStyle name="强调文字颜色 1 2" xfId="1656"/>
    <cellStyle name="强调文字颜色 1 2 2" xfId="1484"/>
    <cellStyle name="强调文字颜色 1 2 3" xfId="1486"/>
    <cellStyle name="强调文字颜色 1 2 4" xfId="1488"/>
    <cellStyle name="强调文字颜色 1 2 5" xfId="1490"/>
    <cellStyle name="强调文字颜色 1 2 6" xfId="1492"/>
    <cellStyle name="强调文字颜色 1 3" xfId="1657"/>
    <cellStyle name="强调文字颜色 1 4" xfId="1658"/>
    <cellStyle name="强调文字颜色 1 4 2" xfId="1509"/>
    <cellStyle name="强调文字颜色 1 4 3" xfId="1511"/>
    <cellStyle name="强调文字颜色 1 5" xfId="1659"/>
    <cellStyle name="强调文字颜色 1 5 2" xfId="1660"/>
    <cellStyle name="强调文字颜色 1 5 3" xfId="1662"/>
    <cellStyle name="强调文字颜色 2" xfId="1664" builtinId="33" customBuiltin="1"/>
    <cellStyle name="强调文字颜色 2 2" xfId="1665"/>
    <cellStyle name="强调文字颜色 2 2 2" xfId="25"/>
    <cellStyle name="强调文字颜色 2 2 3" xfId="31"/>
    <cellStyle name="强调文字颜色 2 2 4" xfId="2"/>
    <cellStyle name="强调文字颜色 2 2 5" xfId="34"/>
    <cellStyle name="强调文字颜色 2 2 6" xfId="37"/>
    <cellStyle name="强调文字颜色 2 3" xfId="1666"/>
    <cellStyle name="强调文字颜色 2 4" xfId="1667"/>
    <cellStyle name="强调文字颜色 2 4 2" xfId="1668"/>
    <cellStyle name="强调文字颜色 2 4 3" xfId="1669"/>
    <cellStyle name="强调文字颜色 2 5" xfId="1670"/>
    <cellStyle name="强调文字颜色 2 5 2" xfId="1671"/>
    <cellStyle name="强调文字颜色 2 5 3" xfId="1672"/>
    <cellStyle name="强调文字颜色 3" xfId="1673" builtinId="37" customBuiltin="1"/>
    <cellStyle name="强调文字颜色 3 2" xfId="1674"/>
    <cellStyle name="强调文字颜色 3 2 2" xfId="1675"/>
    <cellStyle name="强调文字颜色 3 2 3" xfId="1676"/>
    <cellStyle name="强调文字颜色 3 2 4" xfId="1677"/>
    <cellStyle name="强调文字颜色 3 2 5" xfId="1678"/>
    <cellStyle name="强调文字颜色 3 2 6" xfId="1679"/>
    <cellStyle name="强调文字颜色 3 3" xfId="709"/>
    <cellStyle name="强调文字颜色 3 4" xfId="713"/>
    <cellStyle name="强调文字颜色 3 4 2" xfId="715"/>
    <cellStyle name="强调文字颜色 3 4 3" xfId="717"/>
    <cellStyle name="强调文字颜色 3 5" xfId="719"/>
    <cellStyle name="强调文字颜色 3 5 2" xfId="1680"/>
    <cellStyle name="强调文字颜色 3 5 3" xfId="1681"/>
    <cellStyle name="强调文字颜色 4" xfId="1682" builtinId="41" customBuiltin="1"/>
    <cellStyle name="强调文字颜色 4 2" xfId="375"/>
    <cellStyle name="强调文字颜色 4 2 2" xfId="1683"/>
    <cellStyle name="强调文字颜色 4 2 3" xfId="1684"/>
    <cellStyle name="强调文字颜色 4 2 4" xfId="1685"/>
    <cellStyle name="强调文字颜色 4 2 5" xfId="1686"/>
    <cellStyle name="强调文字颜色 4 2 6" xfId="1687"/>
    <cellStyle name="强调文字颜色 4 3" xfId="377"/>
    <cellStyle name="强调文字颜色 4 4" xfId="1688"/>
    <cellStyle name="强调文字颜色 4 4 2" xfId="1689"/>
    <cellStyle name="强调文字颜色 4 4 3" xfId="1690"/>
    <cellStyle name="强调文字颜色 4 5" xfId="1691"/>
    <cellStyle name="强调文字颜色 4 5 2" xfId="1692"/>
    <cellStyle name="强调文字颜色 4 5 3" xfId="1693"/>
    <cellStyle name="强调文字颜色 5" xfId="456" builtinId="45" customBuiltin="1"/>
    <cellStyle name="强调文字颜色 5 2" xfId="1694"/>
    <cellStyle name="强调文字颜色 5 2 2" xfId="1695"/>
    <cellStyle name="强调文字颜色 5 2 3" xfId="1696"/>
    <cellStyle name="强调文字颜色 5 2 4" xfId="1697"/>
    <cellStyle name="强调文字颜色 5 2 5" xfId="1698"/>
    <cellStyle name="强调文字颜色 5 2 6" xfId="1699"/>
    <cellStyle name="强调文字颜色 5 3" xfId="1700"/>
    <cellStyle name="强调文字颜色 5 4" xfId="1701"/>
    <cellStyle name="强调文字颜色 5 4 2" xfId="1702"/>
    <cellStyle name="强调文字颜色 5 4 3" xfId="1703"/>
    <cellStyle name="强调文字颜色 5 5" xfId="1704"/>
    <cellStyle name="强调文字颜色 5 5 2" xfId="1705"/>
    <cellStyle name="强调文字颜色 5 5 3" xfId="1706"/>
    <cellStyle name="强调文字颜色 6" xfId="458" builtinId="49" customBuiltin="1"/>
    <cellStyle name="强调文字颜色 6 2" xfId="1707"/>
    <cellStyle name="强调文字颜色 6 2 2" xfId="1708"/>
    <cellStyle name="强调文字颜色 6 2 3" xfId="1709"/>
    <cellStyle name="强调文字颜色 6 2 4" xfId="1710"/>
    <cellStyle name="强调文字颜色 6 2 5" xfId="1711"/>
    <cellStyle name="强调文字颜色 6 2 6" xfId="1712"/>
    <cellStyle name="强调文字颜色 6 3" xfId="1713"/>
    <cellStyle name="强调文字颜色 6 4" xfId="1714"/>
    <cellStyle name="强调文字颜色 6 4 2" xfId="239"/>
    <cellStyle name="强调文字颜色 6 4 3" xfId="460"/>
    <cellStyle name="强调文字颜色 6 5" xfId="1715"/>
    <cellStyle name="强调文字颜色 6 5 2" xfId="73"/>
    <cellStyle name="强调文字颜色 6 5 3" xfId="473"/>
    <cellStyle name="适中" xfId="1716" builtinId="28" customBuiltin="1"/>
    <cellStyle name="适中 2" xfId="1717"/>
    <cellStyle name="适中 2 2" xfId="349"/>
    <cellStyle name="适中 2 3" xfId="361"/>
    <cellStyle name="适中 2 4" xfId="171"/>
    <cellStyle name="适中 2 5" xfId="177"/>
    <cellStyle name="适中 2 6" xfId="416"/>
    <cellStyle name="适中 3" xfId="1718"/>
    <cellStyle name="适中 4" xfId="1719"/>
    <cellStyle name="适中 4 2" xfId="652"/>
    <cellStyle name="适中 4 3" xfId="655"/>
    <cellStyle name="适中 5" xfId="1720"/>
    <cellStyle name="适中 5 2" xfId="677"/>
    <cellStyle name="适中 5 3" xfId="682"/>
    <cellStyle name="输出" xfId="96" builtinId="21" customBuiltin="1"/>
    <cellStyle name="输出 2" xfId="1721"/>
    <cellStyle name="输出 2 2" xfId="1722"/>
    <cellStyle name="输出 2 3" xfId="1723"/>
    <cellStyle name="输出 2 4" xfId="1724"/>
    <cellStyle name="输出 2 5" xfId="1725"/>
    <cellStyle name="输出 2 6" xfId="1726"/>
    <cellStyle name="输出 3" xfId="1727"/>
    <cellStyle name="输出 4" xfId="1661"/>
    <cellStyle name="输出 4 2" xfId="914"/>
    <cellStyle name="输出 4 3" xfId="1030"/>
    <cellStyle name="输出 5" xfId="1663"/>
    <cellStyle name="输出 5 2" xfId="1728"/>
    <cellStyle name="输出 5 3" xfId="1729"/>
    <cellStyle name="输入" xfId="1730" builtinId="20" customBuiltin="1"/>
    <cellStyle name="输入 2" xfId="582"/>
    <cellStyle name="输入 2 2" xfId="759"/>
    <cellStyle name="输入 2 3" xfId="761"/>
    <cellStyle name="输入 2 4" xfId="1731"/>
    <cellStyle name="输入 2 5" xfId="1732"/>
    <cellStyle name="输入 2 6" xfId="1733"/>
    <cellStyle name="输入 3" xfId="763"/>
    <cellStyle name="输入 4" xfId="1734"/>
    <cellStyle name="输入 4 2" xfId="1735"/>
    <cellStyle name="输入 4 3" xfId="1736"/>
    <cellStyle name="输入 5" xfId="1737"/>
    <cellStyle name="输入 5 2" xfId="1738"/>
    <cellStyle name="输入 5 3" xfId="1739"/>
    <cellStyle name="注释" xfId="125" builtinId="10" customBuiltin="1"/>
    <cellStyle name="注释 2" xfId="1740"/>
    <cellStyle name="注释 2 2" xfId="1741"/>
    <cellStyle name="注释 2 3" xfId="1742"/>
    <cellStyle name="注释 2 4" xfId="1743"/>
    <cellStyle name="注释 2 5" xfId="1744"/>
    <cellStyle name="注释 2 6" xfId="1745"/>
    <cellStyle name="注释 3" xfId="1746"/>
    <cellStyle name="注释 4" xfId="1747"/>
    <cellStyle name="注释 4 2" xfId="638"/>
    <cellStyle name="注释 4 3" xfId="666"/>
    <cellStyle name="注释 5" xfId="1748"/>
    <cellStyle name="注释 5 2" xfId="1306"/>
    <cellStyle name="注释 5 3" xfId="132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29</xdr:row>
      <xdr:rowOff>0</xdr:rowOff>
    </xdr:from>
    <xdr:to>
      <xdr:col>21</xdr:col>
      <xdr:colOff>9525</xdr:colOff>
      <xdr:row>48</xdr:row>
      <xdr:rowOff>142875</xdr:rowOff>
    </xdr:to>
    <xdr:pic>
      <xdr:nvPicPr>
        <xdr:cNvPr id="6481" name="Picture 1"/>
        <xdr:cNvPicPr>
          <a:picLocks noChangeAspect="1" noChangeArrowheads="1"/>
        </xdr:cNvPicPr>
      </xdr:nvPicPr>
      <xdr:blipFill>
        <a:blip xmlns:r="http://schemas.openxmlformats.org/officeDocument/2006/relationships" r:embed="rId1"/>
        <a:srcRect/>
        <a:stretch>
          <a:fillRect/>
        </a:stretch>
      </xdr:blipFill>
      <xdr:spPr bwMode="auto">
        <a:xfrm>
          <a:off x="8115300" y="4981575"/>
          <a:ext cx="6181725" cy="3400425"/>
        </a:xfrm>
        <a:prstGeom prst="rect">
          <a:avLst/>
        </a:prstGeom>
        <a:noFill/>
        <a:ln w="9525" cmpd="sng">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561975</xdr:colOff>
      <xdr:row>47</xdr:row>
      <xdr:rowOff>85725</xdr:rowOff>
    </xdr:from>
    <xdr:to>
      <xdr:col>0</xdr:col>
      <xdr:colOff>790575</xdr:colOff>
      <xdr:row>49</xdr:row>
      <xdr:rowOff>66675</xdr:rowOff>
    </xdr:to>
    <xdr:sp macro="" textlink="">
      <xdr:nvSpPr>
        <xdr:cNvPr id="2" name="AutoShape 169" descr="http://countpvs.light.soufun.com/countpv?v=1.20%5eb=5%5ef=0%5el=http://fdc.soufun.com/index/XinFangIndex.aspx%5er=%5eg=59f54a93-1339403639140-69277a97%5eu=U_1808351b-1345511318281-143dcb2c%5ec=1%5ea=0%5es=nnn/n3_nn%5em=19%5et=%E6%96%B0%E6%88%BF%E4%BB%B7%E6%A0%BC%E6%8C%87%E6%95%B0,%E6%96%B0%E6%88%BF%E4%BB%B7%E6%A0%BC,%E6%96%B0%E6%88%BF%E4%BB%B7%E6%A0%BC%E6%8C%87%E6%95%B0%E8%B5%B0%E5%8A%BF-%E6%8C%87%E6%95%B0%E7%A0%94%E7%A9%B6-%E6%90%9C%E6%88%BF%E4%BA%A7%E4%B8%9A%E7%BD%91%5ei=0%5e1345515118531"/>
        <xdr:cNvSpPr>
          <a:spLocks noChangeAspect="1" noChangeArrowheads="1"/>
        </xdr:cNvSpPr>
      </xdr:nvSpPr>
      <xdr:spPr bwMode="auto">
        <a:xfrm>
          <a:off x="8134350" y="5600700"/>
          <a:ext cx="304800" cy="323850"/>
        </a:xfrm>
        <a:prstGeom prst="rect">
          <a:avLst/>
        </a:prstGeom>
        <a:noFill/>
        <a:ln w="9525">
          <a:noFill/>
          <a:miter lim="800000"/>
          <a:headEnd/>
          <a:tailEnd/>
        </a:ln>
      </xdr:spPr>
    </xdr:sp>
    <xdr:clientData/>
  </xdr:twoCellAnchor>
  <xdr:twoCellAnchor editAs="oneCell">
    <xdr:from>
      <xdr:col>0</xdr:col>
      <xdr:colOff>0</xdr:colOff>
      <xdr:row>49</xdr:row>
      <xdr:rowOff>0</xdr:rowOff>
    </xdr:from>
    <xdr:to>
      <xdr:col>0</xdr:col>
      <xdr:colOff>304800</xdr:colOff>
      <xdr:row>50</xdr:row>
      <xdr:rowOff>19050</xdr:rowOff>
    </xdr:to>
    <xdr:sp macro="" textlink="">
      <xdr:nvSpPr>
        <xdr:cNvPr id="3" name="AutoShape 141" descr="http://countpvs.light.soufun.com/countpv?v=1.20%5eb=5%5ef=0%5el=http://fdc.soufun.com/index/XinFangIndex.aspx%5er=%5eg=59f54a93-1339403639140-69277a97%5eu=U_41f9122c-1342677610718-18f0faf9%5ec=1%5ea=0%5es=nnn/n3_nn%5em=0%5et=%5ei=0%5e1342677610718"/>
        <xdr:cNvSpPr>
          <a:spLocks noChangeAspect="1" noChangeArrowheads="1"/>
        </xdr:cNvSpPr>
      </xdr:nvSpPr>
      <xdr:spPr bwMode="auto">
        <a:xfrm>
          <a:off x="8258175" y="5857875"/>
          <a:ext cx="304800" cy="32385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47625</xdr:colOff>
      <xdr:row>24</xdr:row>
      <xdr:rowOff>128797</xdr:rowOff>
    </xdr:to>
    <xdr:pic>
      <xdr:nvPicPr>
        <xdr:cNvPr id="6" name="图片 5" descr="估价对象及案例位置图.png"/>
        <xdr:cNvPicPr>
          <a:picLocks noChangeAspect="1"/>
        </xdr:cNvPicPr>
      </xdr:nvPicPr>
      <xdr:blipFill>
        <a:blip xmlns:r="http://schemas.openxmlformats.org/officeDocument/2006/relationships" r:embed="rId1"/>
        <a:stretch>
          <a:fillRect/>
        </a:stretch>
      </xdr:blipFill>
      <xdr:spPr>
        <a:xfrm>
          <a:off x="0" y="0"/>
          <a:ext cx="6219825" cy="4243597"/>
        </a:xfrm>
        <a:prstGeom prst="rect">
          <a:avLst/>
        </a:prstGeom>
      </xdr:spPr>
    </xdr:pic>
    <xdr:clientData/>
  </xdr:twoCellAnchor>
  <xdr:twoCellAnchor editAs="oneCell">
    <xdr:from>
      <xdr:col>0</xdr:col>
      <xdr:colOff>0</xdr:colOff>
      <xdr:row>28</xdr:row>
      <xdr:rowOff>0</xdr:rowOff>
    </xdr:from>
    <xdr:to>
      <xdr:col>7</xdr:col>
      <xdr:colOff>409575</xdr:colOff>
      <xdr:row>53</xdr:row>
      <xdr:rowOff>169668</xdr:rowOff>
    </xdr:to>
    <xdr:pic>
      <xdr:nvPicPr>
        <xdr:cNvPr id="7" name="图片 6" descr="龙锦苑底商.png"/>
        <xdr:cNvPicPr>
          <a:picLocks noChangeAspect="1"/>
        </xdr:cNvPicPr>
      </xdr:nvPicPr>
      <xdr:blipFill>
        <a:blip xmlns:r="http://schemas.openxmlformats.org/officeDocument/2006/relationships" r:embed="rId2"/>
        <a:stretch>
          <a:fillRect/>
        </a:stretch>
      </xdr:blipFill>
      <xdr:spPr>
        <a:xfrm>
          <a:off x="0" y="4800600"/>
          <a:ext cx="5210175" cy="4455918"/>
        </a:xfrm>
        <a:prstGeom prst="rect">
          <a:avLst/>
        </a:prstGeom>
      </xdr:spPr>
    </xdr:pic>
    <xdr:clientData/>
  </xdr:twoCellAnchor>
  <xdr:twoCellAnchor editAs="oneCell">
    <xdr:from>
      <xdr:col>8</xdr:col>
      <xdr:colOff>40281</xdr:colOff>
      <xdr:row>28</xdr:row>
      <xdr:rowOff>0</xdr:rowOff>
    </xdr:from>
    <xdr:to>
      <xdr:col>15</xdr:col>
      <xdr:colOff>609600</xdr:colOff>
      <xdr:row>54</xdr:row>
      <xdr:rowOff>42040</xdr:rowOff>
    </xdr:to>
    <xdr:pic>
      <xdr:nvPicPr>
        <xdr:cNvPr id="8" name="图片 7" descr="龙腾苑底商.png"/>
        <xdr:cNvPicPr>
          <a:picLocks noChangeAspect="1"/>
        </xdr:cNvPicPr>
      </xdr:nvPicPr>
      <xdr:blipFill>
        <a:blip xmlns:r="http://schemas.openxmlformats.org/officeDocument/2006/relationships" r:embed="rId3"/>
        <a:stretch>
          <a:fillRect/>
        </a:stretch>
      </xdr:blipFill>
      <xdr:spPr>
        <a:xfrm>
          <a:off x="5526681" y="4800600"/>
          <a:ext cx="5369919" cy="4499740"/>
        </a:xfrm>
        <a:prstGeom prst="rect">
          <a:avLst/>
        </a:prstGeom>
      </xdr:spPr>
    </xdr:pic>
    <xdr:clientData/>
  </xdr:twoCellAnchor>
  <xdr:twoCellAnchor editAs="oneCell">
    <xdr:from>
      <xdr:col>0</xdr:col>
      <xdr:colOff>0</xdr:colOff>
      <xdr:row>55</xdr:row>
      <xdr:rowOff>0</xdr:rowOff>
    </xdr:from>
    <xdr:to>
      <xdr:col>7</xdr:col>
      <xdr:colOff>167129</xdr:colOff>
      <xdr:row>80</xdr:row>
      <xdr:rowOff>38100</xdr:rowOff>
    </xdr:to>
    <xdr:pic>
      <xdr:nvPicPr>
        <xdr:cNvPr id="9" name="图片 8" descr="商业租金案例.png"/>
        <xdr:cNvPicPr>
          <a:picLocks noChangeAspect="1"/>
        </xdr:cNvPicPr>
      </xdr:nvPicPr>
      <xdr:blipFill>
        <a:blip xmlns:r="http://schemas.openxmlformats.org/officeDocument/2006/relationships" r:embed="rId4"/>
        <a:stretch>
          <a:fillRect/>
        </a:stretch>
      </xdr:blipFill>
      <xdr:spPr>
        <a:xfrm>
          <a:off x="0" y="9429750"/>
          <a:ext cx="4967729" cy="4324350"/>
        </a:xfrm>
        <a:prstGeom prst="rect">
          <a:avLst/>
        </a:prstGeom>
      </xdr:spPr>
    </xdr:pic>
    <xdr:clientData/>
  </xdr:twoCellAnchor>
  <xdr:twoCellAnchor editAs="oneCell">
    <xdr:from>
      <xdr:col>10</xdr:col>
      <xdr:colOff>0</xdr:colOff>
      <xdr:row>0</xdr:row>
      <xdr:rowOff>0</xdr:rowOff>
    </xdr:from>
    <xdr:to>
      <xdr:col>18</xdr:col>
      <xdr:colOff>653004</xdr:colOff>
      <xdr:row>24</xdr:row>
      <xdr:rowOff>0</xdr:rowOff>
    </xdr:to>
    <xdr:pic>
      <xdr:nvPicPr>
        <xdr:cNvPr id="10" name="图片 9" descr="估价对象及车库案例位置图.png"/>
        <xdr:cNvPicPr>
          <a:picLocks noChangeAspect="1"/>
        </xdr:cNvPicPr>
      </xdr:nvPicPr>
      <xdr:blipFill>
        <a:blip xmlns:r="http://schemas.openxmlformats.org/officeDocument/2006/relationships" r:embed="rId5"/>
        <a:stretch>
          <a:fillRect/>
        </a:stretch>
      </xdr:blipFill>
      <xdr:spPr>
        <a:xfrm>
          <a:off x="6858000" y="0"/>
          <a:ext cx="6139404" cy="4114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cuikai/Desktop/&#23545;&#20844;&#20107;&#19994;&#37096;&#8212;&#30005;&#31639;&#34920;-&#22303;&#223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7979;&#31639;&#34920;&#12305;2013.11.13&#32456;(&#19978;&#25253;&#29256;&#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ony/&#27491;&#22312;&#36827;&#34892;&#30340;&#25253;&#21578;/2013-1-B-1-0463&#20013;&#24247;&#22269;&#38469;&#37202;&#24215;/&#27979;&#31639;-&#20013;&#24247;&#37202;&#24215;&#65288;&#20108;&#23457;&#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9640;&#40664;&#28085;/&#24037;&#20316;/&#39033;&#30446;/&#35810;&#20215;/&#23815;&#25991;&#38376;&#35810;&#20215;/&#23457;&#12304;&#27979;&#31639;&#34920;&#12305;&#35810;&#20215;-&#26032;&#19990;&#3002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39640;&#40664;&#28085;/&#24037;&#20316;/&#39033;&#30446;/&#21271;&#33489;&#26032;&#26102;&#20195;/7.13hanye/&#12304;&#27979;&#31639;&#34920;&#12305;&#21271;&#33489;%20&#26032;&#22478;&#24066;&#24191;&#22330;201307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124;&#24179;&#21830;&#19994;/&#26368;&#32456;/A1&#22320;&#22359;&#21830;&#19994;&#27004;-&#22312;&#24314;&#24037;&#31243;(2)&#19968;&#2345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剩余法-待开发"/>
      <sheetName val="剩余法-现房"/>
      <sheetName val="比较法-住宅、综合"/>
      <sheetName val="比较法-工业"/>
      <sheetName val="基准地价"/>
      <sheetName val="修正"/>
      <sheetName val="区片价"/>
      <sheetName val="容积率修正"/>
      <sheetName val="因素修正幅度"/>
      <sheetName val="基准地价（汇总）"/>
      <sheetName val="收益还原法"/>
      <sheetName val="地价"/>
      <sheetName val="不动产收益法"/>
      <sheetName val="酒店收入计算"/>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s>
    <sheetDataSet>
      <sheetData sheetId="0"/>
      <sheetData sheetId="1"/>
      <sheetData sheetId="2"/>
      <sheetData sheetId="3"/>
      <sheetData sheetId="4"/>
      <sheetData sheetId="5"/>
      <sheetData sheetId="6"/>
      <sheetData sheetId="7">
        <row r="3">
          <cell r="D3" t="str">
            <v>土地估价师</v>
          </cell>
        </row>
        <row r="4">
          <cell r="D4" t="str">
            <v>梁津</v>
          </cell>
        </row>
        <row r="5">
          <cell r="D5" t="str">
            <v>李立</v>
          </cell>
        </row>
        <row r="6">
          <cell r="D6" t="str">
            <v>叶凌</v>
          </cell>
        </row>
        <row r="7">
          <cell r="D7" t="str">
            <v>王鹏</v>
          </cell>
        </row>
        <row r="8">
          <cell r="D8" t="str">
            <v>欧红伟</v>
          </cell>
        </row>
        <row r="9">
          <cell r="D9" t="str">
            <v>吴薇</v>
          </cell>
        </row>
        <row r="10">
          <cell r="D10" t="str">
            <v>陈颖</v>
          </cell>
        </row>
        <row r="11">
          <cell r="D11" t="str">
            <v>崔锴</v>
          </cell>
        </row>
        <row r="13">
          <cell r="D13" t="str">
            <v>郑燚</v>
          </cell>
        </row>
        <row r="14">
          <cell r="D14" t="str">
            <v>苏海</v>
          </cell>
        </row>
        <row r="15">
          <cell r="D15" t="str">
            <v>杨红英</v>
          </cell>
        </row>
        <row r="16">
          <cell r="D16" t="str">
            <v>刘梅</v>
          </cell>
        </row>
        <row r="17">
          <cell r="D17" t="str">
            <v>张津夷</v>
          </cell>
        </row>
        <row r="21">
          <cell r="D21" t="str">
            <v>赵雯</v>
          </cell>
        </row>
        <row r="22">
          <cell r="D22" t="str">
            <v>刘敬东</v>
          </cell>
        </row>
        <row r="24">
          <cell r="D24" t="str">
            <v>——</v>
          </cell>
        </row>
      </sheetData>
      <sheetData sheetId="8">
        <row r="1">
          <cell r="A1" t="str">
            <v>用途类型</v>
          </cell>
          <cell r="B1" t="str">
            <v>估价方法</v>
          </cell>
          <cell r="C1" t="str">
            <v>土地级别</v>
          </cell>
          <cell r="D1" t="str">
            <v>判定</v>
          </cell>
          <cell r="F1" t="str">
            <v>主用途</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平层住宅</v>
          </cell>
          <cell r="B2" t="str">
            <v>剩余法-待开发</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LOFT住宅</v>
          </cell>
          <cell r="B3" t="str">
            <v>剩余法-现房</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普通住宅</v>
          </cell>
          <cell r="B4" t="str">
            <v>比较法-住宅、综合</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公寓</v>
          </cell>
          <cell r="B5" t="str">
            <v>比较法-工业</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洋房</v>
          </cell>
          <cell r="B6" t="str">
            <v>基准地价</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叠拼</v>
          </cell>
          <cell r="B7" t="str">
            <v>成本逼近法</v>
          </cell>
          <cell r="C7" t="str">
            <v>六级</v>
          </cell>
          <cell r="F7" t="str">
            <v>车库—商业</v>
          </cell>
          <cell r="H7" t="str">
            <v>工业</v>
          </cell>
          <cell r="I7" t="str">
            <v>10-20（含）</v>
          </cell>
        </row>
        <row r="8">
          <cell r="A8" t="str">
            <v>联排</v>
          </cell>
          <cell r="B8" t="str">
            <v>不动产收益法</v>
          </cell>
          <cell r="C8" t="str">
            <v>七级</v>
          </cell>
          <cell r="F8" t="str">
            <v>车库—办公</v>
          </cell>
          <cell r="I8" t="str">
            <v>0-10（含）</v>
          </cell>
        </row>
        <row r="9">
          <cell r="A9" t="str">
            <v>双拼</v>
          </cell>
          <cell r="B9" t="str">
            <v>不动产比较法-住宅</v>
          </cell>
          <cell r="C9" t="str">
            <v>八级</v>
          </cell>
          <cell r="F9" t="str">
            <v>仓储</v>
          </cell>
        </row>
        <row r="10">
          <cell r="A10" t="str">
            <v>独栋</v>
          </cell>
          <cell r="B10" t="str">
            <v>不动产比较法-商业</v>
          </cell>
          <cell r="C10" t="str">
            <v>九级</v>
          </cell>
          <cell r="F10" t="str">
            <v>——</v>
          </cell>
        </row>
        <row r="11">
          <cell r="A11" t="str">
            <v>底商</v>
          </cell>
          <cell r="B11" t="str">
            <v>不动产比较法-办公</v>
          </cell>
          <cell r="C11" t="str">
            <v>十级</v>
          </cell>
        </row>
        <row r="12">
          <cell r="A12" t="str">
            <v>独立商业</v>
          </cell>
          <cell r="B12" t="str">
            <v>不动产比较法-工业</v>
          </cell>
          <cell r="C12" t="str">
            <v>十一级</v>
          </cell>
        </row>
        <row r="13">
          <cell r="A13" t="str">
            <v>商业街</v>
          </cell>
          <cell r="B13" t="str">
            <v>不动产比较法-车位</v>
          </cell>
          <cell r="C13" t="str">
            <v>十二级</v>
          </cell>
        </row>
        <row r="14">
          <cell r="A14" t="str">
            <v>酒店</v>
          </cell>
          <cell r="B14" t="str">
            <v>不动产比较法-仓储</v>
          </cell>
          <cell r="C14" t="str">
            <v>——</v>
          </cell>
        </row>
        <row r="15">
          <cell r="A15" t="str">
            <v>标准厂房</v>
          </cell>
          <cell r="B15" t="str">
            <v>不动产收益法-商业</v>
          </cell>
        </row>
        <row r="16">
          <cell r="A16" t="str">
            <v>特殊厂房</v>
          </cell>
          <cell r="B16" t="str">
            <v>不动产收益法-办公</v>
          </cell>
        </row>
        <row r="17">
          <cell r="A17" t="str">
            <v>办公楼</v>
          </cell>
          <cell r="B17" t="str">
            <v>不动产收益法-车库</v>
          </cell>
        </row>
        <row r="18">
          <cell r="A18" t="str">
            <v>宿舍</v>
          </cell>
          <cell r="B18" t="str">
            <v>基准地价（汇总）</v>
          </cell>
        </row>
        <row r="19">
          <cell r="A19" t="str">
            <v>食堂</v>
          </cell>
          <cell r="B19" t="str">
            <v>收益还原法</v>
          </cell>
        </row>
        <row r="20">
          <cell r="A20" t="str">
            <v>车库</v>
          </cell>
          <cell r="B20" t="str">
            <v>*</v>
          </cell>
        </row>
        <row r="21">
          <cell r="A21" t="str">
            <v>戊类库房</v>
          </cell>
          <cell r="B21" t="str">
            <v>*</v>
          </cell>
        </row>
        <row r="22">
          <cell r="A22" t="str">
            <v>燃品库房</v>
          </cell>
          <cell r="B22" t="str">
            <v>*</v>
          </cell>
        </row>
        <row r="23">
          <cell r="A23" t="str">
            <v>非燃品库房</v>
          </cell>
          <cell r="B23" t="str">
            <v>*</v>
          </cell>
        </row>
        <row r="24">
          <cell r="A24" t="str">
            <v>——</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抵押价格</v>
          </cell>
        </row>
        <row r="55">
          <cell r="B55" t="str">
            <v>已注销</v>
          </cell>
        </row>
        <row r="56">
          <cell r="B56" t="str">
            <v>已注销及未注销</v>
          </cell>
        </row>
      </sheetData>
      <sheetData sheetId="9"/>
      <sheetData sheetId="10"/>
      <sheetData sheetId="11"/>
      <sheetData sheetId="12">
        <row r="17">
          <cell r="C17" t="str">
            <v>项目类型</v>
          </cell>
        </row>
      </sheetData>
      <sheetData sheetId="13">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4"/>
      <sheetData sheetId="15"/>
      <sheetData sheetId="16">
        <row r="45">
          <cell r="C45" t="str">
            <v>——</v>
          </cell>
        </row>
        <row r="46">
          <cell r="C46" t="str">
            <v>——</v>
          </cell>
        </row>
      </sheetData>
      <sheetData sheetId="17"/>
      <sheetData sheetId="18"/>
      <sheetData sheetId="19">
        <row r="75">
          <cell r="A75" t="str">
            <v>交易情况</v>
          </cell>
          <cell r="C75" t="str">
            <v>正常</v>
          </cell>
        </row>
        <row r="77">
          <cell r="B77" t="str">
            <v>用途</v>
          </cell>
        </row>
        <row r="108">
          <cell r="B108" t="str">
            <v>毗邻道路的类型与等级</v>
          </cell>
        </row>
        <row r="110">
          <cell r="B110" t="str">
            <v>土地级别</v>
          </cell>
        </row>
        <row r="121">
          <cell r="B121" t="str">
            <v>宗地形状</v>
          </cell>
        </row>
        <row r="123">
          <cell r="B123" t="str">
            <v>临街宽度及深度</v>
          </cell>
        </row>
        <row r="125">
          <cell r="B125" t="str">
            <v>宗地开发程度</v>
          </cell>
        </row>
        <row r="127">
          <cell r="B127" t="str">
            <v>工程地质条件</v>
          </cell>
        </row>
      </sheetData>
      <sheetData sheetId="20">
        <row r="72">
          <cell r="B72" t="str">
            <v>用途</v>
          </cell>
        </row>
        <row r="99">
          <cell r="B99" t="str">
            <v>毗邻道路的类型与等级</v>
          </cell>
        </row>
        <row r="101">
          <cell r="B101" t="str">
            <v>土地级别</v>
          </cell>
        </row>
        <row r="112">
          <cell r="B112" t="str">
            <v>宗地形状</v>
          </cell>
        </row>
        <row r="114">
          <cell r="B114" t="str">
            <v>宗地开发程度</v>
          </cell>
        </row>
        <row r="116">
          <cell r="B116" t="str">
            <v>工程地质条件</v>
          </cell>
        </row>
      </sheetData>
      <sheetData sheetId="21"/>
      <sheetData sheetId="2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sheetData>
      <sheetData sheetId="23"/>
      <sheetData sheetId="24"/>
      <sheetData sheetId="25"/>
      <sheetData sheetId="26"/>
      <sheetData sheetId="27"/>
      <sheetData sheetId="28"/>
      <sheetData sheetId="29"/>
      <sheetData sheetId="30"/>
      <sheetData sheetId="31"/>
      <sheetData sheetId="32">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33">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34">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5">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6">
        <row r="51">
          <cell r="A51" t="str">
            <v>交易情况</v>
          </cell>
          <cell r="C51" t="str">
            <v>正常</v>
          </cell>
        </row>
        <row r="53">
          <cell r="B53" t="str">
            <v>用途</v>
          </cell>
          <cell r="C53">
            <v>0</v>
          </cell>
        </row>
        <row r="71">
          <cell r="B71" t="str">
            <v>楼层</v>
          </cell>
        </row>
        <row r="79">
          <cell r="B79" t="str">
            <v>配套类型（地上主用途）</v>
          </cell>
          <cell r="C79">
            <v>0</v>
          </cell>
        </row>
        <row r="83">
          <cell r="B83" t="str">
            <v>公共部分装修</v>
          </cell>
        </row>
        <row r="88">
          <cell r="B88" t="str">
            <v>物业等级</v>
          </cell>
        </row>
        <row r="93">
          <cell r="B93" t="str">
            <v>车位类型</v>
          </cell>
        </row>
        <row r="95">
          <cell r="B95" t="str">
            <v>是否直接入户</v>
          </cell>
        </row>
      </sheetData>
      <sheetData sheetId="37">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8">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权属依据"/>
      <sheetName val="面积依据"/>
      <sheetName val="结果汇总"/>
      <sheetName val="建筑物部分"/>
      <sheetName val="收益法（公寓用房）"/>
      <sheetName val="收益法（经营性用房）"/>
      <sheetName val="公寓市场比较法"/>
      <sheetName val="商业市场比较法"/>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成本法"/>
      <sheetName val="收益法"/>
      <sheetName val="市场比较法（土地）"/>
      <sheetName val="面积"/>
      <sheetName val="权属依据"/>
      <sheetName val="面积表"/>
      <sheetName val="结果汇总"/>
    </sheetNames>
    <sheetDataSet>
      <sheetData sheetId="0">
        <row r="42">
          <cell r="B42" t="str">
            <v>1.1.1</v>
          </cell>
        </row>
        <row r="43">
          <cell r="B43" t="str">
            <v>1.1.2</v>
          </cell>
          <cell r="C43" t="str">
            <v>地下非配套公建</v>
          </cell>
          <cell r="E43">
            <v>0</v>
          </cell>
          <cell r="F43">
            <v>0</v>
          </cell>
        </row>
        <row r="44">
          <cell r="B44" t="str">
            <v>1.1.3</v>
          </cell>
          <cell r="C44" t="str">
            <v>地下车库及其他用房</v>
          </cell>
          <cell r="E44">
            <v>0</v>
          </cell>
          <cell r="F44">
            <v>0</v>
          </cell>
        </row>
        <row r="53">
          <cell r="G53">
            <v>6.1499999999999999E-2</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总价"/>
      <sheetName val="面积明细表"/>
      <sheetName val="市场（商业）"/>
      <sheetName val="收益（商业）"/>
      <sheetName val="市（商）"/>
      <sheetName val="收（商）"/>
      <sheetName val="市场 (车位)"/>
      <sheetName val="收益 (车位)"/>
      <sheetName val="系数修正表"/>
      <sheetName val="Sheet3"/>
      <sheetName val="商业系数表"/>
      <sheetName val="市场（办公）"/>
      <sheetName val="收益（办公）"/>
      <sheetName val="办公系数表 (2)"/>
      <sheetName val="Sheet1"/>
    </sheetNames>
    <sheetDataSet>
      <sheetData sheetId="0"/>
      <sheetData sheetId="1">
        <row r="5">
          <cell r="D5">
            <v>12609.27</v>
          </cell>
        </row>
        <row r="6">
          <cell r="D6">
            <v>9144.66</v>
          </cell>
        </row>
        <row r="8">
          <cell r="D8">
            <v>12002.22</v>
          </cell>
        </row>
        <row r="10">
          <cell r="D10">
            <v>12210.2</v>
          </cell>
        </row>
      </sheetData>
      <sheetData sheetId="2">
        <row r="33">
          <cell r="E33">
            <v>1</v>
          </cell>
        </row>
      </sheetData>
      <sheetData sheetId="3">
        <row r="49">
          <cell r="D49">
            <v>58446</v>
          </cell>
          <cell r="G49">
            <v>4416</v>
          </cell>
        </row>
        <row r="50">
          <cell r="G50">
            <v>4038</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总价"/>
      <sheetName val="面积明细表"/>
      <sheetName val="市场（商业）"/>
      <sheetName val="收益（商业）"/>
      <sheetName val="市（商）"/>
      <sheetName val="收（商）"/>
      <sheetName val="市场 (车位)"/>
      <sheetName val="收益 (车位)"/>
      <sheetName val="系数修正表"/>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成本法 (2)"/>
      <sheetName val="成本法（在建）"/>
      <sheetName val="成本法"/>
      <sheetName val="假设开发法(在建)"/>
      <sheetName val="假开"/>
      <sheetName val="汇总"/>
      <sheetName val="税费"/>
      <sheetName val="市场（商业）"/>
      <sheetName val="市场法修正系数表"/>
      <sheetName val="收益法（地上商业）"/>
      <sheetName val="收益法（地下商业）"/>
      <sheetName val="成本法（现房） (2)"/>
      <sheetName val="市场比较法（土地）"/>
      <sheetName val="市场 (车位) "/>
      <sheetName val="收益法（车库） "/>
      <sheetName val="面积"/>
      <sheetName val="Sheet1"/>
    </sheetNames>
    <sheetDataSet>
      <sheetData sheetId="0"/>
      <sheetData sheetId="1"/>
      <sheetData sheetId="2"/>
      <sheetData sheetId="3"/>
      <sheetData sheetId="4"/>
      <sheetData sheetId="5"/>
      <sheetData sheetId="6"/>
      <sheetData sheetId="7"/>
      <sheetData sheetId="8"/>
      <sheetData sheetId="9">
        <row r="5">
          <cell r="D5">
            <v>84511.650000000009</v>
          </cell>
        </row>
      </sheetData>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view="pageBreakPreview" zoomScale="85" workbookViewId="0">
      <selection activeCell="B41" sqref="B41"/>
    </sheetView>
  </sheetViews>
  <sheetFormatPr defaultColWidth="16.5" defaultRowHeight="14.25"/>
  <cols>
    <col min="1" max="1" width="19" style="346" customWidth="1"/>
    <col min="2" max="3" width="16.5" style="346"/>
    <col min="4" max="4" width="17.5" style="346" customWidth="1"/>
    <col min="5" max="6" width="16.5" style="346"/>
    <col min="7" max="7" width="17.625" style="346" customWidth="1"/>
    <col min="8" max="16384" width="16.5" style="346"/>
  </cols>
  <sheetData>
    <row r="1" spans="1:10" ht="20.25">
      <c r="A1" s="860" t="s">
        <v>0</v>
      </c>
      <c r="B1" s="861"/>
      <c r="C1" s="861"/>
      <c r="D1" s="861"/>
      <c r="E1" s="861"/>
      <c r="F1" s="861"/>
      <c r="G1" s="861"/>
      <c r="H1" s="861"/>
      <c r="I1" s="861"/>
    </row>
    <row r="2" spans="1:10">
      <c r="A2" s="348" t="s">
        <v>1</v>
      </c>
      <c r="B2" s="942" t="s">
        <v>2</v>
      </c>
      <c r="C2" s="942"/>
      <c r="D2" s="348" t="s">
        <v>1</v>
      </c>
      <c r="E2" s="942" t="s">
        <v>3</v>
      </c>
      <c r="F2" s="942"/>
      <c r="G2" s="348" t="s">
        <v>1</v>
      </c>
      <c r="H2" s="942" t="s">
        <v>4</v>
      </c>
      <c r="I2" s="942"/>
    </row>
    <row r="3" spans="1:10">
      <c r="A3" s="348" t="s">
        <v>5</v>
      </c>
      <c r="B3" s="942" t="s">
        <v>6</v>
      </c>
      <c r="C3" s="942"/>
      <c r="D3" s="348" t="s">
        <v>5</v>
      </c>
      <c r="E3" s="942" t="s">
        <v>6</v>
      </c>
      <c r="F3" s="942"/>
      <c r="G3" s="348" t="s">
        <v>5</v>
      </c>
      <c r="H3" s="942" t="s">
        <v>6</v>
      </c>
      <c r="I3" s="942"/>
    </row>
    <row r="4" spans="1:10">
      <c r="A4" s="348" t="s">
        <v>7</v>
      </c>
      <c r="B4" s="942" t="s">
        <v>8</v>
      </c>
      <c r="C4" s="942"/>
      <c r="D4" s="348" t="s">
        <v>7</v>
      </c>
      <c r="E4" s="942" t="s">
        <v>8</v>
      </c>
      <c r="F4" s="942"/>
      <c r="G4" s="348" t="s">
        <v>7</v>
      </c>
      <c r="H4" s="942" t="s">
        <v>9</v>
      </c>
      <c r="I4" s="942"/>
    </row>
    <row r="5" spans="1:10">
      <c r="A5" s="348" t="s">
        <v>10</v>
      </c>
      <c r="B5" s="942" t="s">
        <v>11</v>
      </c>
      <c r="C5" s="942"/>
      <c r="D5" s="348" t="s">
        <v>10</v>
      </c>
      <c r="E5" s="942" t="s">
        <v>11</v>
      </c>
      <c r="F5" s="942"/>
      <c r="G5" s="348" t="s">
        <v>10</v>
      </c>
      <c r="H5" s="942" t="s">
        <v>11</v>
      </c>
      <c r="I5" s="942"/>
    </row>
    <row r="6" spans="1:10">
      <c r="A6" s="348" t="s">
        <v>12</v>
      </c>
      <c r="B6" s="942" t="s">
        <v>13</v>
      </c>
      <c r="C6" s="942"/>
      <c r="D6" s="348" t="s">
        <v>12</v>
      </c>
      <c r="E6" s="942" t="s">
        <v>13</v>
      </c>
      <c r="F6" s="942"/>
      <c r="G6" s="348" t="s">
        <v>12</v>
      </c>
      <c r="H6" s="942" t="s">
        <v>13</v>
      </c>
      <c r="I6" s="942"/>
    </row>
    <row r="7" spans="1:10">
      <c r="A7" s="348" t="s">
        <v>14</v>
      </c>
      <c r="B7" s="942" t="s">
        <v>15</v>
      </c>
      <c r="C7" s="942"/>
      <c r="D7" s="348" t="s">
        <v>14</v>
      </c>
      <c r="E7" s="942" t="s">
        <v>16</v>
      </c>
      <c r="F7" s="942"/>
      <c r="G7" s="348" t="s">
        <v>14</v>
      </c>
      <c r="H7" s="942" t="s">
        <v>15</v>
      </c>
      <c r="I7" s="942"/>
    </row>
    <row r="8" spans="1:10">
      <c r="A8" s="348" t="s">
        <v>17</v>
      </c>
      <c r="B8" s="942" t="s">
        <v>18</v>
      </c>
      <c r="C8" s="942"/>
      <c r="D8" s="348" t="s">
        <v>17</v>
      </c>
      <c r="E8" s="942" t="s">
        <v>18</v>
      </c>
      <c r="F8" s="942"/>
      <c r="G8" s="348" t="s">
        <v>17</v>
      </c>
      <c r="H8" s="942" t="s">
        <v>18</v>
      </c>
      <c r="I8" s="942"/>
    </row>
    <row r="9" spans="1:10">
      <c r="A9" s="348" t="s">
        <v>19</v>
      </c>
      <c r="B9" s="943" t="s">
        <v>20</v>
      </c>
      <c r="C9" s="943"/>
      <c r="D9" s="348" t="s">
        <v>19</v>
      </c>
      <c r="E9" s="943" t="s">
        <v>21</v>
      </c>
      <c r="F9" s="943"/>
      <c r="G9" s="348" t="s">
        <v>19</v>
      </c>
      <c r="H9" s="943" t="s">
        <v>22</v>
      </c>
      <c r="I9" s="943"/>
      <c r="J9" s="346">
        <f>B10+E10</f>
        <v>24000.86</v>
      </c>
    </row>
    <row r="10" spans="1:10">
      <c r="A10" s="348" t="s">
        <v>23</v>
      </c>
      <c r="B10" s="944">
        <f>12671.07-127.33</f>
        <v>12543.74</v>
      </c>
      <c r="C10" s="944"/>
      <c r="D10" s="348" t="s">
        <v>23</v>
      </c>
      <c r="E10" s="942">
        <v>11457.12</v>
      </c>
      <c r="F10" s="942"/>
      <c r="G10" s="348" t="s">
        <v>23</v>
      </c>
      <c r="H10" s="942">
        <v>3026.76</v>
      </c>
      <c r="I10" s="942"/>
      <c r="J10" s="346">
        <f>B10+E10+H10</f>
        <v>27027.620000000003</v>
      </c>
    </row>
    <row r="11" spans="1:10">
      <c r="A11" s="348" t="s">
        <v>24</v>
      </c>
      <c r="B11" s="945"/>
      <c r="C11" s="945"/>
      <c r="D11" s="945"/>
      <c r="E11" s="945"/>
      <c r="F11" s="945"/>
      <c r="G11" s="945"/>
      <c r="H11" s="945"/>
      <c r="I11" s="945"/>
    </row>
    <row r="13" spans="1:10" ht="20.25">
      <c r="A13" s="860" t="s">
        <v>25</v>
      </c>
      <c r="B13" s="861"/>
      <c r="C13" s="861"/>
      <c r="D13" s="861"/>
      <c r="E13" s="861"/>
      <c r="F13" s="861"/>
      <c r="G13" s="861"/>
      <c r="H13" s="861"/>
      <c r="I13" s="861"/>
    </row>
    <row r="14" spans="1:10">
      <c r="A14" s="863" t="s">
        <v>1</v>
      </c>
      <c r="B14" s="945" t="s">
        <v>26</v>
      </c>
      <c r="C14" s="945"/>
      <c r="D14" s="863" t="s">
        <v>1</v>
      </c>
      <c r="E14" s="945" t="s">
        <v>27</v>
      </c>
      <c r="F14" s="945"/>
      <c r="G14" s="863" t="s">
        <v>1</v>
      </c>
      <c r="H14" s="945" t="s">
        <v>28</v>
      </c>
      <c r="I14" s="945"/>
    </row>
    <row r="15" spans="1:10">
      <c r="A15" s="863" t="s">
        <v>29</v>
      </c>
      <c r="B15" s="942" t="s">
        <v>6</v>
      </c>
      <c r="C15" s="942"/>
      <c r="D15" s="863" t="s">
        <v>29</v>
      </c>
      <c r="E15" s="942" t="s">
        <v>6</v>
      </c>
      <c r="F15" s="942"/>
      <c r="G15" s="863" t="s">
        <v>29</v>
      </c>
      <c r="H15" s="942" t="s">
        <v>6</v>
      </c>
      <c r="I15" s="942"/>
    </row>
    <row r="16" spans="1:10">
      <c r="A16" s="863" t="s">
        <v>30</v>
      </c>
      <c r="B16" s="945" t="s">
        <v>31</v>
      </c>
      <c r="C16" s="945"/>
      <c r="D16" s="863" t="s">
        <v>30</v>
      </c>
      <c r="E16" s="945" t="s">
        <v>31</v>
      </c>
      <c r="F16" s="945"/>
      <c r="G16" s="863" t="s">
        <v>30</v>
      </c>
      <c r="H16" s="945" t="s">
        <v>31</v>
      </c>
      <c r="I16" s="945"/>
    </row>
    <row r="17" spans="1:9">
      <c r="A17" s="863" t="s">
        <v>32</v>
      </c>
      <c r="B17" s="942" t="s">
        <v>33</v>
      </c>
      <c r="C17" s="942"/>
      <c r="D17" s="863" t="s">
        <v>32</v>
      </c>
      <c r="E17" s="942" t="s">
        <v>33</v>
      </c>
      <c r="F17" s="942"/>
      <c r="G17" s="863" t="s">
        <v>32</v>
      </c>
      <c r="H17" s="942" t="s">
        <v>34</v>
      </c>
      <c r="I17" s="942"/>
    </row>
    <row r="18" spans="1:9">
      <c r="A18" s="863" t="s">
        <v>35</v>
      </c>
      <c r="B18" s="946">
        <v>40215</v>
      </c>
      <c r="C18" s="946"/>
      <c r="D18" s="863" t="s">
        <v>35</v>
      </c>
      <c r="E18" s="946">
        <v>40214</v>
      </c>
      <c r="F18" s="946"/>
      <c r="G18" s="863" t="s">
        <v>35</v>
      </c>
      <c r="H18" s="946">
        <v>40214</v>
      </c>
      <c r="I18" s="946"/>
    </row>
    <row r="19" spans="1:9">
      <c r="A19" s="863" t="s">
        <v>36</v>
      </c>
      <c r="B19" s="945" t="s">
        <v>37</v>
      </c>
      <c r="C19" s="945"/>
      <c r="D19" s="863" t="s">
        <v>36</v>
      </c>
      <c r="E19" s="945" t="s">
        <v>37</v>
      </c>
      <c r="F19" s="945"/>
      <c r="G19" s="863" t="s">
        <v>36</v>
      </c>
      <c r="H19" s="945" t="s">
        <v>37</v>
      </c>
      <c r="I19" s="945"/>
    </row>
    <row r="20" spans="1:9">
      <c r="A20" s="863" t="s">
        <v>38</v>
      </c>
      <c r="B20" s="945" t="s">
        <v>39</v>
      </c>
      <c r="C20" s="945"/>
      <c r="D20" s="863" t="s">
        <v>38</v>
      </c>
      <c r="E20" s="945" t="s">
        <v>16</v>
      </c>
      <c r="F20" s="945"/>
      <c r="G20" s="863" t="s">
        <v>38</v>
      </c>
      <c r="H20" s="945" t="s">
        <v>40</v>
      </c>
      <c r="I20" s="945"/>
    </row>
    <row r="21" spans="1:9">
      <c r="A21" s="863" t="s">
        <v>41</v>
      </c>
      <c r="B21" s="945">
        <v>89051.88</v>
      </c>
      <c r="C21" s="945"/>
      <c r="D21" s="863" t="s">
        <v>41</v>
      </c>
      <c r="E21" s="945">
        <v>95534.55</v>
      </c>
      <c r="F21" s="945"/>
      <c r="G21" s="863" t="s">
        <v>41</v>
      </c>
      <c r="H21" s="945">
        <v>11521.12</v>
      </c>
      <c r="I21" s="945"/>
    </row>
    <row r="22" spans="1:9">
      <c r="A22" s="863" t="s">
        <v>42</v>
      </c>
      <c r="B22" s="945" t="s">
        <v>43</v>
      </c>
      <c r="C22" s="945"/>
      <c r="D22" s="863" t="s">
        <v>42</v>
      </c>
      <c r="E22" s="945" t="s">
        <v>44</v>
      </c>
      <c r="F22" s="945"/>
      <c r="G22" s="863" t="s">
        <v>42</v>
      </c>
      <c r="H22" s="945" t="s">
        <v>40</v>
      </c>
      <c r="I22" s="945"/>
    </row>
    <row r="23" spans="1:9">
      <c r="A23" s="864" t="s">
        <v>45</v>
      </c>
      <c r="B23" s="945"/>
      <c r="C23" s="945"/>
      <c r="D23" s="864" t="s">
        <v>45</v>
      </c>
      <c r="E23" s="947"/>
      <c r="F23" s="947"/>
      <c r="G23" s="864" t="s">
        <v>45</v>
      </c>
      <c r="H23" s="945"/>
      <c r="I23" s="945"/>
    </row>
    <row r="26" spans="1:9" ht="20.25">
      <c r="A26" s="860" t="s">
        <v>46</v>
      </c>
    </row>
    <row r="27" spans="1:9">
      <c r="A27" s="864" t="s">
        <v>1</v>
      </c>
      <c r="B27" s="945"/>
      <c r="C27" s="945"/>
      <c r="D27" s="864" t="s">
        <v>47</v>
      </c>
      <c r="E27" s="865"/>
      <c r="F27" s="866"/>
    </row>
    <row r="28" spans="1:9">
      <c r="A28" s="864" t="s">
        <v>48</v>
      </c>
      <c r="B28" s="945"/>
      <c r="C28" s="945"/>
      <c r="D28" s="863" t="s">
        <v>49</v>
      </c>
      <c r="E28" s="945"/>
      <c r="F28" s="945"/>
    </row>
    <row r="29" spans="1:9">
      <c r="A29" s="864" t="s">
        <v>50</v>
      </c>
      <c r="B29" s="945"/>
      <c r="C29" s="945"/>
      <c r="D29" s="863" t="s">
        <v>51</v>
      </c>
      <c r="E29" s="945"/>
      <c r="F29" s="945"/>
    </row>
    <row r="30" spans="1:9">
      <c r="A30" s="864" t="s">
        <v>52</v>
      </c>
      <c r="B30" s="945"/>
      <c r="C30" s="945"/>
      <c r="D30" s="863" t="s">
        <v>53</v>
      </c>
      <c r="E30" s="945"/>
      <c r="F30" s="945"/>
    </row>
    <row r="31" spans="1:9">
      <c r="A31" s="864" t="s">
        <v>54</v>
      </c>
      <c r="B31" s="945"/>
      <c r="C31" s="945"/>
      <c r="D31" s="863" t="s">
        <v>55</v>
      </c>
      <c r="E31" s="945"/>
      <c r="F31" s="945"/>
    </row>
    <row r="32" spans="1:9">
      <c r="A32" s="867" t="s">
        <v>56</v>
      </c>
      <c r="B32" s="945"/>
      <c r="C32" s="945"/>
      <c r="D32" s="348"/>
      <c r="E32" s="945"/>
      <c r="F32" s="945"/>
    </row>
    <row r="33" spans="1:9">
      <c r="A33" s="867" t="s">
        <v>57</v>
      </c>
      <c r="B33" s="945"/>
      <c r="C33" s="945"/>
      <c r="D33" s="348"/>
      <c r="E33" s="945"/>
      <c r="F33" s="945"/>
    </row>
    <row r="34" spans="1:9">
      <c r="A34" s="864" t="s">
        <v>58</v>
      </c>
      <c r="B34" s="945"/>
      <c r="C34" s="945"/>
      <c r="D34" s="348"/>
      <c r="E34" s="945"/>
      <c r="F34" s="945"/>
    </row>
    <row r="38" spans="1:9" ht="20.25">
      <c r="A38" s="860" t="s">
        <v>59</v>
      </c>
      <c r="B38" s="861"/>
      <c r="C38" s="861"/>
      <c r="D38" s="861"/>
      <c r="E38" s="861"/>
      <c r="F38" s="861"/>
      <c r="G38" s="861"/>
      <c r="H38" s="861"/>
      <c r="I38" s="861"/>
    </row>
    <row r="39" spans="1:9">
      <c r="A39" s="348" t="s">
        <v>60</v>
      </c>
      <c r="B39" s="348" t="s">
        <v>61</v>
      </c>
      <c r="C39" s="348" t="s">
        <v>62</v>
      </c>
      <c r="D39" s="348" t="s">
        <v>63</v>
      </c>
      <c r="E39" s="348" t="s">
        <v>64</v>
      </c>
      <c r="F39" s="348" t="s">
        <v>65</v>
      </c>
      <c r="G39" s="348" t="s">
        <v>66</v>
      </c>
      <c r="H39" s="348" t="s">
        <v>67</v>
      </c>
      <c r="I39" s="864" t="s">
        <v>68</v>
      </c>
    </row>
    <row r="40" spans="1:9">
      <c r="A40" s="348"/>
      <c r="B40" s="348"/>
      <c r="C40" s="348"/>
      <c r="D40" s="348"/>
      <c r="E40" s="348"/>
      <c r="F40" s="348"/>
      <c r="G40" s="348"/>
      <c r="H40" s="348"/>
      <c r="I40" s="348"/>
    </row>
    <row r="41" spans="1:9">
      <c r="A41" s="348"/>
      <c r="B41" s="348"/>
      <c r="C41" s="348"/>
      <c r="D41" s="348"/>
      <c r="E41" s="348"/>
      <c r="F41" s="348"/>
      <c r="G41" s="348"/>
      <c r="H41" s="348"/>
      <c r="I41" s="348"/>
    </row>
    <row r="42" spans="1:9">
      <c r="A42" s="348"/>
      <c r="B42" s="348"/>
      <c r="C42" s="348"/>
      <c r="D42" s="348"/>
      <c r="E42" s="348"/>
      <c r="F42" s="348"/>
      <c r="G42" s="348"/>
      <c r="H42" s="348"/>
      <c r="I42" s="348"/>
    </row>
    <row r="43" spans="1:9">
      <c r="A43" s="348"/>
      <c r="B43" s="348"/>
      <c r="C43" s="348"/>
      <c r="D43" s="348"/>
      <c r="E43" s="348"/>
      <c r="F43" s="348"/>
      <c r="G43" s="348"/>
      <c r="H43" s="348"/>
      <c r="I43" s="348"/>
    </row>
    <row r="44" spans="1:9">
      <c r="A44" s="348"/>
      <c r="B44" s="348"/>
      <c r="C44" s="348"/>
      <c r="D44" s="348"/>
      <c r="E44" s="348"/>
      <c r="F44" s="348"/>
      <c r="G44" s="348"/>
      <c r="H44" s="348"/>
      <c r="I44" s="348"/>
    </row>
    <row r="45" spans="1:9">
      <c r="A45" s="348"/>
      <c r="B45" s="348"/>
      <c r="C45" s="348"/>
      <c r="D45" s="348"/>
      <c r="E45" s="348"/>
      <c r="F45" s="348"/>
      <c r="G45" s="348"/>
      <c r="H45" s="348"/>
      <c r="I45" s="348"/>
    </row>
  </sheetData>
  <mergeCells count="73">
    <mergeCell ref="B32:C32"/>
    <mergeCell ref="E32:F32"/>
    <mergeCell ref="B33:C33"/>
    <mergeCell ref="E33:F33"/>
    <mergeCell ref="B34:C34"/>
    <mergeCell ref="E34:F34"/>
    <mergeCell ref="B29:C29"/>
    <mergeCell ref="E29:F29"/>
    <mergeCell ref="B30:C30"/>
    <mergeCell ref="E30:F30"/>
    <mergeCell ref="B31:C31"/>
    <mergeCell ref="E31:F31"/>
    <mergeCell ref="B23:C23"/>
    <mergeCell ref="E23:F23"/>
    <mergeCell ref="H23:I23"/>
    <mergeCell ref="B27:C27"/>
    <mergeCell ref="B28:C28"/>
    <mergeCell ref="E28:F28"/>
    <mergeCell ref="B21:C21"/>
    <mergeCell ref="E21:F21"/>
    <mergeCell ref="H21:I21"/>
    <mergeCell ref="B22:C22"/>
    <mergeCell ref="E22:F22"/>
    <mergeCell ref="H22:I22"/>
    <mergeCell ref="B19:C19"/>
    <mergeCell ref="E19:F19"/>
    <mergeCell ref="H19:I19"/>
    <mergeCell ref="B20:C20"/>
    <mergeCell ref="E20:F20"/>
    <mergeCell ref="H20:I20"/>
    <mergeCell ref="B17:C17"/>
    <mergeCell ref="E17:F17"/>
    <mergeCell ref="H17:I17"/>
    <mergeCell ref="B18:C18"/>
    <mergeCell ref="E18:F18"/>
    <mergeCell ref="H18:I18"/>
    <mergeCell ref="B15:C15"/>
    <mergeCell ref="E15:F15"/>
    <mergeCell ref="H15:I15"/>
    <mergeCell ref="B16:C16"/>
    <mergeCell ref="E16:F16"/>
    <mergeCell ref="H16:I16"/>
    <mergeCell ref="B10:C10"/>
    <mergeCell ref="E10:F10"/>
    <mergeCell ref="H10:I10"/>
    <mergeCell ref="B11:I11"/>
    <mergeCell ref="B14:C14"/>
    <mergeCell ref="E14:F14"/>
    <mergeCell ref="H14:I14"/>
    <mergeCell ref="B8:C8"/>
    <mergeCell ref="E8:F8"/>
    <mergeCell ref="H8:I8"/>
    <mergeCell ref="B9:C9"/>
    <mergeCell ref="E9:F9"/>
    <mergeCell ref="H9:I9"/>
    <mergeCell ref="B6:C6"/>
    <mergeCell ref="E6:F6"/>
    <mergeCell ref="H6:I6"/>
    <mergeCell ref="B7:C7"/>
    <mergeCell ref="E7:F7"/>
    <mergeCell ref="H7:I7"/>
    <mergeCell ref="B4:C4"/>
    <mergeCell ref="E4:F4"/>
    <mergeCell ref="H4:I4"/>
    <mergeCell ref="B5:C5"/>
    <mergeCell ref="E5:F5"/>
    <mergeCell ref="H5:I5"/>
    <mergeCell ref="B2:C2"/>
    <mergeCell ref="E2:F2"/>
    <mergeCell ref="H2:I2"/>
    <mergeCell ref="B3:C3"/>
    <mergeCell ref="E3:F3"/>
    <mergeCell ref="H3:I3"/>
  </mergeCells>
  <phoneticPr fontId="97" type="noConversion"/>
  <pageMargins left="0.69861111111111107" right="0.69861111111111107" top="0.75" bottom="0.75" header="0.3" footer="0.3"/>
  <pageSetup paperSize="9" scale="52"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0"/>
  </sheetPr>
  <dimension ref="A1:AB47"/>
  <sheetViews>
    <sheetView view="pageBreakPreview" topLeftCell="A16" workbookViewId="0">
      <selection activeCell="G31" sqref="G31"/>
    </sheetView>
  </sheetViews>
  <sheetFormatPr defaultColWidth="9" defaultRowHeight="13.5"/>
  <cols>
    <col min="1" max="1" width="9" style="307"/>
    <col min="2" max="2" width="11" style="307" customWidth="1"/>
    <col min="3" max="3" width="10.75" style="307" customWidth="1"/>
    <col min="4" max="4" width="12" style="307" customWidth="1"/>
    <col min="5" max="6" width="12.25" style="307" customWidth="1"/>
    <col min="7" max="7" width="11.875" style="307" customWidth="1"/>
    <col min="8" max="20" width="12" style="307" customWidth="1"/>
    <col min="21" max="21" width="10.125" style="307" customWidth="1"/>
    <col min="22" max="22" width="10.5" style="307" bestFit="1" customWidth="1"/>
    <col min="23" max="23" width="26.5" style="307" customWidth="1"/>
    <col min="24" max="24" width="25.625" style="307" customWidth="1"/>
    <col min="25" max="16384" width="9" style="307"/>
  </cols>
  <sheetData>
    <row r="1" spans="1:22" ht="14.25">
      <c r="A1" s="1057" t="s">
        <v>315</v>
      </c>
      <c r="B1" s="1057"/>
      <c r="C1" s="307">
        <v>2013</v>
      </c>
      <c r="D1" s="307">
        <v>11</v>
      </c>
      <c r="E1" s="307">
        <v>20</v>
      </c>
      <c r="R1" s="346"/>
      <c r="S1" s="347" t="s">
        <v>279</v>
      </c>
      <c r="T1" s="347">
        <v>1999</v>
      </c>
      <c r="U1" s="346" t="s">
        <v>316</v>
      </c>
      <c r="V1" s="366">
        <v>0</v>
      </c>
    </row>
    <row r="2" spans="1:22" ht="14.25">
      <c r="A2" s="1069" t="s">
        <v>317</v>
      </c>
      <c r="B2" s="1057"/>
      <c r="R2" s="346"/>
      <c r="S2" s="347" t="s">
        <v>318</v>
      </c>
      <c r="T2" s="347">
        <v>60</v>
      </c>
      <c r="U2" s="346" t="s">
        <v>319</v>
      </c>
      <c r="V2" s="307">
        <v>14</v>
      </c>
    </row>
    <row r="3" spans="1:22" ht="14.25">
      <c r="A3" s="1057"/>
      <c r="B3" s="1057"/>
      <c r="K3" s="307">
        <f>1-14/60</f>
        <v>0.76666666666666661</v>
      </c>
      <c r="R3" s="348"/>
      <c r="S3" s="197" t="s">
        <v>320</v>
      </c>
      <c r="T3" s="197" t="s">
        <v>321</v>
      </c>
    </row>
    <row r="4" spans="1:22" ht="14.25">
      <c r="A4" s="1057" t="s">
        <v>322</v>
      </c>
      <c r="B4" s="1057"/>
      <c r="D4" s="307" t="s">
        <v>323</v>
      </c>
      <c r="E4" s="308"/>
      <c r="F4" s="309"/>
      <c r="N4" s="307">
        <v>2022</v>
      </c>
      <c r="O4" s="307">
        <f>ROUND(M9+M9*N33,2)</f>
        <v>12.1</v>
      </c>
      <c r="R4" s="197" t="s">
        <v>324</v>
      </c>
      <c r="S4" s="349">
        <f>ROUND(1-(1-$V$1)*14/$T$2,2)</f>
        <v>0.77</v>
      </c>
      <c r="T4" s="350">
        <f>ROUND('建筑（商）'!$D$22*S4,0)</f>
        <v>4808</v>
      </c>
    </row>
    <row r="5" spans="1:22" ht="14.25">
      <c r="A5" s="1058" t="s">
        <v>325</v>
      </c>
      <c r="B5" s="1058"/>
      <c r="D5" s="307" t="s">
        <v>323</v>
      </c>
      <c r="E5" s="309"/>
      <c r="N5" s="307">
        <v>2023</v>
      </c>
      <c r="O5" s="307">
        <f>ROUND(O4+O4*N33,2)</f>
        <v>12.58</v>
      </c>
      <c r="R5" s="197" t="s">
        <v>326</v>
      </c>
      <c r="S5" s="349">
        <f>ROUND(1-(1-$V$1)*15/$T$2,2)</f>
        <v>0.75</v>
      </c>
      <c r="T5" s="350">
        <f>ROUND('建筑（商）'!$D$22*S5,0)</f>
        <v>4683</v>
      </c>
    </row>
    <row r="6" spans="1:22" ht="14.25">
      <c r="A6" s="1057" t="s">
        <v>327</v>
      </c>
      <c r="B6" s="1057"/>
      <c r="C6" s="306"/>
      <c r="D6" s="307" t="s">
        <v>323</v>
      </c>
      <c r="G6" s="309"/>
      <c r="N6" s="307">
        <v>2024</v>
      </c>
      <c r="O6" s="307">
        <f>ROUND(O5+O5*N33,2)</f>
        <v>13.08</v>
      </c>
      <c r="R6" s="197" t="s">
        <v>328</v>
      </c>
      <c r="S6" s="349">
        <f>ROUND(1-(1-$V$1)*16/$T$2,2)</f>
        <v>0.73</v>
      </c>
      <c r="T6" s="350">
        <f>ROUND('建筑（商）'!$D$22*S6,0)</f>
        <v>4558</v>
      </c>
    </row>
    <row r="7" spans="1:22" ht="14.25">
      <c r="B7" s="310"/>
      <c r="C7" s="307">
        <f>ROUND(P9+P9*D33,2)</f>
        <v>8.84</v>
      </c>
      <c r="M7" s="307">
        <f>ROUND(K9+K9*D33,2)</f>
        <v>11.18</v>
      </c>
      <c r="R7" s="197" t="s">
        <v>329</v>
      </c>
      <c r="S7" s="349">
        <f>ROUND(1-(1-$V$1)*17/$T$2,2)</f>
        <v>0.72</v>
      </c>
      <c r="T7" s="350">
        <f>ROUND('建筑（商）'!$D$22*S7,0)</f>
        <v>4496</v>
      </c>
    </row>
    <row r="8" spans="1:22" ht="42">
      <c r="A8" s="311" t="s">
        <v>330</v>
      </c>
      <c r="B8" s="312" t="s">
        <v>569</v>
      </c>
      <c r="C8" s="312" t="s">
        <v>570</v>
      </c>
      <c r="D8" s="313" t="s">
        <v>571</v>
      </c>
      <c r="E8" s="313" t="s">
        <v>572</v>
      </c>
      <c r="F8" s="314" t="s">
        <v>573</v>
      </c>
      <c r="G8" s="314" t="s">
        <v>574</v>
      </c>
      <c r="H8" s="315" t="s">
        <v>575</v>
      </c>
      <c r="I8" s="315" t="s">
        <v>576</v>
      </c>
      <c r="J8" s="351" t="s">
        <v>577</v>
      </c>
      <c r="K8" s="351" t="s">
        <v>578</v>
      </c>
      <c r="L8" s="439" t="s">
        <v>579</v>
      </c>
      <c r="M8" s="439" t="s">
        <v>580</v>
      </c>
      <c r="N8" s="440" t="s">
        <v>581</v>
      </c>
      <c r="O8" s="440" t="s">
        <v>582</v>
      </c>
      <c r="P8" s="352" t="s">
        <v>335</v>
      </c>
      <c r="R8" s="197" t="s">
        <v>336</v>
      </c>
      <c r="S8" s="349">
        <f>ROUND(1-(1-$V$1)*18/$T$2,2)</f>
        <v>0.7</v>
      </c>
      <c r="T8" s="350">
        <f>ROUND('建筑（商）'!$D$22*S8,0)</f>
        <v>4371</v>
      </c>
    </row>
    <row r="9" spans="1:22" ht="14.25">
      <c r="A9" s="311" t="s">
        <v>130</v>
      </c>
      <c r="B9" s="316">
        <f t="shared" ref="B9:F9" si="0">ROUND(B11*10000/B10/365,2)</f>
        <v>11.95</v>
      </c>
      <c r="C9" s="316">
        <f>ROUND(C7+C7*D33,2)</f>
        <v>9.19</v>
      </c>
      <c r="D9" s="316">
        <f t="shared" si="0"/>
        <v>7.55</v>
      </c>
      <c r="E9" s="316">
        <f>ROUND(C9+C9*D33,2)</f>
        <v>9.56</v>
      </c>
      <c r="F9" s="316">
        <f t="shared" si="0"/>
        <v>4.99</v>
      </c>
      <c r="G9" s="316">
        <f>ROUND(E9+E9*D33,2)</f>
        <v>9.94</v>
      </c>
      <c r="H9" s="316">
        <f t="shared" ref="H9:L9" si="1">ROUND(H11*10000/H10/365,2)</f>
        <v>4.0599999999999996</v>
      </c>
      <c r="I9" s="316">
        <f>ROUND(G9+G9*D33,2)</f>
        <v>10.34</v>
      </c>
      <c r="J9" s="316">
        <f t="shared" si="1"/>
        <v>3.72</v>
      </c>
      <c r="K9" s="316">
        <f>ROUND(I9+I9*D33,2)</f>
        <v>10.75</v>
      </c>
      <c r="L9" s="316">
        <f t="shared" si="1"/>
        <v>2.88</v>
      </c>
      <c r="M9" s="316">
        <f>ROUND(M7+M7*L33,2)</f>
        <v>11.63</v>
      </c>
      <c r="N9" s="316">
        <f>ROUND(N11*10000/N10/365,2)</f>
        <v>1.81</v>
      </c>
      <c r="O9" s="316">
        <f>ROUND(O6+O6*N33,2)</f>
        <v>13.6</v>
      </c>
      <c r="P9" s="353">
        <v>8.5</v>
      </c>
      <c r="R9" s="197" t="s">
        <v>337</v>
      </c>
      <c r="S9" s="349">
        <f>ROUND(1-(1-$V$1)*19/$T$2,2)</f>
        <v>0.68</v>
      </c>
      <c r="T9" s="350">
        <f>ROUND('建筑（商）'!$D$22*S9,0)</f>
        <v>4246</v>
      </c>
    </row>
    <row r="10" spans="1:22" ht="14.25">
      <c r="A10" s="311" t="s">
        <v>338</v>
      </c>
      <c r="B10" s="316">
        <f>商租约!E17</f>
        <v>369.15292682926832</v>
      </c>
      <c r="C10" s="316">
        <f t="shared" ref="C10:G10" si="2">B10</f>
        <v>369.15292682926832</v>
      </c>
      <c r="D10" s="316">
        <f>商租约!E36</f>
        <v>1328.59</v>
      </c>
      <c r="E10" s="316">
        <f t="shared" si="2"/>
        <v>1328.59</v>
      </c>
      <c r="F10" s="316">
        <f>商租约!E62</f>
        <v>708.20750364086086</v>
      </c>
      <c r="G10" s="316">
        <f t="shared" si="2"/>
        <v>708.20750364086086</v>
      </c>
      <c r="H10" s="316">
        <f>商租约!E63</f>
        <v>939.05</v>
      </c>
      <c r="I10" s="316">
        <f t="shared" ref="I10:M10" si="3">H10</f>
        <v>939.05</v>
      </c>
      <c r="J10" s="316">
        <f>商租约!E78</f>
        <v>3805.2399999999993</v>
      </c>
      <c r="K10" s="316">
        <f t="shared" si="3"/>
        <v>3805.2399999999993</v>
      </c>
      <c r="L10" s="316">
        <f>商租约!E79</f>
        <v>5264.4699999999993</v>
      </c>
      <c r="M10" s="316">
        <f t="shared" si="3"/>
        <v>5264.4699999999993</v>
      </c>
      <c r="N10" s="316">
        <f>商租约!E80</f>
        <v>1334</v>
      </c>
      <c r="O10" s="316">
        <f>N10</f>
        <v>1334</v>
      </c>
      <c r="P10" s="320" t="e">
        <f>#REF!+#REF!-商租约!E17-商租约!E36-商租约!E62-商租约!E63-商租约!E78-商租约!E79-商租约!E80</f>
        <v>#REF!</v>
      </c>
      <c r="R10" s="197" t="s">
        <v>583</v>
      </c>
      <c r="S10" s="349">
        <f>ROUND(1-(1-$V$1)*20/$T$2,2)</f>
        <v>0.67</v>
      </c>
      <c r="T10" s="350">
        <f>ROUND('建筑（商）'!$D$22*S10,0)</f>
        <v>4183</v>
      </c>
    </row>
    <row r="11" spans="1:22" ht="14.25">
      <c r="A11" s="311" t="s">
        <v>339</v>
      </c>
      <c r="B11" s="317">
        <f>ROUND(商租约!R17*12/10000,0)</f>
        <v>161</v>
      </c>
      <c r="C11" s="317">
        <f>ROUND(C9*C10*365*(1-D21)/10000,0)</f>
        <v>118</v>
      </c>
      <c r="D11" s="318">
        <f>ROUND(商租约!R36*12/10000,0)</f>
        <v>366</v>
      </c>
      <c r="E11" s="317">
        <f>ROUND(E9*365*E10*(1-F21)/10000,0)</f>
        <v>440</v>
      </c>
      <c r="F11" s="317">
        <f>ROUND(商租约!R62*12/10000,0)</f>
        <v>129</v>
      </c>
      <c r="G11" s="317">
        <f t="shared" ref="G11:K11" si="4">ROUND(G9*G10*365*(1-H21)/10000,0)</f>
        <v>244</v>
      </c>
      <c r="H11" s="317">
        <f>ROUND(商租约!R63*12/10000,0)</f>
        <v>139</v>
      </c>
      <c r="I11" s="317">
        <f t="shared" si="4"/>
        <v>337</v>
      </c>
      <c r="J11" s="317">
        <f>ROUND(商租约!R78*12/10000,0)</f>
        <v>516</v>
      </c>
      <c r="K11" s="317">
        <f t="shared" si="4"/>
        <v>1418</v>
      </c>
      <c r="L11" s="317">
        <f>ROUND(商租约!R79*12/10000,0)</f>
        <v>554</v>
      </c>
      <c r="M11" s="317">
        <f>ROUND(M9*M10*365*(1-N21)/10000,0)</f>
        <v>2123</v>
      </c>
      <c r="N11" s="317">
        <f>ROUND(商租约!R80*12/10000,0)</f>
        <v>88</v>
      </c>
      <c r="O11" s="317">
        <f>ROUND(O9*O10*365*(1-P21)/10000,0)</f>
        <v>629</v>
      </c>
      <c r="P11" s="319" t="e">
        <f>ROUND(P9*P10*(1-Q21)*365/10000,0)</f>
        <v>#REF!</v>
      </c>
      <c r="R11" s="197" t="s">
        <v>584</v>
      </c>
      <c r="S11" s="349">
        <f>ROUND(1-(1-$V$1)*21/$T$2,2)</f>
        <v>0.65</v>
      </c>
      <c r="T11" s="350">
        <f>ROUND('建筑（商）'!$D$22*S11,0)</f>
        <v>4059</v>
      </c>
    </row>
    <row r="12" spans="1:22" ht="14.25">
      <c r="A12" s="311" t="s">
        <v>340</v>
      </c>
      <c r="B12" s="437">
        <v>1.1100000000000001</v>
      </c>
      <c r="C12" s="437">
        <f>P12-B12</f>
        <v>19.010000000000002</v>
      </c>
      <c r="D12" s="319">
        <v>2.11</v>
      </c>
      <c r="E12" s="319">
        <f>P12-D12</f>
        <v>18.010000000000002</v>
      </c>
      <c r="F12" s="319">
        <v>3.52</v>
      </c>
      <c r="G12" s="319">
        <f>P12-F12</f>
        <v>16.600000000000001</v>
      </c>
      <c r="H12" s="319">
        <v>4.6900000000000004</v>
      </c>
      <c r="I12" s="319">
        <f>P12-H12</f>
        <v>15.43</v>
      </c>
      <c r="J12" s="319">
        <v>5.81</v>
      </c>
      <c r="K12" s="319">
        <f>P12-J12</f>
        <v>14.310000000000002</v>
      </c>
      <c r="L12" s="319">
        <v>7.31</v>
      </c>
      <c r="M12" s="319">
        <f>P12-L12</f>
        <v>12.810000000000002</v>
      </c>
      <c r="N12" s="319">
        <v>5.81</v>
      </c>
      <c r="O12" s="319">
        <f>P12-N12</f>
        <v>14.310000000000002</v>
      </c>
      <c r="P12" s="319">
        <v>20.12</v>
      </c>
      <c r="R12" s="197" t="s">
        <v>341</v>
      </c>
      <c r="S12" s="349">
        <f>ROUND(1-(1-$V$1)*22/$T$2,2)</f>
        <v>0.63</v>
      </c>
      <c r="T12" s="350">
        <f>ROUND('建筑（商）'!$D$22*S12,0)</f>
        <v>3934</v>
      </c>
    </row>
    <row r="13" spans="1:22" ht="14.25">
      <c r="A13" s="311" t="s">
        <v>71</v>
      </c>
      <c r="B13" s="316" t="e">
        <f>ROUND(B10/#REF!*(权属依据!B10+权属依据!E10),2)</f>
        <v>#REF!</v>
      </c>
      <c r="C13" s="320">
        <v>19</v>
      </c>
      <c r="D13" s="320" t="e">
        <f>ROUND(D10/#REF!*(权属依据!B10+权属依据!E10),2)</f>
        <v>#REF!</v>
      </c>
      <c r="E13" s="320" t="e">
        <f t="shared" ref="E13:I13" si="5">D13</f>
        <v>#REF!</v>
      </c>
      <c r="F13" s="320" t="e">
        <f>ROUND(F10/#REF!*(权属依据!B10+权属依据!E10),2)</f>
        <v>#REF!</v>
      </c>
      <c r="G13" s="320" t="e">
        <f t="shared" si="5"/>
        <v>#REF!</v>
      </c>
      <c r="H13" s="320" t="e">
        <f>ROUND(H10/#REF!*(权属依据!B10+权属依据!E10),2)</f>
        <v>#REF!</v>
      </c>
      <c r="I13" s="320" t="e">
        <f t="shared" si="5"/>
        <v>#REF!</v>
      </c>
      <c r="J13" s="320" t="e">
        <f>ROUND(J10/#REF!*(权属依据!B10+权属依据!E10),2)</f>
        <v>#REF!</v>
      </c>
      <c r="K13" s="320" t="e">
        <f t="shared" ref="K13:O13" si="6">J13</f>
        <v>#REF!</v>
      </c>
      <c r="L13" s="320" t="e">
        <f>ROUND(L10/#REF!*(权属依据!B10+权属依据!E10),2)</f>
        <v>#REF!</v>
      </c>
      <c r="M13" s="320" t="e">
        <f t="shared" si="6"/>
        <v>#REF!</v>
      </c>
      <c r="N13" s="320" t="e">
        <f>ROUND(N10/#REF!*(权属依据!B10+权属依据!E10),2)</f>
        <v>#REF!</v>
      </c>
      <c r="O13" s="320" t="e">
        <f t="shared" si="6"/>
        <v>#REF!</v>
      </c>
      <c r="P13" s="320" t="e">
        <f>ROUND(P10/#REF!*(权属依据!B10+权属依据!E10),2)</f>
        <v>#REF!</v>
      </c>
      <c r="R13" s="197" t="s">
        <v>342</v>
      </c>
      <c r="S13" s="349">
        <f>ROUND(1-(1-$V$1)*23/$T$2,2)</f>
        <v>0.62</v>
      </c>
      <c r="T13" s="350">
        <f>ROUND('建筑（商）'!$D$22*S13,0)</f>
        <v>3871</v>
      </c>
    </row>
    <row r="14" spans="1:22" ht="14.25">
      <c r="A14" s="321"/>
      <c r="R14" s="197" t="s">
        <v>343</v>
      </c>
      <c r="S14" s="349">
        <f>ROUND(1-(1-$V$1)*24/$T$2,2)</f>
        <v>0.6</v>
      </c>
      <c r="T14" s="350">
        <f>ROUND('建筑（商）'!$D$22*S14,0)</f>
        <v>3746</v>
      </c>
    </row>
    <row r="15" spans="1:22" ht="14.25">
      <c r="A15" s="321"/>
      <c r="B15" s="316"/>
      <c r="C15" s="316"/>
      <c r="D15" s="322"/>
      <c r="R15" s="197" t="s">
        <v>585</v>
      </c>
      <c r="S15" s="349">
        <f>ROUND(1-(1-$V$1)*25/$T$2,2)</f>
        <v>0.57999999999999996</v>
      </c>
      <c r="T15" s="350">
        <f>ROUND('建筑（商）'!$D$22*S15,0)</f>
        <v>3622</v>
      </c>
    </row>
    <row r="16" spans="1:22" ht="14.25">
      <c r="A16" s="321"/>
      <c r="B16" s="323"/>
      <c r="C16" s="323"/>
      <c r="D16" s="322"/>
      <c r="R16" s="197" t="s">
        <v>344</v>
      </c>
      <c r="S16" s="349">
        <f>ROUND(1-(1-$V$1)*26/$T$2,2)</f>
        <v>0.56999999999999995</v>
      </c>
      <c r="T16" s="350">
        <f>ROUND('建筑（商）'!$D$22*S16,0)</f>
        <v>3559</v>
      </c>
    </row>
    <row r="17" spans="1:20" ht="14.25">
      <c r="A17" s="321"/>
      <c r="B17" s="321"/>
      <c r="R17" s="197"/>
      <c r="S17" s="354"/>
      <c r="T17" s="350"/>
    </row>
    <row r="18" spans="1:20" ht="42" customHeight="1">
      <c r="A18" s="324" t="s">
        <v>69</v>
      </c>
      <c r="B18" s="325" t="s">
        <v>124</v>
      </c>
      <c r="C18" s="326" t="str">
        <f t="shared" ref="C18:K18" si="7">B8</f>
        <v>2014年租期租约期内（2013.11.20至2014.12.31）</v>
      </c>
      <c r="D18" s="326" t="str">
        <f t="shared" si="7"/>
        <v>2014年租期租约期外（2015.1.1至2034.1.3）</v>
      </c>
      <c r="E18" s="326" t="str">
        <f t="shared" si="7"/>
        <v>2015租约期内（2013.11.20至2015.12.31）</v>
      </c>
      <c r="F18" s="326" t="str">
        <f t="shared" si="7"/>
        <v>2015租约期外（2016.1.1至2034.1.3）</v>
      </c>
      <c r="G18" s="326" t="str">
        <f t="shared" si="7"/>
        <v>2017租约期内（2013.11.20至2017.5.31）</v>
      </c>
      <c r="H18" s="326" t="str">
        <f t="shared" si="7"/>
        <v>2017租约期外（2017.6.1至2034.1.3）</v>
      </c>
      <c r="I18" s="326" t="str">
        <f t="shared" si="7"/>
        <v>2018租约期内（2013.11.20至2018.7.31）</v>
      </c>
      <c r="J18" s="326" t="str">
        <f t="shared" si="7"/>
        <v>2018租约期外（2018.8.1至2034.1.3）</v>
      </c>
      <c r="K18" s="326" t="str">
        <f t="shared" si="7"/>
        <v>2019租约期内（2013.11.20至2019.9.14）</v>
      </c>
      <c r="L18" s="326" t="str">
        <f t="shared" ref="L18:Q18" si="8">K8</f>
        <v>2019租约期外（2019.9.15至2034.1.3）</v>
      </c>
      <c r="M18" s="326" t="str">
        <f t="shared" si="8"/>
        <v>2021租约期内（2013.11.20至2021.3.14）</v>
      </c>
      <c r="N18" s="326" t="str">
        <f t="shared" si="8"/>
        <v>2021租约期外（2021.3.15至2034.1.3）</v>
      </c>
      <c r="O18" s="326" t="str">
        <f t="shared" si="8"/>
        <v>2025租约期内（2013.11.20至2025.6.30）</v>
      </c>
      <c r="P18" s="326" t="str">
        <f t="shared" si="8"/>
        <v>2025租约期外（2025.7.1至2034.1.3）</v>
      </c>
      <c r="Q18" s="326" t="str">
        <f t="shared" si="8"/>
        <v>租约期外</v>
      </c>
      <c r="R18" s="326"/>
      <c r="S18" s="230" t="s">
        <v>345</v>
      </c>
      <c r="T18" s="230" t="s">
        <v>346</v>
      </c>
    </row>
    <row r="19" spans="1:20">
      <c r="A19" s="229" t="s">
        <v>347</v>
      </c>
      <c r="B19" s="230" t="s">
        <v>348</v>
      </c>
      <c r="C19" s="231">
        <f t="shared" ref="C19:K19" si="9">B10</f>
        <v>369.15292682926832</v>
      </c>
      <c r="D19" s="231">
        <f t="shared" si="9"/>
        <v>369.15292682926832</v>
      </c>
      <c r="E19" s="231">
        <f t="shared" si="9"/>
        <v>1328.59</v>
      </c>
      <c r="F19" s="231">
        <f t="shared" si="9"/>
        <v>1328.59</v>
      </c>
      <c r="G19" s="231">
        <f t="shared" si="9"/>
        <v>708.20750364086086</v>
      </c>
      <c r="H19" s="231">
        <f t="shared" si="9"/>
        <v>708.20750364086086</v>
      </c>
      <c r="I19" s="231">
        <f t="shared" si="9"/>
        <v>939.05</v>
      </c>
      <c r="J19" s="231">
        <f t="shared" si="9"/>
        <v>939.05</v>
      </c>
      <c r="K19" s="231">
        <f t="shared" si="9"/>
        <v>3805.2399999999993</v>
      </c>
      <c r="L19" s="231">
        <f t="shared" ref="L19:Q19" si="10">K10</f>
        <v>3805.2399999999993</v>
      </c>
      <c r="M19" s="231">
        <f t="shared" si="10"/>
        <v>5264.4699999999993</v>
      </c>
      <c r="N19" s="231">
        <f t="shared" si="10"/>
        <v>5264.4699999999993</v>
      </c>
      <c r="O19" s="231">
        <f t="shared" si="10"/>
        <v>1334</v>
      </c>
      <c r="P19" s="231">
        <f t="shared" si="10"/>
        <v>1334</v>
      </c>
      <c r="Q19" s="231" t="e">
        <f t="shared" si="10"/>
        <v>#REF!</v>
      </c>
      <c r="R19" s="231"/>
      <c r="S19" s="230"/>
      <c r="T19" s="355"/>
    </row>
    <row r="20" spans="1:20">
      <c r="A20" s="229" t="s">
        <v>349</v>
      </c>
      <c r="B20" s="232" t="s">
        <v>130</v>
      </c>
      <c r="C20" s="327">
        <f t="shared" ref="C20:J20" si="11">B9</f>
        <v>11.95</v>
      </c>
      <c r="D20" s="327">
        <f t="shared" si="11"/>
        <v>9.19</v>
      </c>
      <c r="E20" s="327">
        <f t="shared" si="11"/>
        <v>7.55</v>
      </c>
      <c r="F20" s="327">
        <f t="shared" si="11"/>
        <v>9.56</v>
      </c>
      <c r="G20" s="327">
        <f t="shared" si="11"/>
        <v>4.99</v>
      </c>
      <c r="H20" s="327">
        <f t="shared" si="11"/>
        <v>9.94</v>
      </c>
      <c r="I20" s="327">
        <f t="shared" si="11"/>
        <v>4.0599999999999996</v>
      </c>
      <c r="J20" s="327">
        <f t="shared" si="11"/>
        <v>10.34</v>
      </c>
      <c r="K20" s="327">
        <f t="shared" ref="K20:Q20" si="12">J9</f>
        <v>3.72</v>
      </c>
      <c r="L20" s="327">
        <f t="shared" si="12"/>
        <v>10.75</v>
      </c>
      <c r="M20" s="327">
        <f t="shared" si="12"/>
        <v>2.88</v>
      </c>
      <c r="N20" s="327">
        <f t="shared" si="12"/>
        <v>11.63</v>
      </c>
      <c r="O20" s="327">
        <f t="shared" si="12"/>
        <v>1.81</v>
      </c>
      <c r="P20" s="327">
        <f t="shared" si="12"/>
        <v>13.6</v>
      </c>
      <c r="Q20" s="327">
        <f t="shared" si="12"/>
        <v>8.5</v>
      </c>
      <c r="R20" s="327"/>
      <c r="S20" s="230"/>
      <c r="T20" s="355"/>
    </row>
    <row r="21" spans="1:20">
      <c r="A21" s="229" t="s">
        <v>350</v>
      </c>
      <c r="B21" s="232" t="s">
        <v>351</v>
      </c>
      <c r="C21" s="328" t="s">
        <v>281</v>
      </c>
      <c r="D21" s="329">
        <v>0.05</v>
      </c>
      <c r="E21" s="328" t="s">
        <v>281</v>
      </c>
      <c r="F21" s="329">
        <f t="shared" ref="F21:P21" si="13">D21</f>
        <v>0.05</v>
      </c>
      <c r="G21" s="329" t="str">
        <f t="shared" si="13"/>
        <v>——</v>
      </c>
      <c r="H21" s="329">
        <f t="shared" si="13"/>
        <v>0.05</v>
      </c>
      <c r="I21" s="329" t="str">
        <f t="shared" si="13"/>
        <v>——</v>
      </c>
      <c r="J21" s="329">
        <f t="shared" si="13"/>
        <v>0.05</v>
      </c>
      <c r="K21" s="329" t="str">
        <f t="shared" si="13"/>
        <v>——</v>
      </c>
      <c r="L21" s="329">
        <f t="shared" si="13"/>
        <v>0.05</v>
      </c>
      <c r="M21" s="329" t="str">
        <f t="shared" si="13"/>
        <v>——</v>
      </c>
      <c r="N21" s="329">
        <f t="shared" si="13"/>
        <v>0.05</v>
      </c>
      <c r="O21" s="329" t="str">
        <f t="shared" si="13"/>
        <v>——</v>
      </c>
      <c r="P21" s="329">
        <f t="shared" si="13"/>
        <v>0.05</v>
      </c>
      <c r="Q21" s="329">
        <f>F21</f>
        <v>0.05</v>
      </c>
      <c r="R21" s="329"/>
      <c r="S21" s="230"/>
      <c r="T21" s="355"/>
    </row>
    <row r="22" spans="1:20" s="305" customFormat="1" ht="21.75" customHeight="1">
      <c r="A22" s="330">
        <v>1</v>
      </c>
      <c r="B22" s="233" t="s">
        <v>352</v>
      </c>
      <c r="C22" s="331">
        <f>B11</f>
        <v>161</v>
      </c>
      <c r="D22" s="331">
        <f t="shared" ref="D22:Q22" si="14">C11</f>
        <v>118</v>
      </c>
      <c r="E22" s="331">
        <f t="shared" si="14"/>
        <v>366</v>
      </c>
      <c r="F22" s="331">
        <f t="shared" si="14"/>
        <v>440</v>
      </c>
      <c r="G22" s="331">
        <f t="shared" si="14"/>
        <v>129</v>
      </c>
      <c r="H22" s="331">
        <f t="shared" si="14"/>
        <v>244</v>
      </c>
      <c r="I22" s="331">
        <f t="shared" si="14"/>
        <v>139</v>
      </c>
      <c r="J22" s="331">
        <f t="shared" si="14"/>
        <v>337</v>
      </c>
      <c r="K22" s="331">
        <f t="shared" si="14"/>
        <v>516</v>
      </c>
      <c r="L22" s="331">
        <f t="shared" si="14"/>
        <v>1418</v>
      </c>
      <c r="M22" s="331">
        <f t="shared" si="14"/>
        <v>554</v>
      </c>
      <c r="N22" s="331">
        <f t="shared" si="14"/>
        <v>2123</v>
      </c>
      <c r="O22" s="331">
        <f t="shared" si="14"/>
        <v>88</v>
      </c>
      <c r="P22" s="331">
        <f t="shared" si="14"/>
        <v>629</v>
      </c>
      <c r="Q22" s="331" t="e">
        <f t="shared" si="14"/>
        <v>#REF!</v>
      </c>
      <c r="R22" s="331" t="e">
        <f>SUM(C22:Q22)</f>
        <v>#REF!</v>
      </c>
      <c r="S22" s="1059" t="s">
        <v>353</v>
      </c>
      <c r="T22" s="1060"/>
    </row>
    <row r="23" spans="1:20" ht="22.5" customHeight="1">
      <c r="A23" s="229" t="s">
        <v>354</v>
      </c>
      <c r="B23" s="234" t="s">
        <v>355</v>
      </c>
      <c r="C23" s="332">
        <f>ROUND(C22*$S$23,2)</f>
        <v>9.02</v>
      </c>
      <c r="D23" s="332">
        <f t="shared" ref="D23:Q23" si="15">ROUND(D22*$S$23,2)</f>
        <v>6.61</v>
      </c>
      <c r="E23" s="332">
        <f t="shared" si="15"/>
        <v>20.5</v>
      </c>
      <c r="F23" s="332">
        <f t="shared" si="15"/>
        <v>24.64</v>
      </c>
      <c r="G23" s="332">
        <f t="shared" si="15"/>
        <v>7.22</v>
      </c>
      <c r="H23" s="332">
        <f t="shared" si="15"/>
        <v>13.66</v>
      </c>
      <c r="I23" s="332">
        <f t="shared" si="15"/>
        <v>7.78</v>
      </c>
      <c r="J23" s="332">
        <f t="shared" si="15"/>
        <v>18.87</v>
      </c>
      <c r="K23" s="332">
        <f t="shared" si="15"/>
        <v>28.9</v>
      </c>
      <c r="L23" s="332">
        <f t="shared" si="15"/>
        <v>79.41</v>
      </c>
      <c r="M23" s="332">
        <f t="shared" si="15"/>
        <v>31.02</v>
      </c>
      <c r="N23" s="332">
        <f t="shared" si="15"/>
        <v>118.89</v>
      </c>
      <c r="O23" s="332">
        <f t="shared" si="15"/>
        <v>4.93</v>
      </c>
      <c r="P23" s="332">
        <f t="shared" si="15"/>
        <v>35.22</v>
      </c>
      <c r="Q23" s="332" t="e">
        <f t="shared" si="15"/>
        <v>#REF!</v>
      </c>
      <c r="R23" s="332"/>
      <c r="S23" s="243">
        <v>5.6000000000000001E-2</v>
      </c>
      <c r="T23" s="240" t="s">
        <v>356</v>
      </c>
    </row>
    <row r="24" spans="1:20" ht="22.9" customHeight="1">
      <c r="A24" s="229" t="s">
        <v>357</v>
      </c>
      <c r="B24" s="333" t="s">
        <v>358</v>
      </c>
      <c r="C24" s="334">
        <f>ROUND(('建筑（商）'!$D$22*(1-'建筑（商）'!$D$20)-'建筑（商）'!$D$19)*70%*1.2%*C19/10000,2)</f>
        <v>1.54</v>
      </c>
      <c r="D24" s="334">
        <f>ROUND(('建筑（商）'!$D$22*(1-'建筑（商）'!$D$20)-'建筑（商）'!$D$19)*70%*1.2%*D19/10000,2)</f>
        <v>1.54</v>
      </c>
      <c r="E24" s="334">
        <f>ROUND(('建筑（商）'!$D$22*(1-'建筑（商）'!$D$20)-'建筑（商）'!$D$19)*70%*1.2%*E19/10000,2)</f>
        <v>5.55</v>
      </c>
      <c r="F24" s="334">
        <f>ROUND(('建筑（商）'!$D$22*(1-'建筑（商）'!$D$20)-'建筑（商）'!$D$19)*70%*1.2%*F19/10000,2)</f>
        <v>5.55</v>
      </c>
      <c r="G24" s="334">
        <f>ROUND(('建筑（商）'!$D$22*(1-'建筑（商）'!$D$20)-'建筑（商）'!$D$19)*70%*1.2%*G19/10000,2)</f>
        <v>2.96</v>
      </c>
      <c r="H24" s="334">
        <f>ROUND(('建筑（商）'!$D$22*(1-'建筑（商）'!$D$20)-'建筑（商）'!$D$19)*70%*1.2%*H19/10000,2)</f>
        <v>2.96</v>
      </c>
      <c r="I24" s="334">
        <f>ROUND(('建筑（商）'!$D$22*(1-'建筑（商）'!$D$20)-'建筑（商）'!$D$19)*70%*1.2%*I19/10000,2)</f>
        <v>3.92</v>
      </c>
      <c r="J24" s="334">
        <f>ROUND(('建筑（商）'!$D$22*(1-'建筑（商）'!$D$20)-'建筑（商）'!$D$19)*70%*1.2%*J19/10000,2)</f>
        <v>3.92</v>
      </c>
      <c r="K24" s="334">
        <f>ROUND(('建筑（商）'!$D$22*(1-'建筑（商）'!$D$20)-'建筑（商）'!$D$19)*70%*1.2%*K19/10000,2)</f>
        <v>15.9</v>
      </c>
      <c r="L24" s="334">
        <f>ROUND(('建筑（商）'!$D$22*(1-'建筑（商）'!$D$20)-'建筑（商）'!$D$19)*70%*1.2%*L19/10000,2)</f>
        <v>15.9</v>
      </c>
      <c r="M24" s="334">
        <f>ROUND(('建筑（商）'!$D$22*(1-'建筑（商）'!$D$20)-'建筑（商）'!$D$19)*70%*1.2%*M19/10000,2)</f>
        <v>21.99</v>
      </c>
      <c r="N24" s="334">
        <f>ROUND(('建筑（商）'!$D$22*(1-'建筑（商）'!$D$20)-'建筑（商）'!$D$19)*70%*1.2%*N19/10000,2)</f>
        <v>21.99</v>
      </c>
      <c r="O24" s="334">
        <f>ROUND(('建筑（商）'!$D$22*(1-'建筑（商）'!$D$20)-'建筑（商）'!$D$19)*70%*1.2%*O19/10000,2)</f>
        <v>5.57</v>
      </c>
      <c r="P24" s="334">
        <f>ROUND(('建筑（商）'!$D$22*(1-'建筑（商）'!$D$20)-'建筑（商）'!$D$19)*70%*1.2%*P19/10000,2)</f>
        <v>5.57</v>
      </c>
      <c r="Q24" s="334" t="e">
        <f>ROUND(('建筑（商）'!$D$22*(1-'建筑（商）'!$D$20)-'建筑（商）'!$D$19)*70%*1.2%*Q19/10000,2)</f>
        <v>#REF!</v>
      </c>
      <c r="R24" s="334"/>
      <c r="S24" s="243">
        <v>1.2E-2</v>
      </c>
      <c r="T24" s="240" t="s">
        <v>359</v>
      </c>
    </row>
    <row r="25" spans="1:20" ht="22.9" customHeight="1">
      <c r="A25" s="229" t="s">
        <v>360</v>
      </c>
      <c r="B25" s="333" t="s">
        <v>361</v>
      </c>
      <c r="C25" s="334" t="e">
        <f>ROUND(B13*$S$25/10000,2)</f>
        <v>#REF!</v>
      </c>
      <c r="D25" s="334">
        <f t="shared" ref="D25:Q25" si="16">ROUND(C13*$S$25/10000,2)</f>
        <v>0.05</v>
      </c>
      <c r="E25" s="334" t="e">
        <f t="shared" si="16"/>
        <v>#REF!</v>
      </c>
      <c r="F25" s="334" t="e">
        <f t="shared" si="16"/>
        <v>#REF!</v>
      </c>
      <c r="G25" s="334" t="e">
        <f t="shared" si="16"/>
        <v>#REF!</v>
      </c>
      <c r="H25" s="334" t="e">
        <f t="shared" si="16"/>
        <v>#REF!</v>
      </c>
      <c r="I25" s="334" t="e">
        <f t="shared" si="16"/>
        <v>#REF!</v>
      </c>
      <c r="J25" s="334" t="e">
        <f t="shared" si="16"/>
        <v>#REF!</v>
      </c>
      <c r="K25" s="334" t="e">
        <f t="shared" si="16"/>
        <v>#REF!</v>
      </c>
      <c r="L25" s="334" t="e">
        <f t="shared" si="16"/>
        <v>#REF!</v>
      </c>
      <c r="M25" s="334" t="e">
        <f t="shared" si="16"/>
        <v>#REF!</v>
      </c>
      <c r="N25" s="334" t="e">
        <f t="shared" si="16"/>
        <v>#REF!</v>
      </c>
      <c r="O25" s="334" t="e">
        <f t="shared" si="16"/>
        <v>#REF!</v>
      </c>
      <c r="P25" s="334" t="e">
        <f t="shared" si="16"/>
        <v>#REF!</v>
      </c>
      <c r="Q25" s="334" t="e">
        <f t="shared" si="16"/>
        <v>#REF!</v>
      </c>
      <c r="R25" s="357"/>
      <c r="S25" s="244">
        <v>24</v>
      </c>
      <c r="T25" s="358" t="s">
        <v>362</v>
      </c>
    </row>
    <row r="26" spans="1:20" ht="24" customHeight="1">
      <c r="A26" s="235" t="s">
        <v>363</v>
      </c>
      <c r="B26" s="335" t="s">
        <v>364</v>
      </c>
      <c r="C26" s="331" t="e">
        <f t="shared" ref="C26:Q26" si="17">ROUND(SUM(C23:C25,0),0)</f>
        <v>#REF!</v>
      </c>
      <c r="D26" s="331">
        <f t="shared" si="17"/>
        <v>8</v>
      </c>
      <c r="E26" s="331" t="e">
        <f t="shared" si="17"/>
        <v>#REF!</v>
      </c>
      <c r="F26" s="331" t="e">
        <f t="shared" si="17"/>
        <v>#REF!</v>
      </c>
      <c r="G26" s="331" t="e">
        <f t="shared" si="17"/>
        <v>#REF!</v>
      </c>
      <c r="H26" s="331" t="e">
        <f t="shared" si="17"/>
        <v>#REF!</v>
      </c>
      <c r="I26" s="331" t="e">
        <f t="shared" si="17"/>
        <v>#REF!</v>
      </c>
      <c r="J26" s="331" t="e">
        <f t="shared" si="17"/>
        <v>#REF!</v>
      </c>
      <c r="K26" s="331" t="e">
        <f t="shared" si="17"/>
        <v>#REF!</v>
      </c>
      <c r="L26" s="331" t="e">
        <f t="shared" si="17"/>
        <v>#REF!</v>
      </c>
      <c r="M26" s="331" t="e">
        <f t="shared" si="17"/>
        <v>#REF!</v>
      </c>
      <c r="N26" s="331" t="e">
        <f t="shared" si="17"/>
        <v>#REF!</v>
      </c>
      <c r="O26" s="331" t="e">
        <f t="shared" si="17"/>
        <v>#REF!</v>
      </c>
      <c r="P26" s="331" t="e">
        <f t="shared" si="17"/>
        <v>#REF!</v>
      </c>
      <c r="Q26" s="331" t="e">
        <f t="shared" si="17"/>
        <v>#REF!</v>
      </c>
      <c r="R26" s="331"/>
      <c r="S26" s="359"/>
      <c r="T26" s="360" t="s">
        <v>365</v>
      </c>
    </row>
    <row r="27" spans="1:20" ht="19.899999999999999" customHeight="1">
      <c r="A27" s="229" t="s">
        <v>366</v>
      </c>
      <c r="B27" s="236" t="s">
        <v>367</v>
      </c>
      <c r="C27" s="332">
        <f>ROUND('建筑（商）'!$D$22*$S$27*C19/10000,2)</f>
        <v>0.46</v>
      </c>
      <c r="D27" s="332">
        <f>ROUND('建筑（商）'!$D$22*$S$27*D19/10000,2)</f>
        <v>0.46</v>
      </c>
      <c r="E27" s="332">
        <f>ROUND('建筑（商）'!$D$22*$S$27*E19/10000,2)</f>
        <v>1.66</v>
      </c>
      <c r="F27" s="332">
        <f>ROUND('建筑（商）'!$D$22*$S$27*F19/10000,2)</f>
        <v>1.66</v>
      </c>
      <c r="G27" s="332">
        <f>ROUND('建筑（商）'!$D$22*$S$27*G19/10000,2)</f>
        <v>0.88</v>
      </c>
      <c r="H27" s="332">
        <f>ROUND('建筑（商）'!$D$22*$S$27*H19/10000,2)</f>
        <v>0.88</v>
      </c>
      <c r="I27" s="332">
        <f>ROUND('建筑（商）'!$D$22*$S$27*I19/10000,2)</f>
        <v>1.17</v>
      </c>
      <c r="J27" s="332">
        <f>ROUND('建筑（商）'!$D$22*$S$27*J19/10000,2)</f>
        <v>1.17</v>
      </c>
      <c r="K27" s="332">
        <f>ROUND('建筑（商）'!$D$22*$S$27*K19/10000,2)</f>
        <v>4.75</v>
      </c>
      <c r="L27" s="332">
        <f>ROUND('建筑（商）'!$D$22*$S$27*L19/10000,2)</f>
        <v>4.75</v>
      </c>
      <c r="M27" s="332">
        <f>ROUND('建筑（商）'!$D$22*$S$27*M19/10000,2)</f>
        <v>6.57</v>
      </c>
      <c r="N27" s="332">
        <f>ROUND('建筑（商）'!$D$22*$S$27*N19/10000,2)</f>
        <v>6.57</v>
      </c>
      <c r="O27" s="332">
        <f>ROUND('建筑（商）'!$D$22*$S$27*O19/10000,2)</f>
        <v>1.67</v>
      </c>
      <c r="P27" s="332">
        <f>ROUND('建筑（商）'!$D$22*$S$27*P19/10000,2)</f>
        <v>1.67</v>
      </c>
      <c r="Q27" s="332" t="e">
        <f>ROUND('建筑（商）'!$D$22*$S$27*Q19/10000,2)</f>
        <v>#REF!</v>
      </c>
      <c r="R27" s="332"/>
      <c r="S27" s="245">
        <v>2E-3</v>
      </c>
      <c r="T27" s="358" t="s">
        <v>368</v>
      </c>
    </row>
    <row r="28" spans="1:20" ht="19.899999999999999" customHeight="1">
      <c r="A28" s="229" t="s">
        <v>369</v>
      </c>
      <c r="B28" s="236" t="s">
        <v>370</v>
      </c>
      <c r="C28" s="332">
        <f>ROUND(T4*C19*$S$28/10000,2)</f>
        <v>0.04</v>
      </c>
      <c r="D28" s="332">
        <f>ROUND(T6*D19*$S$28/10000,2)</f>
        <v>0.04</v>
      </c>
      <c r="E28" s="332">
        <f>ROUND(T4*E19*$S$28/10000,2)</f>
        <v>0.16</v>
      </c>
      <c r="F28" s="332">
        <f>ROUND(T7*F19*$S$28/10000,2)</f>
        <v>0.15</v>
      </c>
      <c r="G28" s="332">
        <f>ROUND(T4*G19*$S$28/10000,2)</f>
        <v>0.09</v>
      </c>
      <c r="H28" s="332">
        <f>ROUND(T8*H19*$S$28/10000,2)</f>
        <v>0.08</v>
      </c>
      <c r="I28" s="332">
        <f>ROUND(T4*I19*$S$28/10000,2)</f>
        <v>0.11</v>
      </c>
      <c r="J28" s="332">
        <f>ROUND(T9*J19*$S$28/10000,2)</f>
        <v>0.1</v>
      </c>
      <c r="K28" s="332">
        <f>ROUND(T4*K19*$S$28/10000,2)</f>
        <v>0.46</v>
      </c>
      <c r="L28" s="332">
        <f>ROUND(T10*L19*$S$28/10000,2)</f>
        <v>0.4</v>
      </c>
      <c r="M28" s="332">
        <f>ROUND(T4*M19*$S$28/10000,2)</f>
        <v>0.63</v>
      </c>
      <c r="N28" s="332">
        <f>ROUND(T12*N19*$S$28/10000,2)</f>
        <v>0.52</v>
      </c>
      <c r="O28" s="332">
        <f>ROUND(T4*O19*$S$28/10000,2)</f>
        <v>0.16</v>
      </c>
      <c r="P28" s="332">
        <f>ROUND(T16*P19*$S$28/10000,2)</f>
        <v>0.12</v>
      </c>
      <c r="Q28" s="332" t="e">
        <f>ROUND(T4*Q19*$S$28/10000,2)</f>
        <v>#REF!</v>
      </c>
      <c r="R28" s="332"/>
      <c r="S28" s="246">
        <v>2.5000000000000001E-4</v>
      </c>
      <c r="T28" s="247" t="s">
        <v>371</v>
      </c>
    </row>
    <row r="29" spans="1:20" ht="19.899999999999999" customHeight="1">
      <c r="A29" s="229" t="s">
        <v>372</v>
      </c>
      <c r="B29" s="236" t="s">
        <v>373</v>
      </c>
      <c r="C29" s="332">
        <f>ROUND(C22*$S$29,2)</f>
        <v>3.22</v>
      </c>
      <c r="D29" s="332">
        <f t="shared" ref="D29:Q29" si="18">ROUND(D22*$S$29,2)</f>
        <v>2.36</v>
      </c>
      <c r="E29" s="332">
        <f t="shared" si="18"/>
        <v>7.32</v>
      </c>
      <c r="F29" s="332">
        <f t="shared" si="18"/>
        <v>8.8000000000000007</v>
      </c>
      <c r="G29" s="332">
        <f t="shared" si="18"/>
        <v>2.58</v>
      </c>
      <c r="H29" s="332">
        <f t="shared" si="18"/>
        <v>4.88</v>
      </c>
      <c r="I29" s="332">
        <f t="shared" si="18"/>
        <v>2.78</v>
      </c>
      <c r="J29" s="332">
        <f t="shared" si="18"/>
        <v>6.74</v>
      </c>
      <c r="K29" s="332">
        <f t="shared" si="18"/>
        <v>10.32</v>
      </c>
      <c r="L29" s="332">
        <f t="shared" si="18"/>
        <v>28.36</v>
      </c>
      <c r="M29" s="332">
        <f t="shared" si="18"/>
        <v>11.08</v>
      </c>
      <c r="N29" s="332">
        <f t="shared" si="18"/>
        <v>42.46</v>
      </c>
      <c r="O29" s="332">
        <f t="shared" si="18"/>
        <v>1.76</v>
      </c>
      <c r="P29" s="332">
        <f t="shared" si="18"/>
        <v>12.58</v>
      </c>
      <c r="Q29" s="332" t="e">
        <f t="shared" si="18"/>
        <v>#REF!</v>
      </c>
      <c r="R29" s="332"/>
      <c r="S29" s="248">
        <v>0.02</v>
      </c>
      <c r="T29" s="242" t="s">
        <v>356</v>
      </c>
    </row>
    <row r="30" spans="1:20" ht="24">
      <c r="A30" s="229">
        <v>2</v>
      </c>
      <c r="B30" s="232" t="s">
        <v>374</v>
      </c>
      <c r="C30" s="336" t="e">
        <f>ROUND(SUM(C26:C29),0)</f>
        <v>#REF!</v>
      </c>
      <c r="D30" s="336">
        <f t="shared" ref="D30:Q30" si="19">ROUND(SUM(D26:D29),0)</f>
        <v>11</v>
      </c>
      <c r="E30" s="336" t="e">
        <f t="shared" si="19"/>
        <v>#REF!</v>
      </c>
      <c r="F30" s="336" t="e">
        <f t="shared" si="19"/>
        <v>#REF!</v>
      </c>
      <c r="G30" s="336" t="e">
        <f t="shared" si="19"/>
        <v>#REF!</v>
      </c>
      <c r="H30" s="336" t="e">
        <f t="shared" si="19"/>
        <v>#REF!</v>
      </c>
      <c r="I30" s="336" t="e">
        <f t="shared" si="19"/>
        <v>#REF!</v>
      </c>
      <c r="J30" s="336" t="e">
        <f t="shared" si="19"/>
        <v>#REF!</v>
      </c>
      <c r="K30" s="336" t="e">
        <f t="shared" si="19"/>
        <v>#REF!</v>
      </c>
      <c r="L30" s="336" t="e">
        <f t="shared" si="19"/>
        <v>#REF!</v>
      </c>
      <c r="M30" s="336" t="e">
        <f t="shared" si="19"/>
        <v>#REF!</v>
      </c>
      <c r="N30" s="336" t="e">
        <f t="shared" si="19"/>
        <v>#REF!</v>
      </c>
      <c r="O30" s="336" t="e">
        <f t="shared" si="19"/>
        <v>#REF!</v>
      </c>
      <c r="P30" s="336" t="e">
        <f t="shared" si="19"/>
        <v>#REF!</v>
      </c>
      <c r="Q30" s="336" t="e">
        <f t="shared" si="19"/>
        <v>#REF!</v>
      </c>
      <c r="R30" s="336"/>
      <c r="S30" s="232"/>
      <c r="T30" s="361" t="s">
        <v>375</v>
      </c>
    </row>
    <row r="31" spans="1:20" ht="24">
      <c r="A31" s="229" t="s">
        <v>376</v>
      </c>
      <c r="B31" s="232" t="s">
        <v>377</v>
      </c>
      <c r="C31" s="336" t="e">
        <f>ROUND(C22-C30,0)</f>
        <v>#REF!</v>
      </c>
      <c r="D31" s="336">
        <f t="shared" ref="D31:Q31" si="20">ROUND(D22-D30,0)</f>
        <v>107</v>
      </c>
      <c r="E31" s="336" t="e">
        <f t="shared" si="20"/>
        <v>#REF!</v>
      </c>
      <c r="F31" s="336" t="e">
        <f t="shared" si="20"/>
        <v>#REF!</v>
      </c>
      <c r="G31" s="336" t="e">
        <f t="shared" si="20"/>
        <v>#REF!</v>
      </c>
      <c r="H31" s="336" t="e">
        <f t="shared" si="20"/>
        <v>#REF!</v>
      </c>
      <c r="I31" s="336" t="e">
        <f t="shared" si="20"/>
        <v>#REF!</v>
      </c>
      <c r="J31" s="336" t="e">
        <f t="shared" si="20"/>
        <v>#REF!</v>
      </c>
      <c r="K31" s="336" t="e">
        <f t="shared" si="20"/>
        <v>#REF!</v>
      </c>
      <c r="L31" s="336" t="e">
        <f t="shared" si="20"/>
        <v>#REF!</v>
      </c>
      <c r="M31" s="336" t="e">
        <f t="shared" si="20"/>
        <v>#REF!</v>
      </c>
      <c r="N31" s="336" t="e">
        <f t="shared" si="20"/>
        <v>#REF!</v>
      </c>
      <c r="O31" s="336" t="e">
        <f t="shared" si="20"/>
        <v>#REF!</v>
      </c>
      <c r="P31" s="336" t="e">
        <f t="shared" si="20"/>
        <v>#REF!</v>
      </c>
      <c r="Q31" s="336" t="e">
        <f t="shared" si="20"/>
        <v>#REF!</v>
      </c>
      <c r="R31" s="336"/>
      <c r="S31" s="232"/>
      <c r="T31" s="249" t="s">
        <v>349</v>
      </c>
    </row>
    <row r="32" spans="1:20" ht="60">
      <c r="A32" s="229" t="s">
        <v>378</v>
      </c>
      <c r="B32" s="237" t="s">
        <v>379</v>
      </c>
      <c r="C32" s="337">
        <v>6.5000000000000002E-2</v>
      </c>
      <c r="D32" s="337">
        <f t="shared" ref="D32:P32" si="21">C32</f>
        <v>6.5000000000000002E-2</v>
      </c>
      <c r="E32" s="337">
        <f t="shared" si="21"/>
        <v>6.5000000000000002E-2</v>
      </c>
      <c r="F32" s="337">
        <f t="shared" si="21"/>
        <v>6.5000000000000002E-2</v>
      </c>
      <c r="G32" s="337">
        <f t="shared" si="21"/>
        <v>6.5000000000000002E-2</v>
      </c>
      <c r="H32" s="337">
        <f t="shared" si="21"/>
        <v>6.5000000000000002E-2</v>
      </c>
      <c r="I32" s="337">
        <f t="shared" si="21"/>
        <v>6.5000000000000002E-2</v>
      </c>
      <c r="J32" s="337">
        <f t="shared" si="21"/>
        <v>6.5000000000000002E-2</v>
      </c>
      <c r="K32" s="337">
        <f t="shared" si="21"/>
        <v>6.5000000000000002E-2</v>
      </c>
      <c r="L32" s="337">
        <f t="shared" si="21"/>
        <v>6.5000000000000002E-2</v>
      </c>
      <c r="M32" s="337">
        <f t="shared" si="21"/>
        <v>6.5000000000000002E-2</v>
      </c>
      <c r="N32" s="337">
        <f t="shared" si="21"/>
        <v>6.5000000000000002E-2</v>
      </c>
      <c r="O32" s="337">
        <f t="shared" si="21"/>
        <v>6.5000000000000002E-2</v>
      </c>
      <c r="P32" s="337">
        <f t="shared" si="21"/>
        <v>6.5000000000000002E-2</v>
      </c>
      <c r="Q32" s="337">
        <f>F32</f>
        <v>6.5000000000000002E-2</v>
      </c>
      <c r="R32" s="337"/>
      <c r="S32" s="250"/>
      <c r="T32" s="362" t="s">
        <v>380</v>
      </c>
    </row>
    <row r="33" spans="1:28" ht="19.5" customHeight="1">
      <c r="A33" s="229" t="s">
        <v>381</v>
      </c>
      <c r="B33" s="237" t="s">
        <v>382</v>
      </c>
      <c r="C33" s="337" t="s">
        <v>281</v>
      </c>
      <c r="D33" s="337">
        <v>0.04</v>
      </c>
      <c r="E33" s="337" t="s">
        <v>281</v>
      </c>
      <c r="F33" s="337">
        <f t="shared" ref="F33:J33" si="22">D33</f>
        <v>0.04</v>
      </c>
      <c r="G33" s="337" t="s">
        <v>281</v>
      </c>
      <c r="H33" s="337">
        <f t="shared" si="22"/>
        <v>0.04</v>
      </c>
      <c r="I33" s="337" t="s">
        <v>281</v>
      </c>
      <c r="J33" s="337">
        <f t="shared" si="22"/>
        <v>0.04</v>
      </c>
      <c r="K33" s="337" t="s">
        <v>281</v>
      </c>
      <c r="L33" s="337">
        <f t="shared" ref="L33:P33" si="23">J33</f>
        <v>0.04</v>
      </c>
      <c r="M33" s="337" t="s">
        <v>281</v>
      </c>
      <c r="N33" s="337">
        <f t="shared" si="23"/>
        <v>0.04</v>
      </c>
      <c r="O33" s="337" t="s">
        <v>281</v>
      </c>
      <c r="P33" s="337">
        <f t="shared" si="23"/>
        <v>0.04</v>
      </c>
      <c r="Q33" s="337">
        <f>F33</f>
        <v>0.04</v>
      </c>
      <c r="R33" s="337"/>
      <c r="S33" s="238" t="s">
        <v>281</v>
      </c>
      <c r="T33" s="238"/>
      <c r="U33" s="250"/>
      <c r="V33" s="367"/>
    </row>
    <row r="34" spans="1:28" ht="24">
      <c r="A34" s="229" t="s">
        <v>383</v>
      </c>
      <c r="B34" s="237" t="s">
        <v>384</v>
      </c>
      <c r="C34" s="338">
        <f>B12</f>
        <v>1.1100000000000001</v>
      </c>
      <c r="D34" s="338">
        <f>C12</f>
        <v>19.010000000000002</v>
      </c>
      <c r="E34" s="338">
        <f>D12</f>
        <v>2.11</v>
      </c>
      <c r="F34" s="338">
        <f>E12</f>
        <v>18.010000000000002</v>
      </c>
      <c r="G34" s="338">
        <f t="shared" ref="G34:Q34" si="24">F12</f>
        <v>3.52</v>
      </c>
      <c r="H34" s="338">
        <f t="shared" si="24"/>
        <v>16.600000000000001</v>
      </c>
      <c r="I34" s="338">
        <f t="shared" si="24"/>
        <v>4.6900000000000004</v>
      </c>
      <c r="J34" s="338">
        <f t="shared" si="24"/>
        <v>15.43</v>
      </c>
      <c r="K34" s="338">
        <f t="shared" si="24"/>
        <v>5.81</v>
      </c>
      <c r="L34" s="338">
        <f t="shared" si="24"/>
        <v>14.310000000000002</v>
      </c>
      <c r="M34" s="338">
        <f t="shared" si="24"/>
        <v>7.31</v>
      </c>
      <c r="N34" s="338">
        <f t="shared" si="24"/>
        <v>12.810000000000002</v>
      </c>
      <c r="O34" s="338">
        <f t="shared" si="24"/>
        <v>5.81</v>
      </c>
      <c r="P34" s="338">
        <f t="shared" si="24"/>
        <v>14.310000000000002</v>
      </c>
      <c r="Q34" s="338">
        <f t="shared" si="24"/>
        <v>20.12</v>
      </c>
      <c r="R34" s="338"/>
      <c r="S34" s="237" t="e">
        <f>#REF!</f>
        <v>#REF!</v>
      </c>
      <c r="T34" s="237"/>
      <c r="U34" s="251"/>
      <c r="V34" s="367"/>
    </row>
    <row r="35" spans="1:28">
      <c r="A35" s="229" t="s">
        <v>385</v>
      </c>
      <c r="B35" s="230" t="s">
        <v>104</v>
      </c>
      <c r="C35" s="339" t="e">
        <f t="shared" ref="C35:G35" si="25">ROUND(C31/C32*(1-1/(1+C32)^C34),0)</f>
        <v>#REF!</v>
      </c>
      <c r="D35" s="339">
        <f t="shared" ref="D35:H35" si="26">ROUND(D31/(D32-D33)*(1-((1+D33)/(1+D32))^D34),0)</f>
        <v>1555</v>
      </c>
      <c r="E35" s="339" t="e">
        <f t="shared" si="25"/>
        <v>#REF!</v>
      </c>
      <c r="F35" s="339" t="e">
        <f t="shared" si="26"/>
        <v>#REF!</v>
      </c>
      <c r="G35" s="339" t="e">
        <f t="shared" si="25"/>
        <v>#REF!</v>
      </c>
      <c r="H35" s="339" t="e">
        <f t="shared" si="26"/>
        <v>#REF!</v>
      </c>
      <c r="I35" s="339" t="e">
        <f t="shared" ref="I35:M35" si="27">ROUND(I31/I32*(1-1/(1+I32)^I34),0)</f>
        <v>#REF!</v>
      </c>
      <c r="J35" s="339" t="e">
        <f t="shared" ref="J35:N35" si="28">ROUND(J31/(J32-J33)*(1-((1+J33)/(1+J32))^J34),0)</f>
        <v>#REF!</v>
      </c>
      <c r="K35" s="339" t="e">
        <f t="shared" si="27"/>
        <v>#REF!</v>
      </c>
      <c r="L35" s="339" t="e">
        <f t="shared" si="28"/>
        <v>#REF!</v>
      </c>
      <c r="M35" s="339" t="e">
        <f t="shared" si="27"/>
        <v>#REF!</v>
      </c>
      <c r="N35" s="339" t="e">
        <f t="shared" si="28"/>
        <v>#REF!</v>
      </c>
      <c r="O35" s="339" t="e">
        <f>ROUND(O31/O32*(1-1/(1+O32)^O34),0)</f>
        <v>#REF!</v>
      </c>
      <c r="P35" s="339" t="e">
        <f>ROUND(P31/(P32-P33)*(1-((1+P33)/(1+P32))^P34),0)</f>
        <v>#REF!</v>
      </c>
      <c r="Q35" s="339" t="e">
        <f>ROUND(Q31/(Q32-Q33)*(1-((1+Q33)/(1+Q32))^Q34),0)</f>
        <v>#REF!</v>
      </c>
      <c r="R35" s="339"/>
      <c r="S35" s="363"/>
      <c r="T35" s="363"/>
      <c r="U35" s="368"/>
      <c r="V35" s="369"/>
    </row>
    <row r="36" spans="1:28" s="306" customFormat="1">
      <c r="A36" s="340"/>
      <c r="B36" s="230" t="s">
        <v>386</v>
      </c>
      <c r="C36" s="341"/>
      <c r="D36" s="342">
        <f t="shared" ref="D36:H36" si="29">C34</f>
        <v>1.1100000000000001</v>
      </c>
      <c r="E36" s="343"/>
      <c r="F36" s="342">
        <f t="shared" si="29"/>
        <v>2.11</v>
      </c>
      <c r="G36" s="344"/>
      <c r="H36" s="342">
        <f t="shared" si="29"/>
        <v>3.52</v>
      </c>
      <c r="I36" s="344"/>
      <c r="J36" s="342">
        <f t="shared" ref="J36:N36" si="30">I34</f>
        <v>4.6900000000000004</v>
      </c>
      <c r="K36" s="344"/>
      <c r="L36" s="342">
        <f t="shared" si="30"/>
        <v>5.81</v>
      </c>
      <c r="M36" s="344"/>
      <c r="N36" s="342">
        <f t="shared" si="30"/>
        <v>7.31</v>
      </c>
      <c r="O36" s="344"/>
      <c r="P36" s="342">
        <f>O34</f>
        <v>5.81</v>
      </c>
      <c r="Q36" s="342"/>
      <c r="R36" s="342"/>
      <c r="S36" s="239"/>
      <c r="T36" s="239"/>
      <c r="U36" s="370"/>
      <c r="V36" s="371"/>
    </row>
    <row r="37" spans="1:28">
      <c r="A37" s="229" t="s">
        <v>387</v>
      </c>
      <c r="B37" s="230" t="s">
        <v>388</v>
      </c>
      <c r="C37" s="339" t="e">
        <f>C35</f>
        <v>#REF!</v>
      </c>
      <c r="D37" s="339">
        <f>ROUND(D35/(1+C32)^D36,0)</f>
        <v>1450</v>
      </c>
      <c r="E37" s="339" t="e">
        <f t="shared" ref="E37:K37" si="31">ROUND(E35/(1+E32)^E36,0)</f>
        <v>#REF!</v>
      </c>
      <c r="F37" s="339" t="e">
        <f>ROUND(F35/(1+E32)^F36,0)</f>
        <v>#REF!</v>
      </c>
      <c r="G37" s="339" t="e">
        <f t="shared" si="31"/>
        <v>#REF!</v>
      </c>
      <c r="H37" s="339" t="e">
        <f t="shared" si="31"/>
        <v>#REF!</v>
      </c>
      <c r="I37" s="339" t="e">
        <f t="shared" si="31"/>
        <v>#REF!</v>
      </c>
      <c r="J37" s="339" t="e">
        <f t="shared" si="31"/>
        <v>#REF!</v>
      </c>
      <c r="K37" s="339" t="e">
        <f t="shared" si="31"/>
        <v>#REF!</v>
      </c>
      <c r="L37" s="339" t="e">
        <f t="shared" ref="L37:R37" si="32">ROUND(L35/(1+L32)^L36,0)</f>
        <v>#REF!</v>
      </c>
      <c r="M37" s="339" t="e">
        <f t="shared" si="32"/>
        <v>#REF!</v>
      </c>
      <c r="N37" s="339" t="e">
        <f t="shared" si="32"/>
        <v>#REF!</v>
      </c>
      <c r="O37" s="339" t="e">
        <f t="shared" si="32"/>
        <v>#REF!</v>
      </c>
      <c r="P37" s="339" t="e">
        <f t="shared" si="32"/>
        <v>#REF!</v>
      </c>
      <c r="Q37" s="339" t="e">
        <f t="shared" si="32"/>
        <v>#REF!</v>
      </c>
      <c r="R37" s="339">
        <f t="shared" si="32"/>
        <v>0</v>
      </c>
      <c r="S37" s="363"/>
      <c r="T37" s="363"/>
      <c r="U37" s="368"/>
      <c r="V37" s="241"/>
      <c r="W37" s="372"/>
    </row>
    <row r="38" spans="1:28">
      <c r="A38" s="229" t="s">
        <v>389</v>
      </c>
      <c r="B38" s="232" t="s">
        <v>85</v>
      </c>
      <c r="C38" s="1070" t="e">
        <f>ROUND(SUM(C37:T37),0)</f>
        <v>#REF!</v>
      </c>
      <c r="D38" s="1071"/>
      <c r="E38" s="1071"/>
      <c r="F38" s="1071"/>
      <c r="G38" s="1071"/>
      <c r="H38" s="1071"/>
      <c r="I38" s="1071"/>
      <c r="J38" s="1071"/>
      <c r="K38" s="1071"/>
      <c r="L38" s="1071"/>
      <c r="M38" s="438"/>
      <c r="N38" s="438"/>
      <c r="O38" s="438"/>
      <c r="P38" s="438"/>
      <c r="Q38" s="364"/>
      <c r="R38" s="364"/>
      <c r="S38" s="364"/>
      <c r="T38" s="364"/>
      <c r="U38" s="364"/>
      <c r="V38" s="364"/>
      <c r="W38" s="364"/>
      <c r="X38" s="364"/>
      <c r="Y38" s="364"/>
      <c r="Z38" s="373"/>
      <c r="AA38" s="368"/>
      <c r="AB38" s="372"/>
    </row>
    <row r="39" spans="1:28">
      <c r="A39" s="229" t="s">
        <v>390</v>
      </c>
      <c r="B39" s="230" t="s">
        <v>83</v>
      </c>
      <c r="C39" s="1061" t="e">
        <f>ROUND(C38*10000/(#REF!+#REF!),0)</f>
        <v>#REF!</v>
      </c>
      <c r="D39" s="1062"/>
      <c r="E39" s="1062"/>
      <c r="F39" s="1062"/>
      <c r="G39" s="1062"/>
      <c r="H39" s="1062"/>
      <c r="I39" s="1062"/>
      <c r="J39" s="1062"/>
      <c r="K39" s="1062"/>
      <c r="L39" s="1062"/>
      <c r="M39" s="345"/>
      <c r="N39" s="345"/>
      <c r="O39" s="345"/>
      <c r="P39" s="345"/>
      <c r="Q39" s="365"/>
      <c r="R39" s="365"/>
      <c r="S39" s="365"/>
      <c r="T39" s="365"/>
      <c r="U39" s="365"/>
      <c r="V39" s="365"/>
      <c r="W39" s="365"/>
      <c r="X39" s="365"/>
      <c r="Y39" s="365"/>
      <c r="Z39" s="375"/>
      <c r="AA39" s="368"/>
      <c r="AB39" s="372"/>
    </row>
    <row r="42" spans="1:28">
      <c r="B42" s="95" t="s">
        <v>391</v>
      </c>
      <c r="C42" s="96">
        <f>ROUND(T4*C19/10000*C43,0)</f>
        <v>18</v>
      </c>
      <c r="D42" s="97"/>
      <c r="E42" s="97"/>
    </row>
    <row r="43" spans="1:28" ht="24">
      <c r="B43" s="98" t="s">
        <v>392</v>
      </c>
      <c r="C43" s="99">
        <v>0.1</v>
      </c>
      <c r="D43" s="98" t="s">
        <v>393</v>
      </c>
      <c r="E43" s="99"/>
    </row>
    <row r="44" spans="1:28">
      <c r="B44" s="1063" t="s">
        <v>394</v>
      </c>
      <c r="C44" s="1064"/>
      <c r="D44" s="1064"/>
      <c r="E44" s="1065"/>
    </row>
    <row r="45" spans="1:28">
      <c r="B45" s="1066" t="s">
        <v>395</v>
      </c>
      <c r="C45" s="1066"/>
      <c r="D45" s="1067" t="s">
        <v>396</v>
      </c>
      <c r="E45" s="1068"/>
    </row>
    <row r="46" spans="1:28">
      <c r="B46" s="95" t="s">
        <v>397</v>
      </c>
      <c r="C46" s="100" t="e">
        <f>C42/C31</f>
        <v>#REF!</v>
      </c>
      <c r="D46" s="101"/>
      <c r="E46" s="100"/>
    </row>
    <row r="47" spans="1:28">
      <c r="B47" s="95" t="s">
        <v>398</v>
      </c>
      <c r="C47" s="100" t="e">
        <f>1-C46</f>
        <v>#REF!</v>
      </c>
      <c r="D47" s="101"/>
      <c r="E47" s="102"/>
    </row>
  </sheetData>
  <mergeCells count="11">
    <mergeCell ref="C39:L39"/>
    <mergeCell ref="B44:E44"/>
    <mergeCell ref="B45:C45"/>
    <mergeCell ref="D45:E45"/>
    <mergeCell ref="A2:B3"/>
    <mergeCell ref="C38:L38"/>
    <mergeCell ref="A1:B1"/>
    <mergeCell ref="A4:B4"/>
    <mergeCell ref="A5:B5"/>
    <mergeCell ref="A6:B6"/>
    <mergeCell ref="S22:T22"/>
  </mergeCells>
  <phoneticPr fontId="97" type="noConversion"/>
  <pageMargins left="0.70833333333333337" right="0.70833333333333337" top="0.74791666666666667" bottom="0.74791666666666667" header="0.31458333333333333" footer="0.31458333333333333"/>
  <pageSetup paperSize="9" scale="4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0"/>
  </sheetPr>
  <dimension ref="B1:N24"/>
  <sheetViews>
    <sheetView view="pageBreakPreview" workbookViewId="0">
      <selection activeCell="A25" sqref="A25:IV40"/>
    </sheetView>
  </sheetViews>
  <sheetFormatPr defaultColWidth="9" defaultRowHeight="13.5"/>
  <cols>
    <col min="1" max="1" width="2.625" style="45" customWidth="1"/>
    <col min="2" max="2" width="6.125" style="46" customWidth="1"/>
    <col min="3" max="3" width="17.875" style="45" customWidth="1"/>
    <col min="4" max="4" width="9.75" style="45" bestFit="1" customWidth="1"/>
    <col min="5" max="5" width="13.25" style="45" customWidth="1"/>
    <col min="6" max="6" width="13" style="45" customWidth="1"/>
    <col min="7" max="7" width="11.875" style="45" customWidth="1"/>
    <col min="8" max="8" width="25" style="45" bestFit="1" customWidth="1"/>
    <col min="9" max="9" width="9" style="45"/>
    <col min="10" max="10" width="10.625" style="45" bestFit="1" customWidth="1"/>
    <col min="11" max="11" width="9.125" style="45" bestFit="1" customWidth="1"/>
    <col min="12" max="16384" width="9" style="45"/>
  </cols>
  <sheetData>
    <row r="1" spans="2:11">
      <c r="B1" s="1077" t="s">
        <v>586</v>
      </c>
      <c r="C1" s="1078"/>
      <c r="D1" s="1078"/>
      <c r="E1" s="1078"/>
      <c r="F1" s="1078"/>
      <c r="G1" s="1078"/>
      <c r="H1" s="1079"/>
    </row>
    <row r="2" spans="2:11">
      <c r="B2" s="1080" t="s">
        <v>400</v>
      </c>
      <c r="C2" s="1080"/>
      <c r="D2" s="1080"/>
      <c r="E2" s="1080"/>
      <c r="F2" s="1080"/>
      <c r="G2" s="1080"/>
      <c r="H2" s="1080"/>
    </row>
    <row r="3" spans="2:11" customFormat="1">
      <c r="B3" s="58" t="s">
        <v>69</v>
      </c>
      <c r="C3" s="59" t="s">
        <v>124</v>
      </c>
      <c r="D3" s="60" t="s">
        <v>82</v>
      </c>
      <c r="E3" s="61" t="s">
        <v>41</v>
      </c>
      <c r="F3" s="61" t="s">
        <v>401</v>
      </c>
      <c r="G3" s="61" t="s">
        <v>402</v>
      </c>
      <c r="H3" s="62"/>
    </row>
    <row r="4" spans="2:11" customFormat="1">
      <c r="B4" s="58">
        <v>1.1000000000000001</v>
      </c>
      <c r="C4" s="63" t="s">
        <v>403</v>
      </c>
      <c r="D4" s="60">
        <f>SUM(D5:D7)</f>
        <v>3500</v>
      </c>
      <c r="E4" s="64">
        <f>SUM(E5:E7)</f>
        <v>1</v>
      </c>
      <c r="F4" s="61"/>
      <c r="G4" s="65"/>
      <c r="H4" s="66"/>
    </row>
    <row r="5" spans="2:11" customFormat="1">
      <c r="B5" s="58" t="str">
        <f>[3]成本法!B42</f>
        <v>1.1.1</v>
      </c>
      <c r="C5" s="66" t="s">
        <v>587</v>
      </c>
      <c r="D5" s="60">
        <f>ROUND(F5*E5,0)</f>
        <v>3500</v>
      </c>
      <c r="E5" s="64">
        <v>1</v>
      </c>
      <c r="F5" s="64">
        <v>3500</v>
      </c>
      <c r="G5" s="65"/>
      <c r="H5" s="66"/>
      <c r="K5" t="e">
        <f>#REF!/E5*10000/365</f>
        <v>#REF!</v>
      </c>
    </row>
    <row r="6" spans="2:11" customFormat="1">
      <c r="B6" s="58" t="str">
        <f>[3]成本法!B43</f>
        <v>1.1.2</v>
      </c>
      <c r="C6" s="66" t="str">
        <f>[3]成本法!C43</f>
        <v>地下非配套公建</v>
      </c>
      <c r="D6" s="60">
        <f>ROUND(F6*E6/10000,0)</f>
        <v>0</v>
      </c>
      <c r="E6" s="64">
        <f>[3]成本法!E43</f>
        <v>0</v>
      </c>
      <c r="F6" s="64">
        <f>[3]成本法!F43</f>
        <v>0</v>
      </c>
      <c r="G6" s="65"/>
      <c r="H6" s="66"/>
    </row>
    <row r="7" spans="2:11" customFormat="1">
      <c r="B7" s="58" t="str">
        <f>[3]成本法!B44</f>
        <v>1.1.3</v>
      </c>
      <c r="C7" s="66" t="str">
        <f>[3]成本法!C44</f>
        <v>地下车库及其他用房</v>
      </c>
      <c r="D7" s="60">
        <f>ROUND(F7*E7/10000,0)</f>
        <v>0</v>
      </c>
      <c r="E7" s="64">
        <f>[3]成本法!E44</f>
        <v>0</v>
      </c>
      <c r="F7" s="64">
        <f>[3]成本法!F44</f>
        <v>0</v>
      </c>
      <c r="G7" s="65"/>
      <c r="H7" s="66"/>
    </row>
    <row r="8" spans="2:11" customFormat="1">
      <c r="B8" s="58">
        <v>1.2</v>
      </c>
      <c r="C8" s="63" t="s">
        <v>404</v>
      </c>
      <c r="D8" s="60">
        <f>ROUND(D4*G8,0)</f>
        <v>175</v>
      </c>
      <c r="E8" s="67"/>
      <c r="F8" s="67"/>
      <c r="G8" s="65">
        <f>'建筑（住）'!G8</f>
        <v>0.05</v>
      </c>
      <c r="H8" s="66" t="s">
        <v>405</v>
      </c>
    </row>
    <row r="9" spans="2:11" customFormat="1">
      <c r="B9" s="58">
        <v>1.3</v>
      </c>
      <c r="C9" s="63" t="s">
        <v>406</v>
      </c>
      <c r="D9" s="60">
        <f>ROUND(D4*G9,0)</f>
        <v>0</v>
      </c>
      <c r="E9" s="67"/>
      <c r="F9" s="67"/>
      <c r="G9" s="65">
        <v>0</v>
      </c>
      <c r="H9" s="66" t="s">
        <v>407</v>
      </c>
    </row>
    <row r="10" spans="2:11" customFormat="1">
      <c r="B10" s="58">
        <v>1.4</v>
      </c>
      <c r="C10" s="63" t="s">
        <v>408</v>
      </c>
      <c r="D10" s="60">
        <f>ROUND(F10*E10,0)</f>
        <v>200</v>
      </c>
      <c r="E10" s="64">
        <f>E4</f>
        <v>1</v>
      </c>
      <c r="F10" s="61">
        <v>200</v>
      </c>
      <c r="G10" s="63"/>
      <c r="H10" s="66" t="s">
        <v>409</v>
      </c>
    </row>
    <row r="11" spans="2:11" customFormat="1">
      <c r="B11" s="58">
        <v>1.5</v>
      </c>
      <c r="C11" s="63" t="s">
        <v>410</v>
      </c>
      <c r="D11" s="60">
        <f>ROUND(D4*G11,0)</f>
        <v>53</v>
      </c>
      <c r="E11" s="67"/>
      <c r="F11" s="67"/>
      <c r="G11" s="68">
        <f>'建筑（住）'!G11</f>
        <v>1.4999999999999999E-2</v>
      </c>
      <c r="H11" s="66" t="s">
        <v>411</v>
      </c>
    </row>
    <row r="12" spans="2:11" customFormat="1">
      <c r="B12" s="58">
        <v>1</v>
      </c>
      <c r="C12" s="63" t="s">
        <v>412</v>
      </c>
      <c r="D12" s="60">
        <f>SUM(D5:D11)</f>
        <v>3928</v>
      </c>
      <c r="E12" s="63"/>
      <c r="F12" s="67"/>
      <c r="G12" s="67"/>
      <c r="H12" s="69" t="s">
        <v>413</v>
      </c>
    </row>
    <row r="13" spans="2:11" customFormat="1">
      <c r="B13" s="58">
        <v>2</v>
      </c>
      <c r="C13" s="63" t="s">
        <v>373</v>
      </c>
      <c r="D13" s="60">
        <f>ROUND(D12*G13,0)</f>
        <v>118</v>
      </c>
      <c r="E13" s="70"/>
      <c r="F13" s="70"/>
      <c r="G13" s="71">
        <f>'建筑（住）'!G13</f>
        <v>0.03</v>
      </c>
      <c r="H13" s="66" t="s">
        <v>414</v>
      </c>
    </row>
    <row r="14" spans="2:11" customFormat="1">
      <c r="B14" s="58">
        <v>3</v>
      </c>
      <c r="C14" s="63" t="s">
        <v>415</v>
      </c>
      <c r="D14" s="60" t="s">
        <v>281</v>
      </c>
      <c r="E14" s="67"/>
      <c r="F14" s="67"/>
      <c r="G14" s="71">
        <f>'建筑（住）'!G14</f>
        <v>0.03</v>
      </c>
      <c r="H14" s="66" t="s">
        <v>416</v>
      </c>
    </row>
    <row r="15" spans="2:11" customFormat="1">
      <c r="B15" s="58">
        <v>4</v>
      </c>
      <c r="C15" s="72" t="s">
        <v>417</v>
      </c>
      <c r="D15" s="1081"/>
      <c r="E15" s="1082"/>
      <c r="F15" s="1082"/>
      <c r="G15" s="1082"/>
      <c r="H15" s="1083"/>
    </row>
    <row r="16" spans="2:11" customFormat="1" ht="24">
      <c r="B16" s="58">
        <v>4.0999999999999996</v>
      </c>
      <c r="C16" s="63" t="s">
        <v>420</v>
      </c>
      <c r="D16" s="60">
        <f>ROUND((D12+D13)*G16*G17/2,0)</f>
        <v>373</v>
      </c>
      <c r="E16" s="63"/>
      <c r="F16" s="67"/>
      <c r="G16" s="149">
        <f>[3]成本法!G53</f>
        <v>6.1499999999999999E-2</v>
      </c>
      <c r="H16" s="67" t="s">
        <v>421</v>
      </c>
      <c r="I16" s="103" t="s">
        <v>418</v>
      </c>
      <c r="J16" s="104">
        <v>0</v>
      </c>
      <c r="K16" s="1074" t="s">
        <v>419</v>
      </c>
    </row>
    <row r="17" spans="2:14" customFormat="1" ht="24">
      <c r="B17" s="58">
        <v>4.2</v>
      </c>
      <c r="C17" s="63" t="s">
        <v>423</v>
      </c>
      <c r="D17" s="74">
        <f>ROUND(G14*G17*G16/2,4)</f>
        <v>2.8E-3</v>
      </c>
      <c r="E17" s="63"/>
      <c r="F17" s="67"/>
      <c r="G17" s="150">
        <v>3</v>
      </c>
      <c r="H17" s="67" t="s">
        <v>424</v>
      </c>
      <c r="I17" s="103" t="s">
        <v>422</v>
      </c>
      <c r="J17" s="106">
        <v>14</v>
      </c>
      <c r="K17" s="1075"/>
    </row>
    <row r="18" spans="2:14" customFormat="1" ht="24">
      <c r="B18" s="58">
        <v>5</v>
      </c>
      <c r="C18" s="72" t="s">
        <v>426</v>
      </c>
      <c r="D18" s="1081"/>
      <c r="E18" s="1082"/>
      <c r="F18" s="1082"/>
      <c r="G18" s="1082"/>
      <c r="H18" s="1083"/>
      <c r="I18" s="103" t="s">
        <v>425</v>
      </c>
      <c r="J18" s="106">
        <v>60</v>
      </c>
      <c r="K18" s="1075"/>
    </row>
    <row r="19" spans="2:14" customFormat="1">
      <c r="B19" s="58">
        <v>5.0999999999999996</v>
      </c>
      <c r="C19" s="63" t="s">
        <v>428</v>
      </c>
      <c r="D19" s="60">
        <f>ROUND((D12+D13)*G19,0)</f>
        <v>1214</v>
      </c>
      <c r="E19" s="63"/>
      <c r="F19" s="67"/>
      <c r="G19" s="1072">
        <v>0.3</v>
      </c>
      <c r="H19" s="67" t="s">
        <v>429</v>
      </c>
      <c r="I19" s="108" t="s">
        <v>427</v>
      </c>
      <c r="J19" s="109">
        <f>ROUND(1-(1-J16)*J17/J18,2)</f>
        <v>0.77</v>
      </c>
      <c r="K19" s="1076"/>
    </row>
    <row r="20" spans="2:14" customFormat="1">
      <c r="B20" s="58">
        <v>5.2</v>
      </c>
      <c r="C20" s="63" t="s">
        <v>430</v>
      </c>
      <c r="D20" s="74">
        <f>ROUND(G14*G19,4)</f>
        <v>8.9999999999999993E-3</v>
      </c>
      <c r="E20" s="63"/>
      <c r="F20" s="67"/>
      <c r="G20" s="1073"/>
      <c r="H20" s="67" t="s">
        <v>431</v>
      </c>
    </row>
    <row r="21" spans="2:14" customFormat="1">
      <c r="B21" s="58">
        <v>6</v>
      </c>
      <c r="C21" s="72" t="s">
        <v>432</v>
      </c>
      <c r="D21" s="60" t="s">
        <v>281</v>
      </c>
      <c r="E21" s="59"/>
      <c r="F21" s="59"/>
      <c r="G21" s="71">
        <f>'建筑（住）'!G21</f>
        <v>5.6000000000000001E-2</v>
      </c>
      <c r="H21" s="66" t="s">
        <v>433</v>
      </c>
    </row>
    <row r="22" spans="2:14" customFormat="1">
      <c r="B22" s="58">
        <v>7</v>
      </c>
      <c r="C22" s="72" t="s">
        <v>434</v>
      </c>
      <c r="D22" s="60">
        <f>ROUND((D12+D13+D16+D19)/(1-G14-D17-D20-G21),0)</f>
        <v>6244</v>
      </c>
      <c r="E22" s="72"/>
      <c r="F22" s="72"/>
      <c r="G22" s="76"/>
      <c r="H22" s="66" t="s">
        <v>435</v>
      </c>
    </row>
    <row r="23" spans="2:14" customFormat="1">
      <c r="B23" s="58">
        <v>8</v>
      </c>
      <c r="C23" s="72" t="s">
        <v>436</v>
      </c>
      <c r="D23" s="60" t="s">
        <v>281</v>
      </c>
      <c r="E23" s="59"/>
      <c r="F23" s="59"/>
      <c r="G23" s="77">
        <f>J19</f>
        <v>0.77</v>
      </c>
      <c r="H23" s="66"/>
      <c r="J23" s="45"/>
      <c r="K23" s="45"/>
      <c r="L23" s="45"/>
      <c r="N23" s="105"/>
    </row>
    <row r="24" spans="2:14" customFormat="1">
      <c r="B24" s="58">
        <v>9</v>
      </c>
      <c r="C24" s="72" t="s">
        <v>103</v>
      </c>
      <c r="D24" s="60">
        <f>ROUND(D22*G23,0)</f>
        <v>4808</v>
      </c>
      <c r="E24" s="59"/>
      <c r="F24" s="59"/>
      <c r="G24" s="71"/>
      <c r="H24" s="66" t="s">
        <v>437</v>
      </c>
      <c r="J24" s="45"/>
      <c r="K24" s="45"/>
      <c r="L24" s="45"/>
      <c r="N24" s="107"/>
    </row>
  </sheetData>
  <mergeCells count="6">
    <mergeCell ref="K16:K19"/>
    <mergeCell ref="B1:H1"/>
    <mergeCell ref="B2:H2"/>
    <mergeCell ref="D15:H15"/>
    <mergeCell ref="D18:H18"/>
    <mergeCell ref="G19:G20"/>
  </mergeCells>
  <phoneticPr fontId="97" type="noConversion"/>
  <pageMargins left="0.69861111111111107" right="0.69861111111111107" top="0.75" bottom="0.75" header="0.3" footer="0.3"/>
  <pageSetup paperSize="9" scale="65" orientation="portrait"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0"/>
  </sheetPr>
  <dimension ref="A1:S59"/>
  <sheetViews>
    <sheetView topLeftCell="A25" workbookViewId="0">
      <selection activeCell="S48" sqref="S48"/>
    </sheetView>
  </sheetViews>
  <sheetFormatPr defaultColWidth="9" defaultRowHeight="13.5"/>
  <cols>
    <col min="1" max="10" width="9" style="383"/>
    <col min="11" max="11" width="11.125" style="383" bestFit="1" customWidth="1"/>
    <col min="12" max="12" width="9.625" style="383" bestFit="1" customWidth="1"/>
    <col min="13" max="13" width="9" style="383"/>
    <col min="14" max="14" width="13.125" style="383" bestFit="1" customWidth="1"/>
    <col min="15" max="15" width="9" style="383"/>
    <col min="16" max="16" width="9.625" style="383" bestFit="1" customWidth="1"/>
    <col min="17" max="16384" width="9" style="383"/>
  </cols>
  <sheetData>
    <row r="1" spans="1:19" s="378" customFormat="1" ht="14.45" customHeight="1">
      <c r="A1" s="384"/>
      <c r="B1" s="384" t="s">
        <v>588</v>
      </c>
      <c r="C1" s="385" t="s">
        <v>589</v>
      </c>
      <c r="D1" s="385" t="s">
        <v>590</v>
      </c>
      <c r="E1" s="385" t="s">
        <v>591</v>
      </c>
      <c r="F1" s="1085" t="s">
        <v>592</v>
      </c>
      <c r="G1" s="1087" t="s">
        <v>592</v>
      </c>
      <c r="H1" s="1087" t="s">
        <v>593</v>
      </c>
      <c r="I1" s="1085" t="s">
        <v>594</v>
      </c>
      <c r="J1" s="1087" t="s">
        <v>595</v>
      </c>
      <c r="K1" s="1085" t="s">
        <v>596</v>
      </c>
      <c r="L1" s="1087" t="s">
        <v>596</v>
      </c>
      <c r="M1" s="1087" t="s">
        <v>597</v>
      </c>
      <c r="N1" s="386" t="s">
        <v>598</v>
      </c>
      <c r="O1" s="416"/>
      <c r="P1" s="1087" t="s">
        <v>599</v>
      </c>
      <c r="Q1" s="424" t="s">
        <v>600</v>
      </c>
      <c r="R1" s="1091" t="s">
        <v>601</v>
      </c>
      <c r="S1" s="1092"/>
    </row>
    <row r="2" spans="1:19" s="379" customFormat="1" ht="30" customHeight="1">
      <c r="A2" s="387"/>
      <c r="B2" s="387"/>
      <c r="C2" s="379" t="s">
        <v>602</v>
      </c>
      <c r="D2" s="379" t="s">
        <v>602</v>
      </c>
      <c r="E2" s="379" t="s">
        <v>602</v>
      </c>
      <c r="F2" s="1093"/>
      <c r="G2" s="1094"/>
      <c r="H2" s="1094"/>
      <c r="I2" s="1093"/>
      <c r="J2" s="1094"/>
      <c r="K2" s="1093"/>
      <c r="L2" s="1094"/>
      <c r="M2" s="1094"/>
      <c r="N2" s="388" t="s">
        <v>603</v>
      </c>
      <c r="O2" s="417"/>
      <c r="P2" s="1094"/>
      <c r="Q2" s="425" t="s">
        <v>604</v>
      </c>
      <c r="R2" s="426" t="s">
        <v>152</v>
      </c>
      <c r="S2" s="427" t="s">
        <v>153</v>
      </c>
    </row>
    <row r="3" spans="1:19" s="379" customFormat="1" ht="45.75" customHeight="1">
      <c r="A3" s="389"/>
      <c r="B3" s="389"/>
      <c r="C3" s="390"/>
      <c r="D3" s="391"/>
      <c r="E3" s="391"/>
      <c r="F3" s="1086"/>
      <c r="G3" s="1088"/>
      <c r="H3" s="1088"/>
      <c r="I3" s="1086"/>
      <c r="J3" s="1088"/>
      <c r="K3" s="1086"/>
      <c r="L3" s="1088"/>
      <c r="M3" s="1088"/>
      <c r="N3" s="392" t="s">
        <v>466</v>
      </c>
      <c r="O3" s="418" t="s">
        <v>452</v>
      </c>
      <c r="P3" s="1088"/>
      <c r="Q3" s="428"/>
      <c r="R3" s="426"/>
      <c r="S3" s="427"/>
    </row>
    <row r="4" spans="1:19" s="379" customFormat="1" ht="14.45" customHeight="1">
      <c r="A4" s="393"/>
      <c r="B4" s="393"/>
      <c r="C4" s="394" t="s">
        <v>605</v>
      </c>
      <c r="D4" s="394" t="s">
        <v>605</v>
      </c>
      <c r="E4" s="394" t="s">
        <v>605</v>
      </c>
      <c r="F4" s="394" t="s">
        <v>606</v>
      </c>
      <c r="G4" s="394" t="s">
        <v>607</v>
      </c>
      <c r="H4" s="394" t="s">
        <v>155</v>
      </c>
      <c r="I4" s="419" t="s">
        <v>156</v>
      </c>
      <c r="J4" s="394" t="s">
        <v>155</v>
      </c>
      <c r="K4" s="394" t="s">
        <v>156</v>
      </c>
      <c r="L4" s="394" t="s">
        <v>155</v>
      </c>
      <c r="M4" s="394" t="s">
        <v>155</v>
      </c>
      <c r="N4" s="394" t="s">
        <v>156</v>
      </c>
      <c r="O4" s="420"/>
      <c r="P4" s="394" t="s">
        <v>155</v>
      </c>
      <c r="Q4" s="394"/>
      <c r="R4" s="426"/>
      <c r="S4" s="427"/>
    </row>
    <row r="5" spans="1:19" s="380" customFormat="1" ht="15" customHeight="1">
      <c r="A5" s="395" t="s">
        <v>608</v>
      </c>
      <c r="B5" s="396" t="s">
        <v>609</v>
      </c>
      <c r="C5" s="397">
        <v>1883.08</v>
      </c>
      <c r="D5" s="398">
        <f t="shared" ref="D5:D10" si="0">C5</f>
        <v>1883.08</v>
      </c>
      <c r="E5" s="398"/>
      <c r="F5" s="399">
        <v>122</v>
      </c>
      <c r="G5" s="398">
        <f t="shared" ref="G5:G22" si="1">F5/6.2</f>
        <v>19.677419354838708</v>
      </c>
      <c r="H5" s="398">
        <f t="shared" ref="H5:H12" si="2">M5/D5</f>
        <v>16.233870967741932</v>
      </c>
      <c r="I5" s="398">
        <f t="shared" ref="I5:I22" si="3">N5/D5</f>
        <v>100.64999999999998</v>
      </c>
      <c r="J5" s="398">
        <f t="shared" ref="J5:J9" si="4">28/8</f>
        <v>3.5</v>
      </c>
      <c r="K5" s="397">
        <f t="shared" ref="K5:K22" si="5">D5*F5</f>
        <v>229735.75999999998</v>
      </c>
      <c r="L5" s="397">
        <f t="shared" ref="L5:L9" si="6">D5*G5</f>
        <v>37054.15483870967</v>
      </c>
      <c r="M5" s="397">
        <f>L5*(33)/40</f>
        <v>30569.677741935477</v>
      </c>
      <c r="N5" s="397">
        <f t="shared" ref="N5:N22" si="7">M5*6.2</f>
        <v>189532.00199999995</v>
      </c>
      <c r="O5" s="421">
        <f>N5/D5/30</f>
        <v>3.3549999999999991</v>
      </c>
      <c r="P5" s="397">
        <f t="shared" ref="P5:P10" si="8">D5*J5</f>
        <v>6590.78</v>
      </c>
      <c r="Q5" s="396" t="s">
        <v>610</v>
      </c>
      <c r="R5" s="429">
        <v>40432</v>
      </c>
      <c r="S5" s="430">
        <v>41649</v>
      </c>
    </row>
    <row r="6" spans="1:19" s="380" customFormat="1" ht="15" customHeight="1">
      <c r="A6" s="400" t="s">
        <v>611</v>
      </c>
      <c r="B6" s="400" t="s">
        <v>612</v>
      </c>
      <c r="C6" s="397">
        <v>901.98</v>
      </c>
      <c r="D6" s="398">
        <f t="shared" si="0"/>
        <v>901.98</v>
      </c>
      <c r="E6" s="398" t="s">
        <v>466</v>
      </c>
      <c r="F6" s="398">
        <v>132</v>
      </c>
      <c r="G6" s="398">
        <f t="shared" si="1"/>
        <v>21.29032258064516</v>
      </c>
      <c r="H6" s="401">
        <f t="shared" ref="H6:H8" si="9">M6/C6</f>
        <v>19.516129032258064</v>
      </c>
      <c r="I6" s="398">
        <f t="shared" si="3"/>
        <v>121.00000000000001</v>
      </c>
      <c r="J6" s="398">
        <f t="shared" si="4"/>
        <v>3.5</v>
      </c>
      <c r="K6" s="398">
        <f t="shared" si="5"/>
        <v>119061.36</v>
      </c>
      <c r="L6" s="398">
        <f t="shared" si="6"/>
        <v>19203.445161290321</v>
      </c>
      <c r="M6" s="398">
        <f t="shared" ref="M6:M8" si="10">L6*(36-3)/36</f>
        <v>17603.15806451613</v>
      </c>
      <c r="N6" s="398">
        <f t="shared" si="7"/>
        <v>109139.58000000002</v>
      </c>
      <c r="O6" s="422">
        <f t="shared" ref="O6:O13" si="11">N6/30/D6</f>
        <v>4.0333333333333332</v>
      </c>
      <c r="P6" s="398">
        <f t="shared" si="8"/>
        <v>3156.9300000000003</v>
      </c>
      <c r="Q6" s="396" t="s">
        <v>465</v>
      </c>
      <c r="R6" s="429">
        <v>40568</v>
      </c>
      <c r="S6" s="430">
        <v>41663</v>
      </c>
    </row>
    <row r="7" spans="1:19" s="380" customFormat="1" ht="15" customHeight="1">
      <c r="A7" s="400" t="s">
        <v>613</v>
      </c>
      <c r="B7" s="400">
        <v>1209</v>
      </c>
      <c r="C7" s="397">
        <f>1055.45-C6</f>
        <v>153.47000000000003</v>
      </c>
      <c r="D7" s="398">
        <f t="shared" si="0"/>
        <v>153.47000000000003</v>
      </c>
      <c r="E7" s="398" t="s">
        <v>466</v>
      </c>
      <c r="F7" s="398">
        <v>132</v>
      </c>
      <c r="G7" s="398">
        <f t="shared" si="1"/>
        <v>21.29032258064516</v>
      </c>
      <c r="H7" s="401">
        <f t="shared" si="9"/>
        <v>19.516129032258064</v>
      </c>
      <c r="I7" s="398">
        <f t="shared" si="3"/>
        <v>121</v>
      </c>
      <c r="J7" s="398">
        <f t="shared" si="4"/>
        <v>3.5</v>
      </c>
      <c r="K7" s="398">
        <f t="shared" si="5"/>
        <v>20258.040000000005</v>
      </c>
      <c r="L7" s="398">
        <f t="shared" si="6"/>
        <v>3267.4258064516134</v>
      </c>
      <c r="M7" s="398">
        <f t="shared" si="10"/>
        <v>2995.1403225806457</v>
      </c>
      <c r="N7" s="398">
        <f t="shared" si="7"/>
        <v>18569.870000000003</v>
      </c>
      <c r="O7" s="422">
        <f t="shared" si="11"/>
        <v>4.0333333333333332</v>
      </c>
      <c r="P7" s="398">
        <f t="shared" si="8"/>
        <v>537.1450000000001</v>
      </c>
      <c r="Q7" s="396" t="s">
        <v>465</v>
      </c>
      <c r="R7" s="429">
        <v>40568</v>
      </c>
      <c r="S7" s="430">
        <v>41663</v>
      </c>
    </row>
    <row r="8" spans="1:19" s="380" customFormat="1" ht="15" customHeight="1">
      <c r="A8" s="400" t="s">
        <v>614</v>
      </c>
      <c r="B8" s="400" t="s">
        <v>615</v>
      </c>
      <c r="C8" s="397">
        <v>1055.45</v>
      </c>
      <c r="D8" s="398">
        <f t="shared" si="0"/>
        <v>1055.45</v>
      </c>
      <c r="E8" s="398" t="s">
        <v>466</v>
      </c>
      <c r="F8" s="398">
        <v>145</v>
      </c>
      <c r="G8" s="398">
        <f t="shared" si="1"/>
        <v>23.387096774193548</v>
      </c>
      <c r="H8" s="401">
        <f t="shared" si="9"/>
        <v>21.438172043010752</v>
      </c>
      <c r="I8" s="398">
        <f t="shared" si="3"/>
        <v>132.91666666666666</v>
      </c>
      <c r="J8" s="398">
        <f t="shared" si="4"/>
        <v>3.5</v>
      </c>
      <c r="K8" s="398">
        <f t="shared" si="5"/>
        <v>153040.25</v>
      </c>
      <c r="L8" s="398">
        <f t="shared" si="6"/>
        <v>24683.91129032258</v>
      </c>
      <c r="M8" s="398">
        <f t="shared" si="10"/>
        <v>22626.918682795698</v>
      </c>
      <c r="N8" s="398">
        <f t="shared" si="7"/>
        <v>140286.89583333334</v>
      </c>
      <c r="O8" s="422">
        <f t="shared" si="11"/>
        <v>4.4305555555555562</v>
      </c>
      <c r="P8" s="398">
        <f t="shared" si="8"/>
        <v>3694.0750000000003</v>
      </c>
      <c r="Q8" s="396" t="s">
        <v>465</v>
      </c>
      <c r="R8" s="429">
        <v>40589</v>
      </c>
      <c r="S8" s="430">
        <v>41684</v>
      </c>
    </row>
    <row r="9" spans="1:19" s="380" customFormat="1" ht="15" customHeight="1">
      <c r="A9" s="400" t="s">
        <v>616</v>
      </c>
      <c r="B9" s="400" t="s">
        <v>617</v>
      </c>
      <c r="C9" s="397">
        <v>153.47</v>
      </c>
      <c r="D9" s="398">
        <f t="shared" si="0"/>
        <v>153.47</v>
      </c>
      <c r="E9" s="398"/>
      <c r="F9" s="398">
        <v>280</v>
      </c>
      <c r="G9" s="398">
        <f t="shared" si="1"/>
        <v>45.161290322580641</v>
      </c>
      <c r="H9" s="401">
        <f t="shared" si="2"/>
        <v>45.161290322580641</v>
      </c>
      <c r="I9" s="398">
        <f t="shared" si="3"/>
        <v>280</v>
      </c>
      <c r="J9" s="398">
        <f t="shared" si="4"/>
        <v>3.5</v>
      </c>
      <c r="K9" s="398">
        <f t="shared" si="5"/>
        <v>42971.6</v>
      </c>
      <c r="L9" s="398">
        <f t="shared" si="6"/>
        <v>6930.9032258064508</v>
      </c>
      <c r="M9" s="398">
        <f>L9*(24)/24</f>
        <v>6930.9032258064508</v>
      </c>
      <c r="N9" s="398">
        <f t="shared" si="7"/>
        <v>42971.6</v>
      </c>
      <c r="O9" s="422">
        <f t="shared" si="11"/>
        <v>9.3333333333333321</v>
      </c>
      <c r="P9" s="398">
        <f t="shared" si="8"/>
        <v>537.14499999999998</v>
      </c>
      <c r="Q9" s="396" t="s">
        <v>186</v>
      </c>
      <c r="R9" s="429">
        <v>40969</v>
      </c>
      <c r="S9" s="430">
        <v>41698</v>
      </c>
    </row>
    <row r="10" spans="1:19" s="380" customFormat="1" ht="15" customHeight="1">
      <c r="A10" s="400" t="s">
        <v>618</v>
      </c>
      <c r="B10" s="400" t="s">
        <v>619</v>
      </c>
      <c r="C10" s="397">
        <v>565.28</v>
      </c>
      <c r="D10" s="398">
        <f t="shared" si="0"/>
        <v>565.28</v>
      </c>
      <c r="E10" s="398"/>
      <c r="F10" s="398">
        <v>152</v>
      </c>
      <c r="G10" s="398">
        <f t="shared" si="1"/>
        <v>24.516129032258064</v>
      </c>
      <c r="H10" s="401">
        <f t="shared" si="2"/>
        <v>22.473118279569896</v>
      </c>
      <c r="I10" s="398">
        <f t="shared" si="3"/>
        <v>139.33333333333334</v>
      </c>
      <c r="J10" s="398">
        <v>3.5</v>
      </c>
      <c r="K10" s="398">
        <f t="shared" si="5"/>
        <v>85922.559999999998</v>
      </c>
      <c r="L10" s="398">
        <f t="shared" ref="L10:L12" si="12">G10*D10</f>
        <v>13858.477419354838</v>
      </c>
      <c r="M10" s="398">
        <f>L10*33/36</f>
        <v>12703.604301075269</v>
      </c>
      <c r="N10" s="398">
        <f t="shared" si="7"/>
        <v>78762.346666666665</v>
      </c>
      <c r="O10" s="422">
        <f t="shared" si="11"/>
        <v>4.6444444444444448</v>
      </c>
      <c r="P10" s="398">
        <f t="shared" si="8"/>
        <v>1978.48</v>
      </c>
      <c r="Q10" s="396" t="s">
        <v>465</v>
      </c>
      <c r="R10" s="429">
        <v>40589</v>
      </c>
      <c r="S10" s="430">
        <v>41684</v>
      </c>
    </row>
    <row r="11" spans="1:19" s="381" customFormat="1" ht="18" customHeight="1">
      <c r="A11" s="402" t="s">
        <v>620</v>
      </c>
      <c r="B11" s="402" t="s">
        <v>621</v>
      </c>
      <c r="C11" s="397">
        <f>4934.86-117-20</f>
        <v>4797.8599999999997</v>
      </c>
      <c r="D11" s="398">
        <f>4934.86-84-117+7.5-50+30+84</f>
        <v>4805.3599999999997</v>
      </c>
      <c r="E11" s="398" t="s">
        <v>466</v>
      </c>
      <c r="F11" s="403">
        <v>130</v>
      </c>
      <c r="G11" s="398">
        <f t="shared" si="1"/>
        <v>20.967741935483872</v>
      </c>
      <c r="H11" s="403">
        <f t="shared" si="2"/>
        <v>17.473118279569896</v>
      </c>
      <c r="I11" s="398">
        <f t="shared" si="3"/>
        <v>108.33333333333334</v>
      </c>
      <c r="J11" s="398">
        <f t="shared" ref="J11:J15" si="13">28/8</f>
        <v>3.5</v>
      </c>
      <c r="K11" s="398">
        <f t="shared" si="5"/>
        <v>624696.79999999993</v>
      </c>
      <c r="L11" s="398">
        <f t="shared" si="12"/>
        <v>100757.54838709677</v>
      </c>
      <c r="M11" s="398">
        <f>L11*30/36</f>
        <v>83964.62365591398</v>
      </c>
      <c r="N11" s="398">
        <f t="shared" si="7"/>
        <v>520580.66666666669</v>
      </c>
      <c r="O11" s="422">
        <f t="shared" si="11"/>
        <v>3.6111111111111116</v>
      </c>
      <c r="P11" s="398">
        <f>J11*D11</f>
        <v>16818.759999999998</v>
      </c>
      <c r="Q11" s="396" t="s">
        <v>465</v>
      </c>
      <c r="R11" s="430">
        <v>40582</v>
      </c>
      <c r="S11" s="429">
        <v>41677</v>
      </c>
    </row>
    <row r="12" spans="1:19" s="381" customFormat="1" ht="12.75">
      <c r="A12" s="404" t="s">
        <v>622</v>
      </c>
      <c r="B12" s="404" t="s">
        <v>623</v>
      </c>
      <c r="C12" s="403">
        <f>117+20</f>
        <v>137</v>
      </c>
      <c r="D12" s="398">
        <f t="shared" ref="D12:D18" si="14">C12</f>
        <v>137</v>
      </c>
      <c r="E12" s="398"/>
      <c r="F12" s="403">
        <v>130</v>
      </c>
      <c r="G12" s="398">
        <f t="shared" si="1"/>
        <v>20.967741935483872</v>
      </c>
      <c r="H12" s="403">
        <f t="shared" si="2"/>
        <v>17.473118279569892</v>
      </c>
      <c r="I12" s="398">
        <f t="shared" si="3"/>
        <v>108.33333333333334</v>
      </c>
      <c r="J12" s="398">
        <f t="shared" si="13"/>
        <v>3.5</v>
      </c>
      <c r="K12" s="398">
        <f t="shared" si="5"/>
        <v>17810</v>
      </c>
      <c r="L12" s="398">
        <f t="shared" si="12"/>
        <v>2872.5806451612902</v>
      </c>
      <c r="M12" s="398">
        <f>L12*30/36</f>
        <v>2393.8172043010754</v>
      </c>
      <c r="N12" s="398">
        <f t="shared" si="7"/>
        <v>14841.666666666668</v>
      </c>
      <c r="O12" s="422">
        <f t="shared" si="11"/>
        <v>3.6111111111111116</v>
      </c>
      <c r="P12" s="398">
        <f>J12*D12</f>
        <v>479.5</v>
      </c>
      <c r="Q12" s="396" t="s">
        <v>465</v>
      </c>
      <c r="R12" s="431">
        <v>40582</v>
      </c>
      <c r="S12" s="429">
        <v>41677</v>
      </c>
    </row>
    <row r="13" spans="1:19" s="380" customFormat="1" ht="15" customHeight="1">
      <c r="A13" s="400" t="s">
        <v>624</v>
      </c>
      <c r="B13" s="400" t="s">
        <v>625</v>
      </c>
      <c r="C13" s="397">
        <v>248.13</v>
      </c>
      <c r="D13" s="398">
        <f t="shared" si="14"/>
        <v>248.13</v>
      </c>
      <c r="E13" s="398" t="s">
        <v>466</v>
      </c>
      <c r="F13" s="398">
        <v>142</v>
      </c>
      <c r="G13" s="398">
        <f t="shared" si="1"/>
        <v>22.903225806451612</v>
      </c>
      <c r="H13" s="401">
        <f>M13/C13</f>
        <v>22.903225806451612</v>
      </c>
      <c r="I13" s="398">
        <f t="shared" si="3"/>
        <v>142</v>
      </c>
      <c r="J13" s="398">
        <f t="shared" si="13"/>
        <v>3.5</v>
      </c>
      <c r="K13" s="398">
        <f t="shared" si="5"/>
        <v>35234.46</v>
      </c>
      <c r="L13" s="398">
        <f t="shared" ref="L13:L15" si="15">D13*G13</f>
        <v>5682.9774193548383</v>
      </c>
      <c r="M13" s="398">
        <f>L13*(36-0)/36</f>
        <v>5682.9774193548383</v>
      </c>
      <c r="N13" s="398">
        <f t="shared" si="7"/>
        <v>35234.46</v>
      </c>
      <c r="O13" s="422">
        <f t="shared" si="11"/>
        <v>4.7333333333333334</v>
      </c>
      <c r="P13" s="398">
        <f t="shared" ref="P13:P22" si="16">D13*J13</f>
        <v>868.45499999999993</v>
      </c>
      <c r="Q13" s="396" t="s">
        <v>465</v>
      </c>
      <c r="R13" s="429">
        <v>40589</v>
      </c>
      <c r="S13" s="430">
        <v>41684</v>
      </c>
    </row>
    <row r="14" spans="1:19" s="380" customFormat="1" ht="15" customHeight="1">
      <c r="A14" s="395" t="s">
        <v>626</v>
      </c>
      <c r="B14" s="396" t="s">
        <v>627</v>
      </c>
      <c r="C14" s="397">
        <v>408.19</v>
      </c>
      <c r="D14" s="398">
        <v>367.36</v>
      </c>
      <c r="E14" s="398" t="s">
        <v>466</v>
      </c>
      <c r="F14" s="399">
        <v>110</v>
      </c>
      <c r="G14" s="398">
        <f t="shared" si="1"/>
        <v>17.741935483870968</v>
      </c>
      <c r="H14" s="398">
        <f t="shared" ref="H14:H19" si="17">M14/D14</f>
        <v>16.263440860215056</v>
      </c>
      <c r="I14" s="398">
        <f t="shared" si="3"/>
        <v>100.83333333333334</v>
      </c>
      <c r="J14" s="398">
        <f t="shared" si="13"/>
        <v>3.5</v>
      </c>
      <c r="K14" s="397">
        <f t="shared" si="5"/>
        <v>40409.599999999999</v>
      </c>
      <c r="L14" s="397">
        <f t="shared" si="15"/>
        <v>6517.677419354839</v>
      </c>
      <c r="M14" s="397">
        <f>L14*(33)/36</f>
        <v>5974.5376344086026</v>
      </c>
      <c r="N14" s="397">
        <f t="shared" si="7"/>
        <v>37042.133333333339</v>
      </c>
      <c r="O14" s="421">
        <f>N14/D14/30</f>
        <v>3.3611111111111116</v>
      </c>
      <c r="P14" s="397">
        <f t="shared" si="16"/>
        <v>1285.76</v>
      </c>
      <c r="Q14" s="396" t="s">
        <v>465</v>
      </c>
      <c r="R14" s="429">
        <v>40634</v>
      </c>
      <c r="S14" s="430">
        <v>41729</v>
      </c>
    </row>
    <row r="15" spans="1:19" s="380" customFormat="1" ht="15" customHeight="1">
      <c r="A15" s="400" t="s">
        <v>628</v>
      </c>
      <c r="B15" s="400" t="s">
        <v>629</v>
      </c>
      <c r="C15" s="397">
        <v>263.91000000000003</v>
      </c>
      <c r="D15" s="398">
        <f t="shared" si="14"/>
        <v>263.91000000000003</v>
      </c>
      <c r="E15" s="398" t="s">
        <v>466</v>
      </c>
      <c r="F15" s="398">
        <v>157</v>
      </c>
      <c r="G15" s="398">
        <f t="shared" si="1"/>
        <v>25.322580645161288</v>
      </c>
      <c r="H15" s="401">
        <f>M15/C15</f>
        <v>24.619175627240143</v>
      </c>
      <c r="I15" s="398">
        <f t="shared" si="3"/>
        <v>152.63888888888889</v>
      </c>
      <c r="J15" s="398">
        <f t="shared" si="13"/>
        <v>3.5</v>
      </c>
      <c r="K15" s="398">
        <f t="shared" si="5"/>
        <v>41433.870000000003</v>
      </c>
      <c r="L15" s="398">
        <f t="shared" si="15"/>
        <v>6682.8822580645165</v>
      </c>
      <c r="M15" s="398">
        <f>L15*(36-1)/36</f>
        <v>6497.2466397849466</v>
      </c>
      <c r="N15" s="398">
        <f t="shared" si="7"/>
        <v>40282.929166666669</v>
      </c>
      <c r="O15" s="422">
        <f t="shared" ref="O15:O18" si="18">N15/30/D15</f>
        <v>5.0879629629629628</v>
      </c>
      <c r="P15" s="398">
        <f t="shared" si="16"/>
        <v>923.68500000000006</v>
      </c>
      <c r="Q15" s="396" t="s">
        <v>465</v>
      </c>
      <c r="R15" s="429">
        <v>40634</v>
      </c>
      <c r="S15" s="430">
        <v>41729</v>
      </c>
    </row>
    <row r="16" spans="1:19" s="380" customFormat="1" ht="15" customHeight="1">
      <c r="A16" s="400" t="s">
        <v>630</v>
      </c>
      <c r="B16" s="400" t="s">
        <v>631</v>
      </c>
      <c r="C16" s="397">
        <v>242.04</v>
      </c>
      <c r="D16" s="398">
        <f t="shared" si="14"/>
        <v>242.04</v>
      </c>
      <c r="E16" s="398"/>
      <c r="F16" s="398">
        <v>178.5</v>
      </c>
      <c r="G16" s="398">
        <f t="shared" si="1"/>
        <v>28.79032258064516</v>
      </c>
      <c r="H16" s="401">
        <f t="shared" si="17"/>
        <v>26.391129032258061</v>
      </c>
      <c r="I16" s="398">
        <f t="shared" si="3"/>
        <v>163.625</v>
      </c>
      <c r="J16" s="398">
        <v>3.5</v>
      </c>
      <c r="K16" s="398">
        <f t="shared" si="5"/>
        <v>43204.14</v>
      </c>
      <c r="L16" s="398">
        <f>G16*D16</f>
        <v>6968.409677419354</v>
      </c>
      <c r="M16" s="398">
        <f>L16*33/36</f>
        <v>6387.7088709677409</v>
      </c>
      <c r="N16" s="398">
        <f t="shared" si="7"/>
        <v>39603.794999999998</v>
      </c>
      <c r="O16" s="422">
        <f t="shared" si="18"/>
        <v>5.4541666666666666</v>
      </c>
      <c r="P16" s="398">
        <f t="shared" si="16"/>
        <v>847.14</v>
      </c>
      <c r="Q16" s="396" t="s">
        <v>465</v>
      </c>
      <c r="R16" s="429">
        <v>40611</v>
      </c>
      <c r="S16" s="430">
        <v>41706</v>
      </c>
    </row>
    <row r="17" spans="1:19" s="380" customFormat="1" ht="15" customHeight="1">
      <c r="A17" s="400" t="s">
        <v>632</v>
      </c>
      <c r="B17" s="400" t="s">
        <v>633</v>
      </c>
      <c r="C17" s="397">
        <v>238.02</v>
      </c>
      <c r="D17" s="398">
        <f t="shared" si="14"/>
        <v>238.02</v>
      </c>
      <c r="E17" s="398"/>
      <c r="F17" s="398">
        <v>300</v>
      </c>
      <c r="G17" s="398">
        <f t="shared" si="1"/>
        <v>48.387096774193544</v>
      </c>
      <c r="H17" s="398">
        <f t="shared" si="17"/>
        <v>48.387096774193544</v>
      </c>
      <c r="I17" s="398">
        <f t="shared" si="3"/>
        <v>300</v>
      </c>
      <c r="J17" s="398">
        <f t="shared" ref="J17:J22" si="19">28/8</f>
        <v>3.5</v>
      </c>
      <c r="K17" s="397">
        <f t="shared" si="5"/>
        <v>71406</v>
      </c>
      <c r="L17" s="397">
        <f t="shared" ref="L17:L22" si="20">D17*G17</f>
        <v>11517.096774193547</v>
      </c>
      <c r="M17" s="397">
        <f t="shared" ref="M17:M22" si="21">L17*(36)/36</f>
        <v>11517.096774193547</v>
      </c>
      <c r="N17" s="397">
        <f t="shared" si="7"/>
        <v>71406</v>
      </c>
      <c r="O17" s="422">
        <f t="shared" si="18"/>
        <v>9.9999999999999982</v>
      </c>
      <c r="P17" s="397">
        <f t="shared" si="16"/>
        <v>833.07</v>
      </c>
      <c r="Q17" s="396" t="s">
        <v>163</v>
      </c>
      <c r="R17" s="429">
        <v>41370</v>
      </c>
      <c r="S17" s="430">
        <v>41734</v>
      </c>
    </row>
    <row r="18" spans="1:19" s="380" customFormat="1" ht="12.75" customHeight="1">
      <c r="A18" s="404" t="s">
        <v>634</v>
      </c>
      <c r="B18" s="871" t="s">
        <v>635</v>
      </c>
      <c r="C18" s="397">
        <v>153.47999999999999</v>
      </c>
      <c r="D18" s="398">
        <f t="shared" si="14"/>
        <v>153.47999999999999</v>
      </c>
      <c r="E18" s="398" t="s">
        <v>466</v>
      </c>
      <c r="F18" s="398">
        <v>272</v>
      </c>
      <c r="G18" s="398">
        <f t="shared" si="1"/>
        <v>43.87096774193548</v>
      </c>
      <c r="H18" s="401">
        <f t="shared" si="17"/>
        <v>43.87096774193548</v>
      </c>
      <c r="I18" s="398">
        <f t="shared" si="3"/>
        <v>271.99999999999994</v>
      </c>
      <c r="J18" s="398">
        <v>3.5</v>
      </c>
      <c r="K18" s="398">
        <f t="shared" si="5"/>
        <v>41746.559999999998</v>
      </c>
      <c r="L18" s="398">
        <f>G18*D18</f>
        <v>6733.3161290322569</v>
      </c>
      <c r="M18" s="398">
        <f>L18*36/36</f>
        <v>6733.3161290322569</v>
      </c>
      <c r="N18" s="398">
        <f t="shared" si="7"/>
        <v>41746.55999999999</v>
      </c>
      <c r="O18" s="422">
        <f t="shared" si="18"/>
        <v>9.0666666666666647</v>
      </c>
      <c r="P18" s="398">
        <f t="shared" si="16"/>
        <v>537.17999999999995</v>
      </c>
      <c r="Q18" s="396" t="s">
        <v>186</v>
      </c>
      <c r="R18" s="429">
        <v>41091</v>
      </c>
      <c r="S18" s="430">
        <v>41820</v>
      </c>
    </row>
    <row r="19" spans="1:19" s="380" customFormat="1" ht="15" customHeight="1">
      <c r="A19" s="404" t="s">
        <v>636</v>
      </c>
      <c r="B19" s="396" t="s">
        <v>637</v>
      </c>
      <c r="C19" s="397">
        <v>242.96</v>
      </c>
      <c r="D19" s="398">
        <v>218.66</v>
      </c>
      <c r="E19" s="398"/>
      <c r="F19" s="399">
        <v>162</v>
      </c>
      <c r="G19" s="398">
        <f t="shared" si="1"/>
        <v>26.129032258064516</v>
      </c>
      <c r="H19" s="398">
        <f t="shared" si="17"/>
        <v>24.677419354838708</v>
      </c>
      <c r="I19" s="398">
        <f t="shared" si="3"/>
        <v>152.99999999999997</v>
      </c>
      <c r="J19" s="398">
        <f t="shared" si="19"/>
        <v>3.5</v>
      </c>
      <c r="K19" s="397">
        <f t="shared" si="5"/>
        <v>35422.92</v>
      </c>
      <c r="L19" s="397">
        <f t="shared" si="20"/>
        <v>5713.3741935483868</v>
      </c>
      <c r="M19" s="397">
        <f>L19*(36-2)/36</f>
        <v>5395.9645161290318</v>
      </c>
      <c r="N19" s="397">
        <f t="shared" si="7"/>
        <v>33454.979999999996</v>
      </c>
      <c r="O19" s="421">
        <f t="shared" ref="O19:O22" si="22">N19/D19/30</f>
        <v>5.0999999999999988</v>
      </c>
      <c r="P19" s="397">
        <f t="shared" si="16"/>
        <v>765.31</v>
      </c>
      <c r="Q19" s="396" t="s">
        <v>465</v>
      </c>
      <c r="R19" s="429">
        <v>40756</v>
      </c>
      <c r="S19" s="430">
        <v>41851</v>
      </c>
    </row>
    <row r="20" spans="1:19" s="380" customFormat="1" ht="15" customHeight="1">
      <c r="A20" s="400" t="s">
        <v>638</v>
      </c>
      <c r="B20" s="400" t="s">
        <v>639</v>
      </c>
      <c r="C20" s="397">
        <v>323.62</v>
      </c>
      <c r="D20" s="398">
        <f t="shared" ref="D20:D22" si="23">C20</f>
        <v>323.62</v>
      </c>
      <c r="E20" s="398" t="s">
        <v>466</v>
      </c>
      <c r="F20" s="398">
        <v>220</v>
      </c>
      <c r="G20" s="398">
        <f t="shared" si="1"/>
        <v>35.483870967741936</v>
      </c>
      <c r="H20" s="401">
        <f>M20/C20</f>
        <v>33.512544802867382</v>
      </c>
      <c r="I20" s="398">
        <f t="shared" si="3"/>
        <v>207.77777777777777</v>
      </c>
      <c r="J20" s="398">
        <f t="shared" si="19"/>
        <v>3.5</v>
      </c>
      <c r="K20" s="398">
        <f t="shared" si="5"/>
        <v>71196.399999999994</v>
      </c>
      <c r="L20" s="398">
        <f t="shared" si="20"/>
        <v>11483.290322580646</v>
      </c>
      <c r="M20" s="398">
        <f>L20*(36-2)/36</f>
        <v>10845.329749103943</v>
      </c>
      <c r="N20" s="398">
        <f t="shared" si="7"/>
        <v>67241.044444444444</v>
      </c>
      <c r="O20" s="422">
        <f t="shared" ref="O20:O24" si="24">N20/30/D20</f>
        <v>6.9259259259259256</v>
      </c>
      <c r="P20" s="398">
        <f t="shared" si="16"/>
        <v>1132.67</v>
      </c>
      <c r="Q20" s="396" t="s">
        <v>465</v>
      </c>
      <c r="R20" s="429">
        <v>40801</v>
      </c>
      <c r="S20" s="430">
        <v>41896</v>
      </c>
    </row>
    <row r="21" spans="1:19" s="380" customFormat="1" ht="15" customHeight="1">
      <c r="A21" s="405" t="s">
        <v>640</v>
      </c>
      <c r="B21" s="396" t="s">
        <v>641</v>
      </c>
      <c r="C21" s="397">
        <v>560.41</v>
      </c>
      <c r="D21" s="398">
        <f t="shared" si="23"/>
        <v>560.41</v>
      </c>
      <c r="E21" s="398"/>
      <c r="F21" s="399">
        <v>210</v>
      </c>
      <c r="G21" s="398">
        <f t="shared" si="1"/>
        <v>33.87096774193548</v>
      </c>
      <c r="H21" s="398">
        <f>M21/D21</f>
        <v>33.87096774193548</v>
      </c>
      <c r="I21" s="398">
        <f t="shared" si="3"/>
        <v>209.99999999999997</v>
      </c>
      <c r="J21" s="398">
        <f t="shared" si="19"/>
        <v>3.5</v>
      </c>
      <c r="K21" s="397">
        <f t="shared" si="5"/>
        <v>117686.09999999999</v>
      </c>
      <c r="L21" s="397">
        <f t="shared" si="20"/>
        <v>18981.629032258061</v>
      </c>
      <c r="M21" s="397">
        <f t="shared" si="21"/>
        <v>18981.629032258061</v>
      </c>
      <c r="N21" s="397">
        <f t="shared" si="7"/>
        <v>117686.09999999998</v>
      </c>
      <c r="O21" s="421">
        <f t="shared" si="22"/>
        <v>6.9999999999999991</v>
      </c>
      <c r="P21" s="397">
        <f t="shared" si="16"/>
        <v>1961.4349999999999</v>
      </c>
      <c r="Q21" s="396" t="s">
        <v>465</v>
      </c>
      <c r="R21" s="429">
        <v>40878</v>
      </c>
      <c r="S21" s="430">
        <v>41973</v>
      </c>
    </row>
    <row r="22" spans="1:19" s="380" customFormat="1" ht="15" customHeight="1">
      <c r="A22" s="395" t="s">
        <v>642</v>
      </c>
      <c r="B22" s="396" t="s">
        <v>643</v>
      </c>
      <c r="C22" s="397">
        <v>1072.1300000000001</v>
      </c>
      <c r="D22" s="398">
        <f t="shared" si="23"/>
        <v>1072.1300000000001</v>
      </c>
      <c r="E22" s="398"/>
      <c r="F22" s="399">
        <v>200</v>
      </c>
      <c r="G22" s="398">
        <f t="shared" si="1"/>
        <v>32.258064516129032</v>
      </c>
      <c r="H22" s="398">
        <f>M22/D22</f>
        <v>32.258064516129032</v>
      </c>
      <c r="I22" s="398">
        <f t="shared" si="3"/>
        <v>200</v>
      </c>
      <c r="J22" s="398">
        <f t="shared" si="19"/>
        <v>3.5</v>
      </c>
      <c r="K22" s="398">
        <f t="shared" si="5"/>
        <v>214426.00000000003</v>
      </c>
      <c r="L22" s="397">
        <f t="shared" si="20"/>
        <v>34584.838709677424</v>
      </c>
      <c r="M22" s="397">
        <f t="shared" si="21"/>
        <v>34584.838709677424</v>
      </c>
      <c r="N22" s="397">
        <f t="shared" si="7"/>
        <v>214426.00000000003</v>
      </c>
      <c r="O22" s="421">
        <f t="shared" si="22"/>
        <v>6.666666666666667</v>
      </c>
      <c r="P22" s="397">
        <f t="shared" si="16"/>
        <v>3752.4550000000004</v>
      </c>
      <c r="Q22" s="396" t="s">
        <v>465</v>
      </c>
      <c r="R22" s="429">
        <v>40878</v>
      </c>
      <c r="S22" s="430">
        <v>41973</v>
      </c>
    </row>
    <row r="23" spans="1:19" s="382" customFormat="1" ht="15" customHeight="1">
      <c r="A23" s="406"/>
      <c r="B23" s="406"/>
      <c r="C23" s="407"/>
      <c r="D23" s="408">
        <f>SUM(D5:D22)</f>
        <v>13342.850000000002</v>
      </c>
      <c r="E23" s="408"/>
      <c r="F23" s="408"/>
      <c r="G23" s="409"/>
      <c r="H23" s="410"/>
      <c r="I23" s="408"/>
      <c r="J23" s="408"/>
      <c r="K23" s="407"/>
      <c r="L23" s="407"/>
      <c r="M23" s="407"/>
      <c r="N23" s="407">
        <f>SUM(N5:N22)</f>
        <v>1812808.6297777775</v>
      </c>
      <c r="O23" s="408">
        <f t="shared" si="24"/>
        <v>4.5287891511877829</v>
      </c>
      <c r="P23" s="408"/>
      <c r="Q23" s="412"/>
      <c r="R23" s="432"/>
      <c r="S23" s="433"/>
    </row>
    <row r="24" spans="1:19" s="380" customFormat="1" ht="15" customHeight="1">
      <c r="A24" s="400" t="s">
        <v>624</v>
      </c>
      <c r="B24" s="400" t="s">
        <v>644</v>
      </c>
      <c r="C24" s="397">
        <v>283.64999999999998</v>
      </c>
      <c r="D24" s="398">
        <f t="shared" ref="D24:D29" si="25">C24</f>
        <v>283.64999999999998</v>
      </c>
      <c r="E24" s="398"/>
      <c r="F24" s="398">
        <v>252</v>
      </c>
      <c r="G24" s="398">
        <f t="shared" ref="G24:G48" si="26">F24/6.2</f>
        <v>40.645161290322577</v>
      </c>
      <c r="H24" s="401">
        <f t="shared" ref="H24:H37" si="27">M24/D24</f>
        <v>40.645161290322577</v>
      </c>
      <c r="I24" s="398">
        <f t="shared" ref="I24:I48" si="28">N24/D24</f>
        <v>251.99999999999997</v>
      </c>
      <c r="J24" s="398">
        <f t="shared" ref="J24:J48" si="29">28/8</f>
        <v>3.5</v>
      </c>
      <c r="K24" s="398">
        <f t="shared" ref="K24:K31" si="30">D24*F24</f>
        <v>71479.799999999988</v>
      </c>
      <c r="L24" s="398">
        <f t="shared" ref="L24:L48" si="31">D24*G24</f>
        <v>11528.999999999998</v>
      </c>
      <c r="M24" s="398">
        <f>L24*(36)/36</f>
        <v>11528.999999999998</v>
      </c>
      <c r="N24" s="398">
        <f t="shared" ref="N24:N48" si="32">M24*6.2</f>
        <v>71479.799999999988</v>
      </c>
      <c r="O24" s="422">
        <f t="shared" si="24"/>
        <v>8.3999999999999986</v>
      </c>
      <c r="P24" s="398">
        <f t="shared" ref="P24:P48" si="33">D24*J24</f>
        <v>992.77499999999986</v>
      </c>
      <c r="Q24" s="396" t="s">
        <v>465</v>
      </c>
      <c r="R24" s="429">
        <v>40940</v>
      </c>
      <c r="S24" s="430">
        <v>42035</v>
      </c>
    </row>
    <row r="25" spans="1:19" s="380" customFormat="1" ht="15" customHeight="1">
      <c r="A25" s="395" t="s">
        <v>645</v>
      </c>
      <c r="B25" s="396" t="s">
        <v>646</v>
      </c>
      <c r="C25" s="397">
        <v>1020.36</v>
      </c>
      <c r="D25" s="398">
        <f t="shared" si="25"/>
        <v>1020.36</v>
      </c>
      <c r="E25" s="398"/>
      <c r="F25" s="399">
        <v>240</v>
      </c>
      <c r="G25" s="398">
        <f t="shared" si="26"/>
        <v>38.70967741935484</v>
      </c>
      <c r="H25" s="398">
        <f t="shared" si="27"/>
        <v>38.70967741935484</v>
      </c>
      <c r="I25" s="398">
        <f t="shared" si="28"/>
        <v>240</v>
      </c>
      <c r="J25" s="398">
        <f t="shared" si="29"/>
        <v>3.5</v>
      </c>
      <c r="K25" s="397">
        <f t="shared" si="30"/>
        <v>244886.39999999999</v>
      </c>
      <c r="L25" s="397">
        <f t="shared" si="31"/>
        <v>39497.806451612902</v>
      </c>
      <c r="M25" s="397">
        <f>L25*(36)/36</f>
        <v>39497.806451612902</v>
      </c>
      <c r="N25" s="397">
        <f t="shared" si="32"/>
        <v>244886.39999999999</v>
      </c>
      <c r="O25" s="421">
        <f>N25/D25/30</f>
        <v>8</v>
      </c>
      <c r="P25" s="397">
        <f t="shared" si="33"/>
        <v>3571.26</v>
      </c>
      <c r="Q25" s="396" t="s">
        <v>465</v>
      </c>
      <c r="R25" s="429">
        <v>40940</v>
      </c>
      <c r="S25" s="430">
        <v>42035</v>
      </c>
    </row>
    <row r="26" spans="1:19" s="380" customFormat="1" ht="15" customHeight="1">
      <c r="A26" s="400" t="s">
        <v>647</v>
      </c>
      <c r="B26" s="400" t="s">
        <v>648</v>
      </c>
      <c r="C26" s="397">
        <v>175.88</v>
      </c>
      <c r="D26" s="398">
        <f t="shared" si="25"/>
        <v>175.88</v>
      </c>
      <c r="E26" s="398"/>
      <c r="F26" s="398">
        <v>280</v>
      </c>
      <c r="G26" s="398">
        <f t="shared" si="26"/>
        <v>45.161290322580641</v>
      </c>
      <c r="H26" s="401">
        <f t="shared" si="27"/>
        <v>41.397849462365585</v>
      </c>
      <c r="I26" s="398">
        <f t="shared" si="28"/>
        <v>256.66666666666663</v>
      </c>
      <c r="J26" s="398">
        <f t="shared" si="29"/>
        <v>3.5</v>
      </c>
      <c r="K26" s="398">
        <f t="shared" si="30"/>
        <v>49246.400000000001</v>
      </c>
      <c r="L26" s="398">
        <f t="shared" si="31"/>
        <v>7942.967741935483</v>
      </c>
      <c r="M26" s="398">
        <f>L26*(33)/36</f>
        <v>7281.0537634408593</v>
      </c>
      <c r="N26" s="398">
        <f t="shared" si="32"/>
        <v>45142.533333333326</v>
      </c>
      <c r="O26" s="422">
        <f t="shared" ref="O26:O30" si="34">N26/30/D26</f>
        <v>8.5555555555555554</v>
      </c>
      <c r="P26" s="398">
        <f t="shared" si="33"/>
        <v>615.57999999999993</v>
      </c>
      <c r="Q26" s="396" t="s">
        <v>465</v>
      </c>
      <c r="R26" s="429">
        <v>40954</v>
      </c>
      <c r="S26" s="430">
        <v>42049</v>
      </c>
    </row>
    <row r="27" spans="1:19" s="380" customFormat="1" ht="15" customHeight="1">
      <c r="A27" s="400" t="s">
        <v>649</v>
      </c>
      <c r="B27" s="400" t="s">
        <v>650</v>
      </c>
      <c r="C27" s="397">
        <v>59.17</v>
      </c>
      <c r="D27" s="398">
        <f t="shared" si="25"/>
        <v>59.17</v>
      </c>
      <c r="E27" s="398"/>
      <c r="F27" s="398">
        <v>280</v>
      </c>
      <c r="G27" s="398">
        <f t="shared" si="26"/>
        <v>45.161290322580641</v>
      </c>
      <c r="H27" s="401">
        <f t="shared" si="27"/>
        <v>41.397849462365585</v>
      </c>
      <c r="I27" s="398">
        <f t="shared" si="28"/>
        <v>256.66666666666663</v>
      </c>
      <c r="J27" s="398">
        <f t="shared" si="29"/>
        <v>3.5</v>
      </c>
      <c r="K27" s="398">
        <f t="shared" si="30"/>
        <v>16567.600000000002</v>
      </c>
      <c r="L27" s="398">
        <f t="shared" si="31"/>
        <v>2672.1935483870966</v>
      </c>
      <c r="M27" s="398">
        <f>L27*(33)/36</f>
        <v>2449.5107526881716</v>
      </c>
      <c r="N27" s="398">
        <f t="shared" si="32"/>
        <v>15186.966666666664</v>
      </c>
      <c r="O27" s="422">
        <f t="shared" si="34"/>
        <v>8.5555555555555536</v>
      </c>
      <c r="P27" s="398">
        <f t="shared" si="33"/>
        <v>207.095</v>
      </c>
      <c r="Q27" s="396" t="s">
        <v>465</v>
      </c>
      <c r="R27" s="429">
        <v>40954</v>
      </c>
      <c r="S27" s="430">
        <v>42049</v>
      </c>
    </row>
    <row r="28" spans="1:19" s="380" customFormat="1" ht="15" customHeight="1">
      <c r="A28" s="400" t="s">
        <v>651</v>
      </c>
      <c r="B28" s="400" t="s">
        <v>652</v>
      </c>
      <c r="C28" s="397">
        <v>88.57</v>
      </c>
      <c r="D28" s="398">
        <f t="shared" si="25"/>
        <v>88.57</v>
      </c>
      <c r="E28" s="398"/>
      <c r="F28" s="398">
        <v>270</v>
      </c>
      <c r="G28" s="398">
        <f t="shared" si="26"/>
        <v>43.548387096774192</v>
      </c>
      <c r="H28" s="401">
        <f t="shared" si="27"/>
        <v>42.338709677419359</v>
      </c>
      <c r="I28" s="398">
        <f t="shared" si="28"/>
        <v>262.5</v>
      </c>
      <c r="J28" s="398">
        <f t="shared" si="29"/>
        <v>3.5</v>
      </c>
      <c r="K28" s="398">
        <f t="shared" si="30"/>
        <v>23913.899999999998</v>
      </c>
      <c r="L28" s="398">
        <f t="shared" si="31"/>
        <v>3857.0806451612898</v>
      </c>
      <c r="M28" s="398">
        <f>L28*(35)/36</f>
        <v>3749.9395161290322</v>
      </c>
      <c r="N28" s="398">
        <f t="shared" si="32"/>
        <v>23249.625</v>
      </c>
      <c r="O28" s="422">
        <f t="shared" si="34"/>
        <v>8.75</v>
      </c>
      <c r="P28" s="398">
        <f t="shared" si="33"/>
        <v>309.995</v>
      </c>
      <c r="Q28" s="396" t="s">
        <v>465</v>
      </c>
      <c r="R28" s="429">
        <v>40951</v>
      </c>
      <c r="S28" s="430">
        <v>42046</v>
      </c>
    </row>
    <row r="29" spans="1:19" s="380" customFormat="1" ht="15" customHeight="1">
      <c r="A29" s="400" t="s">
        <v>653</v>
      </c>
      <c r="B29" s="400" t="s">
        <v>654</v>
      </c>
      <c r="C29" s="397">
        <v>235.05</v>
      </c>
      <c r="D29" s="398">
        <f t="shared" si="25"/>
        <v>235.05</v>
      </c>
      <c r="E29" s="398"/>
      <c r="F29" s="398">
        <v>270</v>
      </c>
      <c r="G29" s="398">
        <f t="shared" si="26"/>
        <v>43.548387096774192</v>
      </c>
      <c r="H29" s="401">
        <f t="shared" si="27"/>
        <v>42.338709677419352</v>
      </c>
      <c r="I29" s="398">
        <f t="shared" si="28"/>
        <v>262.5</v>
      </c>
      <c r="J29" s="398">
        <f t="shared" si="29"/>
        <v>3.5</v>
      </c>
      <c r="K29" s="398">
        <f t="shared" si="30"/>
        <v>63463.5</v>
      </c>
      <c r="L29" s="398">
        <f t="shared" si="31"/>
        <v>10236.048387096775</v>
      </c>
      <c r="M29" s="398">
        <f>L29*(35)/36</f>
        <v>9951.7137096774186</v>
      </c>
      <c r="N29" s="398">
        <f t="shared" si="32"/>
        <v>61700.625</v>
      </c>
      <c r="O29" s="422">
        <f t="shared" si="34"/>
        <v>8.75</v>
      </c>
      <c r="P29" s="398">
        <f t="shared" si="33"/>
        <v>822.67500000000007</v>
      </c>
      <c r="Q29" s="396" t="s">
        <v>465</v>
      </c>
      <c r="R29" s="429">
        <v>40951</v>
      </c>
      <c r="S29" s="430">
        <v>42046</v>
      </c>
    </row>
    <row r="30" spans="1:19" s="381" customFormat="1" ht="12.75">
      <c r="A30" s="404" t="s">
        <v>655</v>
      </c>
      <c r="B30" s="404" t="s">
        <v>656</v>
      </c>
      <c r="C30" s="397">
        <v>2110.9</v>
      </c>
      <c r="D30" s="398">
        <v>2467.4299999999998</v>
      </c>
      <c r="E30" s="398"/>
      <c r="F30" s="398">
        <v>200</v>
      </c>
      <c r="G30" s="403">
        <f t="shared" si="26"/>
        <v>32.258064516129032</v>
      </c>
      <c r="H30" s="398">
        <f t="shared" si="27"/>
        <v>29.569892473118284</v>
      </c>
      <c r="I30" s="398">
        <f t="shared" si="28"/>
        <v>183.33333333333334</v>
      </c>
      <c r="J30" s="398">
        <f t="shared" si="29"/>
        <v>3.5</v>
      </c>
      <c r="K30" s="397">
        <f t="shared" si="30"/>
        <v>493485.99999999994</v>
      </c>
      <c r="L30" s="397">
        <f t="shared" si="31"/>
        <v>79594.516129032258</v>
      </c>
      <c r="M30" s="397">
        <f>(L30*33)/36</f>
        <v>72961.639784946237</v>
      </c>
      <c r="N30" s="397">
        <f t="shared" si="32"/>
        <v>452362.16666666669</v>
      </c>
      <c r="O30" s="422">
        <f t="shared" si="34"/>
        <v>6.1111111111111116</v>
      </c>
      <c r="P30" s="398">
        <f t="shared" si="33"/>
        <v>8636.0049999999992</v>
      </c>
      <c r="Q30" s="396" t="s">
        <v>465</v>
      </c>
      <c r="R30" s="429">
        <v>41044</v>
      </c>
      <c r="S30" s="430">
        <v>42138</v>
      </c>
    </row>
    <row r="31" spans="1:19" s="380" customFormat="1" ht="15" customHeight="1">
      <c r="A31" s="395" t="s">
        <v>657</v>
      </c>
      <c r="B31" s="400" t="s">
        <v>658</v>
      </c>
      <c r="C31" s="397">
        <v>1694.77</v>
      </c>
      <c r="D31" s="398">
        <f t="shared" ref="D31:D48" si="35">C31</f>
        <v>1694.77</v>
      </c>
      <c r="E31" s="398"/>
      <c r="F31" s="399">
        <v>250</v>
      </c>
      <c r="G31" s="398">
        <f t="shared" si="26"/>
        <v>40.322580645161288</v>
      </c>
      <c r="H31" s="398">
        <f t="shared" si="27"/>
        <v>40.322580645161288</v>
      </c>
      <c r="I31" s="398">
        <f t="shared" si="28"/>
        <v>250</v>
      </c>
      <c r="J31" s="398">
        <f t="shared" si="29"/>
        <v>3.5</v>
      </c>
      <c r="K31" s="397">
        <f t="shared" si="30"/>
        <v>423692.5</v>
      </c>
      <c r="L31" s="397">
        <f t="shared" si="31"/>
        <v>68337.5</v>
      </c>
      <c r="M31" s="397">
        <f>L31*(36)/36</f>
        <v>68337.5</v>
      </c>
      <c r="N31" s="397">
        <f t="shared" si="32"/>
        <v>423692.5</v>
      </c>
      <c r="O31" s="421">
        <f t="shared" ref="O31:O36" si="36">N31/D31/30</f>
        <v>8.3333333333333339</v>
      </c>
      <c r="P31" s="397">
        <f t="shared" si="33"/>
        <v>5931.6949999999997</v>
      </c>
      <c r="Q31" s="396" t="s">
        <v>465</v>
      </c>
      <c r="R31" s="429">
        <v>41061</v>
      </c>
      <c r="S31" s="430">
        <v>42155</v>
      </c>
    </row>
    <row r="32" spans="1:19" s="380" customFormat="1" ht="12.75" customHeight="1">
      <c r="A32" s="404" t="s">
        <v>659</v>
      </c>
      <c r="B32" s="404">
        <v>601</v>
      </c>
      <c r="C32" s="397">
        <v>149.04</v>
      </c>
      <c r="D32" s="398">
        <f t="shared" si="35"/>
        <v>149.04</v>
      </c>
      <c r="E32" s="398" t="s">
        <v>466</v>
      </c>
      <c r="F32" s="398">
        <v>280</v>
      </c>
      <c r="G32" s="398">
        <f t="shared" si="26"/>
        <v>45.161290322580641</v>
      </c>
      <c r="H32" s="401">
        <f t="shared" si="27"/>
        <v>41.397849462365585</v>
      </c>
      <c r="I32" s="398">
        <f t="shared" si="28"/>
        <v>256.66666666666669</v>
      </c>
      <c r="J32" s="398">
        <f t="shared" si="29"/>
        <v>3.5</v>
      </c>
      <c r="K32" s="398">
        <f>F32*D32</f>
        <v>41731.199999999997</v>
      </c>
      <c r="L32" s="398">
        <f t="shared" si="31"/>
        <v>6730.8387096774186</v>
      </c>
      <c r="M32" s="398">
        <f>L32*33/36</f>
        <v>6169.9354838709669</v>
      </c>
      <c r="N32" s="398">
        <f t="shared" si="32"/>
        <v>38253.599999999999</v>
      </c>
      <c r="O32" s="422">
        <f>N32/30/D32</f>
        <v>8.5555555555555554</v>
      </c>
      <c r="P32" s="398">
        <f t="shared" si="33"/>
        <v>521.64</v>
      </c>
      <c r="Q32" s="396" t="s">
        <v>465</v>
      </c>
      <c r="R32" s="429">
        <v>41044</v>
      </c>
      <c r="S32" s="430">
        <v>42138</v>
      </c>
    </row>
    <row r="33" spans="1:19" s="380" customFormat="1" ht="15" customHeight="1">
      <c r="A33" s="395" t="s">
        <v>660</v>
      </c>
      <c r="B33" s="400" t="s">
        <v>661</v>
      </c>
      <c r="C33" s="397">
        <f>453.67+50.43-219.1</f>
        <v>285</v>
      </c>
      <c r="D33" s="398">
        <f t="shared" si="35"/>
        <v>285</v>
      </c>
      <c r="E33" s="398"/>
      <c r="F33" s="399">
        <v>200</v>
      </c>
      <c r="G33" s="398">
        <f t="shared" si="26"/>
        <v>32.258064516129032</v>
      </c>
      <c r="H33" s="398">
        <f t="shared" si="27"/>
        <v>29.121863799283151</v>
      </c>
      <c r="I33" s="398">
        <f t="shared" si="28"/>
        <v>180.55555555555554</v>
      </c>
      <c r="J33" s="398">
        <f t="shared" si="29"/>
        <v>3.5</v>
      </c>
      <c r="K33" s="397">
        <f t="shared" ref="K33:K48" si="37">D33*F33</f>
        <v>57000</v>
      </c>
      <c r="L33" s="397">
        <f t="shared" si="31"/>
        <v>9193.5483870967746</v>
      </c>
      <c r="M33" s="397">
        <f>L33*(32.5)/36</f>
        <v>8299.7311827956983</v>
      </c>
      <c r="N33" s="397">
        <f t="shared" si="32"/>
        <v>51458.333333333328</v>
      </c>
      <c r="O33" s="421">
        <f t="shared" si="36"/>
        <v>6.0185185185185182</v>
      </c>
      <c r="P33" s="397">
        <f t="shared" si="33"/>
        <v>997.5</v>
      </c>
      <c r="Q33" s="396" t="s">
        <v>465</v>
      </c>
      <c r="R33" s="429">
        <v>41061</v>
      </c>
      <c r="S33" s="430">
        <v>42155</v>
      </c>
    </row>
    <row r="34" spans="1:19" s="380" customFormat="1" ht="15" customHeight="1">
      <c r="A34" s="395" t="s">
        <v>662</v>
      </c>
      <c r="B34" s="400" t="s">
        <v>663</v>
      </c>
      <c r="C34" s="397">
        <v>219.1</v>
      </c>
      <c r="D34" s="398">
        <f t="shared" si="35"/>
        <v>219.1</v>
      </c>
      <c r="E34" s="398"/>
      <c r="F34" s="399">
        <v>200</v>
      </c>
      <c r="G34" s="398">
        <f t="shared" si="26"/>
        <v>32.258064516129032</v>
      </c>
      <c r="H34" s="398">
        <f t="shared" si="27"/>
        <v>29.121863799283151</v>
      </c>
      <c r="I34" s="398">
        <f t="shared" si="28"/>
        <v>180.55555555555554</v>
      </c>
      <c r="J34" s="398">
        <f t="shared" si="29"/>
        <v>3.5</v>
      </c>
      <c r="K34" s="397">
        <f t="shared" si="37"/>
        <v>43820</v>
      </c>
      <c r="L34" s="397">
        <f t="shared" si="31"/>
        <v>7067.7419354838703</v>
      </c>
      <c r="M34" s="397">
        <f>L34*(32.5)/36</f>
        <v>6380.6003584229384</v>
      </c>
      <c r="N34" s="397">
        <f t="shared" si="32"/>
        <v>39559.722222222219</v>
      </c>
      <c r="O34" s="421">
        <f t="shared" si="36"/>
        <v>6.0185185185185182</v>
      </c>
      <c r="P34" s="397">
        <f t="shared" si="33"/>
        <v>766.85</v>
      </c>
      <c r="Q34" s="396" t="s">
        <v>465</v>
      </c>
      <c r="R34" s="429">
        <v>41061</v>
      </c>
      <c r="S34" s="430">
        <v>42155</v>
      </c>
    </row>
    <row r="35" spans="1:19" s="380" customFormat="1" ht="15" customHeight="1">
      <c r="A35" s="395" t="s">
        <v>664</v>
      </c>
      <c r="B35" s="400" t="s">
        <v>665</v>
      </c>
      <c r="C35" s="397">
        <v>188.31</v>
      </c>
      <c r="D35" s="398">
        <f t="shared" si="35"/>
        <v>188.31</v>
      </c>
      <c r="E35" s="398"/>
      <c r="F35" s="399">
        <v>250</v>
      </c>
      <c r="G35" s="398">
        <f t="shared" si="26"/>
        <v>40.322580645161288</v>
      </c>
      <c r="H35" s="398">
        <f t="shared" si="27"/>
        <v>40.322580645161288</v>
      </c>
      <c r="I35" s="398">
        <f t="shared" si="28"/>
        <v>250</v>
      </c>
      <c r="J35" s="398">
        <f t="shared" si="29"/>
        <v>3.5</v>
      </c>
      <c r="K35" s="397">
        <f t="shared" si="37"/>
        <v>47077.5</v>
      </c>
      <c r="L35" s="397">
        <f t="shared" si="31"/>
        <v>7593.145161290322</v>
      </c>
      <c r="M35" s="397">
        <f>L35*(36)/36</f>
        <v>7593.145161290322</v>
      </c>
      <c r="N35" s="397">
        <f t="shared" si="32"/>
        <v>47077.5</v>
      </c>
      <c r="O35" s="421">
        <f t="shared" si="36"/>
        <v>8.3333333333333339</v>
      </c>
      <c r="P35" s="397">
        <f t="shared" si="33"/>
        <v>659.08500000000004</v>
      </c>
      <c r="Q35" s="396" t="s">
        <v>465</v>
      </c>
      <c r="R35" s="429">
        <v>41061</v>
      </c>
      <c r="S35" s="430">
        <v>42155</v>
      </c>
    </row>
    <row r="36" spans="1:19" s="380" customFormat="1" ht="15" customHeight="1">
      <c r="A36" s="395" t="s">
        <v>666</v>
      </c>
      <c r="B36" s="396" t="s">
        <v>667</v>
      </c>
      <c r="C36" s="397">
        <v>1084.28</v>
      </c>
      <c r="D36" s="398">
        <f t="shared" si="35"/>
        <v>1084.28</v>
      </c>
      <c r="E36" s="398"/>
      <c r="F36" s="399">
        <v>177</v>
      </c>
      <c r="G36" s="398">
        <f t="shared" si="26"/>
        <v>28.548387096774192</v>
      </c>
      <c r="H36" s="398">
        <f t="shared" si="27"/>
        <v>27.358870967741932</v>
      </c>
      <c r="I36" s="398">
        <f t="shared" si="28"/>
        <v>169.625</v>
      </c>
      <c r="J36" s="398">
        <f t="shared" si="29"/>
        <v>3.5</v>
      </c>
      <c r="K36" s="397">
        <f t="shared" si="37"/>
        <v>191917.56</v>
      </c>
      <c r="L36" s="397">
        <f t="shared" si="31"/>
        <v>30954.445161290321</v>
      </c>
      <c r="M36" s="397">
        <f>L36*(69)/72</f>
        <v>29664.676612903222</v>
      </c>
      <c r="N36" s="397">
        <f t="shared" si="32"/>
        <v>183920.995</v>
      </c>
      <c r="O36" s="421">
        <f t="shared" si="36"/>
        <v>5.6541666666666668</v>
      </c>
      <c r="P36" s="397">
        <f t="shared" si="33"/>
        <v>3794.98</v>
      </c>
      <c r="Q36" s="396" t="s">
        <v>484</v>
      </c>
      <c r="R36" s="429">
        <v>39995</v>
      </c>
      <c r="S36" s="430">
        <v>42185</v>
      </c>
    </row>
    <row r="37" spans="1:19" s="380" customFormat="1" ht="15" customHeight="1">
      <c r="A37" s="400" t="s">
        <v>668</v>
      </c>
      <c r="B37" s="400" t="s">
        <v>669</v>
      </c>
      <c r="C37" s="397">
        <v>655.1</v>
      </c>
      <c r="D37" s="398">
        <f t="shared" si="35"/>
        <v>655.1</v>
      </c>
      <c r="E37" s="398"/>
      <c r="F37" s="398">
        <v>300</v>
      </c>
      <c r="G37" s="398">
        <f t="shared" si="26"/>
        <v>48.387096774193544</v>
      </c>
      <c r="H37" s="398">
        <f t="shared" si="27"/>
        <v>44.354838709677416</v>
      </c>
      <c r="I37" s="398">
        <f t="shared" si="28"/>
        <v>275</v>
      </c>
      <c r="J37" s="398">
        <f t="shared" si="29"/>
        <v>3.5</v>
      </c>
      <c r="K37" s="397">
        <f t="shared" si="37"/>
        <v>196530</v>
      </c>
      <c r="L37" s="397">
        <f t="shared" si="31"/>
        <v>31698.387096774193</v>
      </c>
      <c r="M37" s="397">
        <f>L37*(33)/36</f>
        <v>29056.854838709678</v>
      </c>
      <c r="N37" s="397">
        <f t="shared" si="32"/>
        <v>180152.5</v>
      </c>
      <c r="O37" s="422">
        <f t="shared" ref="O37:O40" si="38">N37/30/D37</f>
        <v>9.1666666666666661</v>
      </c>
      <c r="P37" s="397">
        <f t="shared" si="33"/>
        <v>2292.85</v>
      </c>
      <c r="Q37" s="396" t="s">
        <v>465</v>
      </c>
      <c r="R37" s="429">
        <v>41091</v>
      </c>
      <c r="S37" s="430">
        <v>42185</v>
      </c>
    </row>
    <row r="38" spans="1:19" s="380" customFormat="1" ht="15" customHeight="1">
      <c r="A38" s="400" t="s">
        <v>670</v>
      </c>
      <c r="B38" s="400">
        <v>1109</v>
      </c>
      <c r="C38" s="397">
        <v>153.47</v>
      </c>
      <c r="D38" s="398">
        <f t="shared" si="35"/>
        <v>153.47</v>
      </c>
      <c r="E38" s="398"/>
      <c r="F38" s="398">
        <v>300</v>
      </c>
      <c r="G38" s="398">
        <f t="shared" si="26"/>
        <v>48.387096774193544</v>
      </c>
      <c r="H38" s="401">
        <f>G38</f>
        <v>48.387096774193544</v>
      </c>
      <c r="I38" s="398">
        <f t="shared" si="28"/>
        <v>275</v>
      </c>
      <c r="J38" s="398">
        <f t="shared" si="29"/>
        <v>3.5</v>
      </c>
      <c r="K38" s="398">
        <f t="shared" si="37"/>
        <v>46041</v>
      </c>
      <c r="L38" s="398">
        <f t="shared" si="31"/>
        <v>7425.967741935483</v>
      </c>
      <c r="M38" s="398">
        <f>L38*(24-2)/24</f>
        <v>6807.1370967741932</v>
      </c>
      <c r="N38" s="398">
        <f t="shared" si="32"/>
        <v>42204.25</v>
      </c>
      <c r="O38" s="398">
        <f t="shared" si="38"/>
        <v>9.1666666666666679</v>
      </c>
      <c r="P38" s="398">
        <f t="shared" si="33"/>
        <v>537.14499999999998</v>
      </c>
      <c r="Q38" s="396" t="s">
        <v>186</v>
      </c>
      <c r="R38" s="429">
        <v>41470</v>
      </c>
      <c r="S38" s="430">
        <v>42199</v>
      </c>
    </row>
    <row r="39" spans="1:19" s="380" customFormat="1" ht="15" customHeight="1">
      <c r="A39" s="395" t="s">
        <v>671</v>
      </c>
      <c r="B39" s="396" t="s">
        <v>672</v>
      </c>
      <c r="C39" s="397">
        <v>774.84</v>
      </c>
      <c r="D39" s="398">
        <f t="shared" si="35"/>
        <v>774.84</v>
      </c>
      <c r="E39" s="398"/>
      <c r="F39" s="399">
        <v>259.41000000000003</v>
      </c>
      <c r="G39" s="398">
        <f t="shared" si="26"/>
        <v>41.840322580645164</v>
      </c>
      <c r="H39" s="398">
        <f t="shared" ref="H39:H42" si="39">M39/D39</f>
        <v>41.840322580645164</v>
      </c>
      <c r="I39" s="398">
        <f t="shared" si="28"/>
        <v>259.41000000000003</v>
      </c>
      <c r="J39" s="398">
        <f t="shared" si="29"/>
        <v>3.5</v>
      </c>
      <c r="K39" s="397">
        <f t="shared" si="37"/>
        <v>201001.24440000003</v>
      </c>
      <c r="L39" s="397">
        <f t="shared" si="31"/>
        <v>32419.555548387099</v>
      </c>
      <c r="M39" s="397">
        <f t="shared" ref="M39:M42" si="40">L39*(36)/36</f>
        <v>32419.555548387099</v>
      </c>
      <c r="N39" s="397">
        <f t="shared" si="32"/>
        <v>201001.24440000003</v>
      </c>
      <c r="O39" s="421">
        <f t="shared" ref="O39:O42" si="41">N39/D39/30</f>
        <v>8.6470000000000002</v>
      </c>
      <c r="P39" s="397">
        <f t="shared" si="33"/>
        <v>2711.94</v>
      </c>
      <c r="Q39" s="396" t="s">
        <v>465</v>
      </c>
      <c r="R39" s="429">
        <v>41153</v>
      </c>
      <c r="S39" s="430">
        <v>42247</v>
      </c>
    </row>
    <row r="40" spans="1:19" s="380" customFormat="1" ht="15" customHeight="1">
      <c r="A40" s="404" t="s">
        <v>659</v>
      </c>
      <c r="B40" s="400" t="s">
        <v>673</v>
      </c>
      <c r="C40" s="397">
        <v>130.80000000000001</v>
      </c>
      <c r="D40" s="398">
        <f t="shared" si="35"/>
        <v>130.80000000000001</v>
      </c>
      <c r="E40" s="398"/>
      <c r="F40" s="398">
        <v>280</v>
      </c>
      <c r="G40" s="398">
        <f t="shared" si="26"/>
        <v>45.161290322580641</v>
      </c>
      <c r="H40" s="398">
        <f t="shared" si="39"/>
        <v>41.397849462365592</v>
      </c>
      <c r="I40" s="398">
        <f t="shared" si="28"/>
        <v>256.66666666666663</v>
      </c>
      <c r="J40" s="398">
        <f t="shared" si="29"/>
        <v>3.5</v>
      </c>
      <c r="K40" s="397">
        <f t="shared" si="37"/>
        <v>36624</v>
      </c>
      <c r="L40" s="398">
        <f t="shared" si="31"/>
        <v>5907.0967741935483</v>
      </c>
      <c r="M40" s="398">
        <f>L40*33/36</f>
        <v>5414.8387096774195</v>
      </c>
      <c r="N40" s="397">
        <f t="shared" si="32"/>
        <v>33572</v>
      </c>
      <c r="O40" s="422">
        <f t="shared" si="38"/>
        <v>8.5555555555555536</v>
      </c>
      <c r="P40" s="397">
        <f t="shared" si="33"/>
        <v>457.80000000000007</v>
      </c>
      <c r="Q40" s="396" t="s">
        <v>465</v>
      </c>
      <c r="R40" s="429">
        <v>41157</v>
      </c>
      <c r="S40" s="429">
        <v>42251</v>
      </c>
    </row>
    <row r="41" spans="1:19" s="380" customFormat="1" ht="15" customHeight="1">
      <c r="A41" s="404" t="s">
        <v>674</v>
      </c>
      <c r="B41" s="396" t="s">
        <v>675</v>
      </c>
      <c r="C41" s="397">
        <v>924.17</v>
      </c>
      <c r="D41" s="398">
        <f t="shared" si="35"/>
        <v>924.17</v>
      </c>
      <c r="E41" s="398"/>
      <c r="F41" s="398">
        <v>300</v>
      </c>
      <c r="G41" s="398">
        <f t="shared" si="26"/>
        <v>48.387096774193544</v>
      </c>
      <c r="H41" s="398">
        <f t="shared" si="39"/>
        <v>48.387096774193544</v>
      </c>
      <c r="I41" s="398">
        <f t="shared" si="28"/>
        <v>300</v>
      </c>
      <c r="J41" s="398">
        <f t="shared" si="29"/>
        <v>3.5</v>
      </c>
      <c r="K41" s="397">
        <f t="shared" si="37"/>
        <v>277251</v>
      </c>
      <c r="L41" s="397">
        <f t="shared" si="31"/>
        <v>44717.903225806447</v>
      </c>
      <c r="M41" s="397">
        <f t="shared" si="40"/>
        <v>44717.903225806447</v>
      </c>
      <c r="N41" s="397">
        <f t="shared" si="32"/>
        <v>277251</v>
      </c>
      <c r="O41" s="421">
        <f t="shared" si="41"/>
        <v>10</v>
      </c>
      <c r="P41" s="397">
        <f t="shared" si="33"/>
        <v>3234.5949999999998</v>
      </c>
      <c r="Q41" s="396" t="s">
        <v>465</v>
      </c>
      <c r="R41" s="429">
        <v>41207</v>
      </c>
      <c r="S41" s="430">
        <v>42301</v>
      </c>
    </row>
    <row r="42" spans="1:19" s="380" customFormat="1" ht="15" customHeight="1">
      <c r="A42" s="404" t="s">
        <v>676</v>
      </c>
      <c r="B42" s="396" t="s">
        <v>677</v>
      </c>
      <c r="C42" s="397">
        <v>417.13</v>
      </c>
      <c r="D42" s="398">
        <f t="shared" si="35"/>
        <v>417.13</v>
      </c>
      <c r="E42" s="398"/>
      <c r="F42" s="398">
        <v>322</v>
      </c>
      <c r="G42" s="398">
        <f t="shared" si="26"/>
        <v>51.935483870967744</v>
      </c>
      <c r="H42" s="398">
        <f t="shared" si="39"/>
        <v>51.935483870967744</v>
      </c>
      <c r="I42" s="398">
        <f t="shared" si="28"/>
        <v>322.00000000000006</v>
      </c>
      <c r="J42" s="398">
        <f t="shared" si="29"/>
        <v>3.5</v>
      </c>
      <c r="K42" s="397">
        <f t="shared" si="37"/>
        <v>134315.85999999999</v>
      </c>
      <c r="L42" s="397">
        <f t="shared" si="31"/>
        <v>21663.848387096776</v>
      </c>
      <c r="M42" s="397">
        <f t="shared" si="40"/>
        <v>21663.848387096776</v>
      </c>
      <c r="N42" s="397">
        <f t="shared" si="32"/>
        <v>134315.86000000002</v>
      </c>
      <c r="O42" s="421">
        <f t="shared" si="41"/>
        <v>10.733333333333336</v>
      </c>
      <c r="P42" s="397">
        <f t="shared" si="33"/>
        <v>1459.9549999999999</v>
      </c>
      <c r="Q42" s="396" t="s">
        <v>465</v>
      </c>
      <c r="R42" s="429">
        <v>41240</v>
      </c>
      <c r="S42" s="430">
        <v>42334</v>
      </c>
    </row>
    <row r="43" spans="1:19" s="380" customFormat="1" ht="15" customHeight="1">
      <c r="A43" s="400" t="s">
        <v>678</v>
      </c>
      <c r="B43" s="400" t="s">
        <v>679</v>
      </c>
      <c r="C43" s="397">
        <v>424.88</v>
      </c>
      <c r="D43" s="398">
        <f t="shared" si="35"/>
        <v>424.88</v>
      </c>
      <c r="E43" s="398" t="s">
        <v>466</v>
      </c>
      <c r="F43" s="398">
        <v>162.5</v>
      </c>
      <c r="G43" s="398">
        <f t="shared" si="26"/>
        <v>26.209677419354836</v>
      </c>
      <c r="H43" s="401">
        <f t="shared" ref="H43:H45" si="42">M43/C43</f>
        <v>26.209677419354836</v>
      </c>
      <c r="I43" s="398">
        <f t="shared" si="28"/>
        <v>162.5</v>
      </c>
      <c r="J43" s="398">
        <f t="shared" si="29"/>
        <v>3.5</v>
      </c>
      <c r="K43" s="398">
        <f t="shared" si="37"/>
        <v>69043</v>
      </c>
      <c r="L43" s="398">
        <f t="shared" si="31"/>
        <v>11135.967741935483</v>
      </c>
      <c r="M43" s="398">
        <f>L43</f>
        <v>11135.967741935483</v>
      </c>
      <c r="N43" s="398">
        <f t="shared" si="32"/>
        <v>69043</v>
      </c>
      <c r="O43" s="422">
        <f t="shared" ref="O43:O51" si="43">N43/30/D43</f>
        <v>5.416666666666667</v>
      </c>
      <c r="P43" s="398">
        <f t="shared" si="33"/>
        <v>1487.08</v>
      </c>
      <c r="Q43" s="396" t="s">
        <v>489</v>
      </c>
      <c r="R43" s="429">
        <v>40513</v>
      </c>
      <c r="S43" s="429">
        <v>42338</v>
      </c>
    </row>
    <row r="44" spans="1:19" s="380" customFormat="1" ht="15" customHeight="1">
      <c r="A44" s="400" t="s">
        <v>680</v>
      </c>
      <c r="B44" s="400" t="s">
        <v>681</v>
      </c>
      <c r="C44" s="397">
        <v>527.42999999999995</v>
      </c>
      <c r="D44" s="398">
        <f t="shared" si="35"/>
        <v>527.42999999999995</v>
      </c>
      <c r="E44" s="398" t="s">
        <v>466</v>
      </c>
      <c r="F44" s="398">
        <v>300</v>
      </c>
      <c r="G44" s="398">
        <f t="shared" si="26"/>
        <v>48.387096774193544</v>
      </c>
      <c r="H44" s="401">
        <f t="shared" si="42"/>
        <v>47.043010752688168</v>
      </c>
      <c r="I44" s="398">
        <f t="shared" si="28"/>
        <v>291.66666666666663</v>
      </c>
      <c r="J44" s="398">
        <f t="shared" si="29"/>
        <v>3.5</v>
      </c>
      <c r="K44" s="398">
        <f t="shared" si="37"/>
        <v>158228.99999999997</v>
      </c>
      <c r="L44" s="398">
        <f t="shared" si="31"/>
        <v>25520.806451612898</v>
      </c>
      <c r="M44" s="398">
        <f>L44*(36-1)/36</f>
        <v>24811.895161290318</v>
      </c>
      <c r="N44" s="398">
        <f t="shared" si="32"/>
        <v>153833.74999999997</v>
      </c>
      <c r="O44" s="422">
        <f t="shared" si="43"/>
        <v>9.7222222222222214</v>
      </c>
      <c r="P44" s="398">
        <f t="shared" si="33"/>
        <v>1846.0049999999999</v>
      </c>
      <c r="Q44" s="396" t="s">
        <v>465</v>
      </c>
      <c r="R44" s="429">
        <v>41263</v>
      </c>
      <c r="S44" s="430">
        <v>42357</v>
      </c>
    </row>
    <row r="45" spans="1:19" s="380" customFormat="1" ht="15" customHeight="1">
      <c r="A45" s="400" t="s">
        <v>682</v>
      </c>
      <c r="B45" s="400" t="s">
        <v>683</v>
      </c>
      <c r="C45" s="397">
        <v>323.62</v>
      </c>
      <c r="D45" s="398">
        <f t="shared" si="35"/>
        <v>323.62</v>
      </c>
      <c r="E45" s="398" t="s">
        <v>466</v>
      </c>
      <c r="F45" s="398">
        <v>300</v>
      </c>
      <c r="G45" s="398">
        <f t="shared" si="26"/>
        <v>48.387096774193544</v>
      </c>
      <c r="H45" s="401">
        <f t="shared" si="42"/>
        <v>47.028400998949365</v>
      </c>
      <c r="I45" s="398">
        <f t="shared" si="28"/>
        <v>291.57608619348605</v>
      </c>
      <c r="J45" s="398">
        <f t="shared" si="29"/>
        <v>3.5</v>
      </c>
      <c r="K45" s="398">
        <f t="shared" si="37"/>
        <v>97086</v>
      </c>
      <c r="L45" s="398">
        <f t="shared" si="31"/>
        <v>15659.032258064515</v>
      </c>
      <c r="M45" s="398">
        <f>L45*(35.6129-1)/35.6129</f>
        <v>15219.331131279994</v>
      </c>
      <c r="N45" s="398">
        <f t="shared" si="32"/>
        <v>94359.853013935965</v>
      </c>
      <c r="O45" s="422">
        <f t="shared" si="43"/>
        <v>9.7192028731162026</v>
      </c>
      <c r="P45" s="398">
        <f t="shared" si="33"/>
        <v>1132.67</v>
      </c>
      <c r="Q45" s="434">
        <v>35.612900000000003</v>
      </c>
      <c r="R45" s="429">
        <v>41275</v>
      </c>
      <c r="S45" s="430">
        <v>42357</v>
      </c>
    </row>
    <row r="46" spans="1:19" s="380" customFormat="1" ht="15" customHeight="1">
      <c r="A46" s="400" t="s">
        <v>682</v>
      </c>
      <c r="B46" s="400" t="s">
        <v>684</v>
      </c>
      <c r="C46" s="397">
        <f>191.72+101.26</f>
        <v>292.98</v>
      </c>
      <c r="D46" s="398">
        <f t="shared" si="35"/>
        <v>292.98</v>
      </c>
      <c r="E46" s="398"/>
      <c r="F46" s="398">
        <v>300</v>
      </c>
      <c r="G46" s="398">
        <f t="shared" si="26"/>
        <v>48.387096774193544</v>
      </c>
      <c r="H46" s="401">
        <f>G46</f>
        <v>48.387096774193544</v>
      </c>
      <c r="I46" s="398">
        <f t="shared" si="28"/>
        <v>291.17647058823525</v>
      </c>
      <c r="J46" s="398">
        <f t="shared" si="29"/>
        <v>3.5</v>
      </c>
      <c r="K46" s="398">
        <f t="shared" si="37"/>
        <v>87894</v>
      </c>
      <c r="L46" s="398">
        <f t="shared" si="31"/>
        <v>14176.451612903225</v>
      </c>
      <c r="M46" s="398">
        <f>L46*(33)/34</f>
        <v>13759.497153700189</v>
      </c>
      <c r="N46" s="398">
        <f t="shared" si="32"/>
        <v>85308.882352941175</v>
      </c>
      <c r="O46" s="422">
        <f t="shared" si="43"/>
        <v>9.7058823529411757</v>
      </c>
      <c r="P46" s="398">
        <f t="shared" si="33"/>
        <v>1025.43</v>
      </c>
      <c r="Q46" s="396" t="s">
        <v>186</v>
      </c>
      <c r="R46" s="429">
        <v>41325</v>
      </c>
      <c r="S46" s="430">
        <v>42357</v>
      </c>
    </row>
    <row r="47" spans="1:19" s="380" customFormat="1" ht="15" customHeight="1">
      <c r="A47" s="400" t="s">
        <v>685</v>
      </c>
      <c r="B47" s="400" t="s">
        <v>686</v>
      </c>
      <c r="C47" s="397">
        <f>233.7-80.23</f>
        <v>153.46999999999997</v>
      </c>
      <c r="D47" s="398">
        <f t="shared" si="35"/>
        <v>153.46999999999997</v>
      </c>
      <c r="E47" s="398" t="s">
        <v>466</v>
      </c>
      <c r="F47" s="398">
        <v>162.5</v>
      </c>
      <c r="G47" s="398">
        <f t="shared" si="26"/>
        <v>26.209677419354836</v>
      </c>
      <c r="H47" s="401">
        <f>M47/C47</f>
        <v>26.209677419354833</v>
      </c>
      <c r="I47" s="398">
        <f t="shared" si="28"/>
        <v>162.49999999999997</v>
      </c>
      <c r="J47" s="398">
        <f t="shared" si="29"/>
        <v>3.5</v>
      </c>
      <c r="K47" s="398">
        <f t="shared" si="37"/>
        <v>24938.874999999996</v>
      </c>
      <c r="L47" s="398">
        <f t="shared" si="31"/>
        <v>4022.3991935483859</v>
      </c>
      <c r="M47" s="398">
        <f>L47*(36-0)/36</f>
        <v>4022.3991935483855</v>
      </c>
      <c r="N47" s="398">
        <f t="shared" si="32"/>
        <v>24938.874999999989</v>
      </c>
      <c r="O47" s="422">
        <f t="shared" si="43"/>
        <v>5.4166666666666652</v>
      </c>
      <c r="P47" s="398">
        <f t="shared" si="33"/>
        <v>537.14499999999987</v>
      </c>
      <c r="Q47" s="396" t="s">
        <v>687</v>
      </c>
      <c r="R47" s="429">
        <v>40909</v>
      </c>
      <c r="S47" s="430">
        <v>42369</v>
      </c>
    </row>
    <row r="48" spans="1:19" s="380" customFormat="1" ht="15" customHeight="1">
      <c r="A48" s="400" t="s">
        <v>688</v>
      </c>
      <c r="B48" s="400" t="s">
        <v>689</v>
      </c>
      <c r="C48" s="397">
        <v>80.23</v>
      </c>
      <c r="D48" s="398">
        <f t="shared" si="35"/>
        <v>80.23</v>
      </c>
      <c r="E48" s="398" t="s">
        <v>466</v>
      </c>
      <c r="F48" s="398">
        <v>162.5</v>
      </c>
      <c r="G48" s="398">
        <f t="shared" si="26"/>
        <v>26.209677419354836</v>
      </c>
      <c r="H48" s="401">
        <f>M48/C48</f>
        <v>26.209677419354836</v>
      </c>
      <c r="I48" s="398">
        <f t="shared" si="28"/>
        <v>162.5</v>
      </c>
      <c r="J48" s="398">
        <f t="shared" si="29"/>
        <v>3.5</v>
      </c>
      <c r="K48" s="398">
        <f t="shared" si="37"/>
        <v>13037.375</v>
      </c>
      <c r="L48" s="398">
        <f t="shared" si="31"/>
        <v>2102.8024193548385</v>
      </c>
      <c r="M48" s="398">
        <f>L48*(36-0)/36</f>
        <v>2102.8024193548385</v>
      </c>
      <c r="N48" s="398">
        <f t="shared" si="32"/>
        <v>13037.375</v>
      </c>
      <c r="O48" s="422">
        <f t="shared" si="43"/>
        <v>5.4166666666666661</v>
      </c>
      <c r="P48" s="398">
        <f t="shared" si="33"/>
        <v>280.80500000000001</v>
      </c>
      <c r="Q48" s="396" t="s">
        <v>687</v>
      </c>
      <c r="R48" s="429">
        <v>40909</v>
      </c>
      <c r="S48" s="430">
        <v>42369</v>
      </c>
    </row>
    <row r="49" spans="1:19" s="382" customFormat="1" ht="15" customHeight="1">
      <c r="A49" s="411"/>
      <c r="B49" s="406"/>
      <c r="C49" s="407"/>
      <c r="D49" s="408">
        <f>SUM(D24:D48)</f>
        <v>12808.729999999996</v>
      </c>
      <c r="E49" s="408"/>
      <c r="F49" s="408"/>
      <c r="G49" s="408"/>
      <c r="H49" s="410"/>
      <c r="I49" s="408"/>
      <c r="J49" s="408"/>
      <c r="K49" s="407"/>
      <c r="L49" s="408"/>
      <c r="M49" s="408"/>
      <c r="N49" s="407">
        <f>SUM(N24:N48)</f>
        <v>3006989.3569890996</v>
      </c>
      <c r="O49" s="422">
        <f t="shared" si="43"/>
        <v>7.825364307492106</v>
      </c>
      <c r="P49" s="407"/>
      <c r="Q49" s="412"/>
      <c r="R49" s="432"/>
      <c r="S49" s="433"/>
    </row>
    <row r="50" spans="1:19" s="380" customFormat="1" ht="12.75" customHeight="1">
      <c r="A50" s="404" t="s">
        <v>659</v>
      </c>
      <c r="B50" s="404">
        <v>605</v>
      </c>
      <c r="C50" s="397">
        <v>100.61</v>
      </c>
      <c r="D50" s="398">
        <f t="shared" ref="D50:D52" si="44">C50</f>
        <v>100.61</v>
      </c>
      <c r="E50" s="398"/>
      <c r="F50" s="398">
        <v>280</v>
      </c>
      <c r="G50" s="398">
        <f t="shared" ref="G50:G52" si="45">F50/6.2</f>
        <v>45.161290322580641</v>
      </c>
      <c r="H50" s="401">
        <f t="shared" ref="H50:H52" si="46">M50/D50</f>
        <v>41.397849462365585</v>
      </c>
      <c r="I50" s="398">
        <f t="shared" ref="I50:I58" si="47">N50/D50</f>
        <v>256.66666666666663</v>
      </c>
      <c r="J50" s="398">
        <f t="shared" ref="J50:J52" si="48">28/8</f>
        <v>3.5</v>
      </c>
      <c r="K50" s="398">
        <f t="shared" ref="K50:K52" si="49">D50*F50</f>
        <v>28170.799999999999</v>
      </c>
      <c r="L50" s="398">
        <f t="shared" ref="L50:L52" si="50">D50*G50</f>
        <v>4543.6774193548381</v>
      </c>
      <c r="M50" s="398">
        <f>L50*33/36</f>
        <v>4165.0376344086017</v>
      </c>
      <c r="N50" s="398">
        <f t="shared" ref="N50:N52" si="51">M50*6.2</f>
        <v>25823.23333333333</v>
      </c>
      <c r="O50" s="422">
        <f t="shared" si="43"/>
        <v>8.5555555555555554</v>
      </c>
      <c r="P50" s="398">
        <f t="shared" ref="P50:P52" si="52">D50*J50</f>
        <v>352.13499999999999</v>
      </c>
      <c r="Q50" s="396" t="s">
        <v>465</v>
      </c>
      <c r="R50" s="429">
        <v>41284</v>
      </c>
      <c r="S50" s="430">
        <v>42378</v>
      </c>
    </row>
    <row r="51" spans="1:19" s="380" customFormat="1" ht="15" customHeight="1">
      <c r="A51" s="400" t="s">
        <v>690</v>
      </c>
      <c r="B51" s="400" t="s">
        <v>691</v>
      </c>
      <c r="C51" s="397">
        <v>13957.42</v>
      </c>
      <c r="D51" s="398">
        <f t="shared" si="44"/>
        <v>13957.42</v>
      </c>
      <c r="E51" s="398"/>
      <c r="F51" s="398">
        <v>138</v>
      </c>
      <c r="G51" s="398">
        <f t="shared" si="45"/>
        <v>22.258064516129032</v>
      </c>
      <c r="H51" s="401">
        <f t="shared" si="46"/>
        <v>17.879428873611847</v>
      </c>
      <c r="I51" s="398">
        <f t="shared" si="47"/>
        <v>110.85245901639345</v>
      </c>
      <c r="J51" s="398">
        <f t="shared" si="48"/>
        <v>3.5</v>
      </c>
      <c r="K51" s="398">
        <f t="shared" si="49"/>
        <v>1926123.96</v>
      </c>
      <c r="L51" s="398">
        <f t="shared" si="50"/>
        <v>310665.15483870968</v>
      </c>
      <c r="M51" s="398">
        <f>L51*(61-6-6)/61</f>
        <v>249550.69814912745</v>
      </c>
      <c r="N51" s="398">
        <f t="shared" si="51"/>
        <v>1547214.3285245902</v>
      </c>
      <c r="O51" s="422">
        <f t="shared" si="43"/>
        <v>3.6950819672131145</v>
      </c>
      <c r="P51" s="398">
        <f t="shared" si="52"/>
        <v>48850.97</v>
      </c>
      <c r="Q51" s="396" t="s">
        <v>692</v>
      </c>
      <c r="R51" s="429">
        <v>40527</v>
      </c>
      <c r="S51" s="430">
        <v>42383</v>
      </c>
    </row>
    <row r="52" spans="1:19" s="380" customFormat="1" ht="15" customHeight="1">
      <c r="A52" s="404" t="s">
        <v>693</v>
      </c>
      <c r="B52" s="396" t="s">
        <v>694</v>
      </c>
      <c r="C52" s="397">
        <v>143.93</v>
      </c>
      <c r="D52" s="398">
        <f t="shared" si="44"/>
        <v>143.93</v>
      </c>
      <c r="E52" s="398"/>
      <c r="F52" s="398">
        <v>265</v>
      </c>
      <c r="G52" s="398">
        <f t="shared" si="45"/>
        <v>42.741935483870968</v>
      </c>
      <c r="H52" s="398">
        <f t="shared" si="46"/>
        <v>42.741935483870968</v>
      </c>
      <c r="I52" s="398">
        <f t="shared" si="47"/>
        <v>264.99999999999994</v>
      </c>
      <c r="J52" s="398">
        <f t="shared" si="48"/>
        <v>3.5</v>
      </c>
      <c r="K52" s="397">
        <f t="shared" si="49"/>
        <v>38141.450000000004</v>
      </c>
      <c r="L52" s="397">
        <f t="shared" si="50"/>
        <v>6151.8467741935483</v>
      </c>
      <c r="M52" s="397">
        <f>L52*(36)/36</f>
        <v>6151.8467741935483</v>
      </c>
      <c r="N52" s="397">
        <f t="shared" si="51"/>
        <v>38141.449999999997</v>
      </c>
      <c r="O52" s="421">
        <f>N52/D52/30</f>
        <v>8.8333333333333321</v>
      </c>
      <c r="P52" s="397">
        <f t="shared" si="52"/>
        <v>503.755</v>
      </c>
      <c r="Q52" s="396" t="s">
        <v>465</v>
      </c>
      <c r="R52" s="429">
        <v>41379</v>
      </c>
      <c r="S52" s="430">
        <v>42474</v>
      </c>
    </row>
    <row r="53" spans="1:19" s="382" customFormat="1" ht="15" customHeight="1">
      <c r="A53" s="411"/>
      <c r="B53" s="412"/>
      <c r="C53" s="407"/>
      <c r="D53" s="408">
        <f>SUM(D50:D52)</f>
        <v>14201.960000000001</v>
      </c>
      <c r="E53" s="408"/>
      <c r="F53" s="408"/>
      <c r="G53" s="408"/>
      <c r="H53" s="410"/>
      <c r="I53" s="408">
        <f t="shared" si="47"/>
        <v>113.44765172257375</v>
      </c>
      <c r="J53" s="408"/>
      <c r="K53" s="407"/>
      <c r="L53" s="407"/>
      <c r="M53" s="407"/>
      <c r="N53" s="407">
        <f>SUM(N50:N52)</f>
        <v>1611179.0118579236</v>
      </c>
      <c r="O53" s="421">
        <f>N53/D53/30</f>
        <v>3.7815883907524586</v>
      </c>
      <c r="P53" s="407"/>
      <c r="Q53" s="412"/>
      <c r="R53" s="432"/>
      <c r="S53" s="433"/>
    </row>
    <row r="54" spans="1:19" s="380" customFormat="1" ht="15" customHeight="1">
      <c r="A54" s="400" t="s">
        <v>695</v>
      </c>
      <c r="B54" s="400" t="s">
        <v>696</v>
      </c>
      <c r="C54" s="397">
        <f>2467.43-600</f>
        <v>1867.4299999999998</v>
      </c>
      <c r="D54" s="398">
        <f t="shared" ref="D54:D56" si="53">C54</f>
        <v>1867.4299999999998</v>
      </c>
      <c r="E54" s="398"/>
      <c r="F54" s="398">
        <v>130</v>
      </c>
      <c r="G54" s="398">
        <f t="shared" ref="G54:G56" si="54">F54/6.2</f>
        <v>20.967741935483872</v>
      </c>
      <c r="H54" s="401">
        <f t="shared" ref="H54:H56" si="55">M54/D54</f>
        <v>16.553480475382006</v>
      </c>
      <c r="I54" s="398">
        <f t="shared" si="47"/>
        <v>102.63157894736845</v>
      </c>
      <c r="J54" s="398">
        <v>3.5</v>
      </c>
      <c r="K54" s="398">
        <f t="shared" ref="K54:K56" si="56">D54*F54</f>
        <v>242765.89999999997</v>
      </c>
      <c r="L54" s="398">
        <f t="shared" ref="L54:L56" si="57">G54*D54</f>
        <v>39155.790322580644</v>
      </c>
      <c r="M54" s="398">
        <f t="shared" ref="M54:M56" si="58">L54*60/76</f>
        <v>30912.466044142617</v>
      </c>
      <c r="N54" s="398">
        <f t="shared" ref="N54:N56" si="59">M54*6.2</f>
        <v>191657.28947368424</v>
      </c>
      <c r="O54" s="422">
        <f t="shared" ref="O54:O57" si="60">N54/30/D54</f>
        <v>3.4210526315789482</v>
      </c>
      <c r="P54" s="398">
        <f t="shared" ref="P54:P56" si="61">D54*J54</f>
        <v>6536.0049999999992</v>
      </c>
      <c r="Q54" s="396" t="s">
        <v>504</v>
      </c>
      <c r="R54" s="429">
        <v>40452</v>
      </c>
      <c r="S54" s="430">
        <v>42766</v>
      </c>
    </row>
    <row r="55" spans="1:19" s="380" customFormat="1" ht="15" customHeight="1">
      <c r="A55" s="400" t="s">
        <v>697</v>
      </c>
      <c r="B55" s="400" t="s">
        <v>698</v>
      </c>
      <c r="C55" s="397">
        <v>600</v>
      </c>
      <c r="D55" s="398">
        <f t="shared" si="53"/>
        <v>600</v>
      </c>
      <c r="E55" s="398"/>
      <c r="F55" s="398">
        <v>130</v>
      </c>
      <c r="G55" s="398">
        <f t="shared" si="54"/>
        <v>20.967741935483872</v>
      </c>
      <c r="H55" s="401">
        <f t="shared" si="55"/>
        <v>16.553480475382006</v>
      </c>
      <c r="I55" s="398">
        <f t="shared" si="47"/>
        <v>102.63157894736844</v>
      </c>
      <c r="J55" s="398">
        <v>3.5</v>
      </c>
      <c r="K55" s="398">
        <f t="shared" si="56"/>
        <v>78000</v>
      </c>
      <c r="L55" s="398">
        <f t="shared" si="57"/>
        <v>12580.645161290324</v>
      </c>
      <c r="M55" s="398">
        <f t="shared" si="58"/>
        <v>9932.0882852292034</v>
      </c>
      <c r="N55" s="398">
        <f t="shared" si="59"/>
        <v>61578.947368421061</v>
      </c>
      <c r="O55" s="422">
        <f t="shared" si="60"/>
        <v>3.4210526315789478</v>
      </c>
      <c r="P55" s="398">
        <f t="shared" si="61"/>
        <v>2100</v>
      </c>
      <c r="Q55" s="396" t="s">
        <v>504</v>
      </c>
      <c r="R55" s="429">
        <v>40452</v>
      </c>
      <c r="S55" s="430">
        <v>42766</v>
      </c>
    </row>
    <row r="56" spans="1:19" s="380" customFormat="1" ht="15" customHeight="1">
      <c r="A56" s="400" t="s">
        <v>699</v>
      </c>
      <c r="B56" s="400" t="s">
        <v>700</v>
      </c>
      <c r="C56" s="397">
        <v>2467.4299999999998</v>
      </c>
      <c r="D56" s="398">
        <f t="shared" si="53"/>
        <v>2467.4299999999998</v>
      </c>
      <c r="E56" s="398"/>
      <c r="F56" s="398">
        <v>130</v>
      </c>
      <c r="G56" s="398">
        <f t="shared" si="54"/>
        <v>20.967741935483872</v>
      </c>
      <c r="H56" s="401">
        <f t="shared" si="55"/>
        <v>16.553480475382003</v>
      </c>
      <c r="I56" s="398">
        <f t="shared" si="47"/>
        <v>102.63157894736842</v>
      </c>
      <c r="J56" s="398">
        <v>3.5</v>
      </c>
      <c r="K56" s="398">
        <f t="shared" si="56"/>
        <v>320765.89999999997</v>
      </c>
      <c r="L56" s="398">
        <f t="shared" si="57"/>
        <v>51736.43548387097</v>
      </c>
      <c r="M56" s="398">
        <f t="shared" si="58"/>
        <v>40844.554329371815</v>
      </c>
      <c r="N56" s="398">
        <f t="shared" si="59"/>
        <v>253236.23684210525</v>
      </c>
      <c r="O56" s="422">
        <f t="shared" si="60"/>
        <v>3.4210526315789469</v>
      </c>
      <c r="P56" s="398">
        <f t="shared" si="61"/>
        <v>8636.0049999999992</v>
      </c>
      <c r="Q56" s="396" t="s">
        <v>504</v>
      </c>
      <c r="R56" s="429">
        <v>40452</v>
      </c>
      <c r="S56" s="430">
        <v>42766</v>
      </c>
    </row>
    <row r="57" spans="1:19" s="382" customFormat="1" ht="15" customHeight="1">
      <c r="A57" s="406"/>
      <c r="B57" s="412"/>
      <c r="C57" s="407"/>
      <c r="D57" s="408">
        <f>SUM(D54:D56)</f>
        <v>4934.8599999999997</v>
      </c>
      <c r="E57" s="408"/>
      <c r="F57" s="408"/>
      <c r="G57" s="408"/>
      <c r="H57" s="410"/>
      <c r="I57" s="408">
        <f t="shared" si="47"/>
        <v>102.63157894736844</v>
      </c>
      <c r="J57" s="408"/>
      <c r="K57" s="407"/>
      <c r="L57" s="407"/>
      <c r="M57" s="407"/>
      <c r="N57" s="407">
        <f>SUM(N54:N56)</f>
        <v>506472.47368421056</v>
      </c>
      <c r="O57" s="422">
        <f t="shared" si="60"/>
        <v>3.4210526315789478</v>
      </c>
      <c r="P57" s="407"/>
      <c r="Q57" s="412"/>
      <c r="R57" s="432"/>
      <c r="S57" s="433"/>
    </row>
    <row r="58" spans="1:19" s="380" customFormat="1" ht="15" customHeight="1">
      <c r="A58" s="413" t="s">
        <v>701</v>
      </c>
      <c r="B58" s="396" t="s">
        <v>702</v>
      </c>
      <c r="C58" s="397">
        <v>588.36</v>
      </c>
      <c r="D58" s="398">
        <f>C58</f>
        <v>588.36</v>
      </c>
      <c r="E58" s="398"/>
      <c r="F58" s="399">
        <v>120</v>
      </c>
      <c r="G58" s="398">
        <f>F58/6.2</f>
        <v>19.35483870967742</v>
      </c>
      <c r="H58" s="398">
        <f>M58/D58</f>
        <v>19.354838709677423</v>
      </c>
      <c r="I58" s="398">
        <f t="shared" si="47"/>
        <v>120.00000000000001</v>
      </c>
      <c r="J58" s="398">
        <f>28/8</f>
        <v>3.5</v>
      </c>
      <c r="K58" s="397">
        <f>D58*F58</f>
        <v>70603.199999999997</v>
      </c>
      <c r="L58" s="397">
        <f>D58*G58</f>
        <v>11387.612903225807</v>
      </c>
      <c r="M58" s="397">
        <f>L58*(96)/96</f>
        <v>11387.612903225809</v>
      </c>
      <c r="N58" s="397">
        <f>M58*6.2</f>
        <v>70603.200000000012</v>
      </c>
      <c r="O58" s="421">
        <f>N58/D58/30</f>
        <v>4.0000000000000009</v>
      </c>
      <c r="P58" s="397">
        <f>D58*J58</f>
        <v>2059.2600000000002</v>
      </c>
      <c r="Q58" s="396" t="s">
        <v>520</v>
      </c>
      <c r="R58" s="429">
        <v>40725</v>
      </c>
      <c r="S58" s="430">
        <v>43646</v>
      </c>
    </row>
    <row r="59" spans="1:19" s="382" customFormat="1" ht="12.75">
      <c r="A59" s="414" t="s">
        <v>703</v>
      </c>
      <c r="B59" s="414"/>
      <c r="C59" s="415"/>
      <c r="D59" s="415">
        <f>SUM(D58)</f>
        <v>588.36</v>
      </c>
      <c r="E59" s="415"/>
      <c r="F59" s="415"/>
      <c r="G59" s="415"/>
      <c r="H59" s="415"/>
      <c r="I59" s="415"/>
      <c r="J59" s="415"/>
      <c r="K59" s="423"/>
      <c r="L59" s="423"/>
      <c r="M59" s="423"/>
      <c r="N59" s="423">
        <f>SUM(N58)</f>
        <v>70603.200000000012</v>
      </c>
      <c r="O59" s="408">
        <f>N59/30/D59</f>
        <v>4.0000000000000009</v>
      </c>
      <c r="P59" s="423"/>
      <c r="Q59" s="423"/>
      <c r="R59" s="435"/>
      <c r="S59" s="436"/>
    </row>
  </sheetData>
  <mergeCells count="10">
    <mergeCell ref="R1:S1"/>
    <mergeCell ref="F1:F3"/>
    <mergeCell ref="G1:G3"/>
    <mergeCell ref="H1:H3"/>
    <mergeCell ref="I1:I3"/>
    <mergeCell ref="J1:J3"/>
    <mergeCell ref="K1:K3"/>
    <mergeCell ref="L1:L3"/>
    <mergeCell ref="M1:M3"/>
    <mergeCell ref="P1:P3"/>
  </mergeCells>
  <phoneticPr fontId="97" type="noConversion"/>
  <pageMargins left="0.69861111111111107" right="0.69861111111111107" top="0.75" bottom="0.75" header="0.3" footer="0.3"/>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view="pageBreakPreview" topLeftCell="A19" zoomScaleNormal="89" workbookViewId="0">
      <selection activeCell="G17" sqref="G17"/>
    </sheetView>
  </sheetViews>
  <sheetFormatPr defaultColWidth="9" defaultRowHeight="13.5"/>
  <cols>
    <col min="1" max="1" width="4.125" customWidth="1"/>
    <col min="2" max="2" width="15.375" customWidth="1"/>
    <col min="3" max="3" width="4.5" customWidth="1"/>
    <col min="4" max="4" width="10.75" customWidth="1"/>
    <col min="8" max="8" width="11.375" customWidth="1"/>
    <col min="10" max="10" width="9.125" bestFit="1" customWidth="1"/>
    <col min="12" max="12" width="5.125" customWidth="1"/>
    <col min="24" max="26" width="9.125" bestFit="1" customWidth="1"/>
  </cols>
  <sheetData>
    <row r="1" spans="1:26" s="204" customFormat="1" ht="19.5" customHeight="1">
      <c r="A1" s="1095" t="s">
        <v>704</v>
      </c>
      <c r="B1" s="1096"/>
      <c r="C1" s="1096"/>
      <c r="D1" s="1096"/>
      <c r="E1" s="1096"/>
      <c r="F1" s="1096"/>
      <c r="G1" s="1096"/>
      <c r="H1" s="1096"/>
      <c r="I1" s="1096"/>
      <c r="J1" s="1096"/>
      <c r="K1" s="1096"/>
      <c r="L1" s="1096"/>
      <c r="M1" s="1096"/>
      <c r="N1" s="1096"/>
      <c r="O1" s="1096"/>
      <c r="P1" s="1096"/>
      <c r="Q1" s="1096"/>
      <c r="R1" s="1096"/>
      <c r="S1" s="1096"/>
      <c r="T1" s="1096"/>
      <c r="U1" s="1096"/>
      <c r="V1" s="1096"/>
      <c r="W1" s="1096"/>
      <c r="X1" s="1096"/>
      <c r="Y1" s="1096"/>
      <c r="Z1" s="1097"/>
    </row>
    <row r="2" spans="1:26" s="204" customFormat="1" ht="19.5" customHeight="1">
      <c r="A2" s="1098" t="s">
        <v>238</v>
      </c>
      <c r="B2" s="1098"/>
      <c r="C2" s="1098"/>
      <c r="D2" s="1098"/>
      <c r="E2" s="1098"/>
      <c r="F2" s="1098"/>
      <c r="G2" s="1098"/>
      <c r="H2" s="1098"/>
      <c r="I2" s="1098"/>
      <c r="J2" s="1098"/>
      <c r="K2" s="1098"/>
      <c r="L2" s="1119"/>
      <c r="M2" s="1099" t="s">
        <v>239</v>
      </c>
      <c r="N2" s="1099"/>
      <c r="O2" s="1099"/>
      <c r="P2" s="1099"/>
      <c r="Q2" s="1099"/>
      <c r="R2" s="1099"/>
      <c r="S2" s="1099"/>
      <c r="T2" s="1099"/>
      <c r="U2" s="1101"/>
      <c r="V2" s="1099" t="s">
        <v>240</v>
      </c>
      <c r="W2" s="1099"/>
      <c r="X2" s="1099"/>
      <c r="Y2" s="1099"/>
      <c r="Z2" s="1099"/>
    </row>
    <row r="3" spans="1:26" s="204" customFormat="1" ht="19.5" customHeight="1">
      <c r="A3" s="1131" t="s">
        <v>241</v>
      </c>
      <c r="B3" s="1123"/>
      <c r="C3" s="1104" t="s">
        <v>705</v>
      </c>
      <c r="D3" s="1100" t="s">
        <v>242</v>
      </c>
      <c r="E3" s="1100"/>
      <c r="F3" s="1100" t="s">
        <v>243</v>
      </c>
      <c r="G3" s="1100"/>
      <c r="H3" s="1100" t="s">
        <v>244</v>
      </c>
      <c r="I3" s="1100"/>
      <c r="J3" s="1100" t="s">
        <v>245</v>
      </c>
      <c r="K3" s="1100"/>
      <c r="L3" s="1102"/>
      <c r="M3" s="1131" t="s">
        <v>241</v>
      </c>
      <c r="N3" s="1123"/>
      <c r="O3" s="1131" t="s">
        <v>243</v>
      </c>
      <c r="P3" s="1123"/>
      <c r="Q3" s="1131" t="s">
        <v>244</v>
      </c>
      <c r="R3" s="1123"/>
      <c r="S3" s="1116" t="s">
        <v>245</v>
      </c>
      <c r="T3" s="1116"/>
      <c r="U3" s="1102"/>
      <c r="V3" s="1131" t="s">
        <v>241</v>
      </c>
      <c r="W3" s="1123"/>
      <c r="X3" s="1112" t="s">
        <v>243</v>
      </c>
      <c r="Y3" s="1112" t="s">
        <v>244</v>
      </c>
      <c r="Z3" s="1112" t="s">
        <v>245</v>
      </c>
    </row>
    <row r="4" spans="1:26" s="204" customFormat="1" ht="19.5" customHeight="1">
      <c r="A4" s="1132"/>
      <c r="B4" s="1133"/>
      <c r="C4" s="1105"/>
      <c r="D4" s="1125" t="s">
        <v>921</v>
      </c>
      <c r="E4" s="1107"/>
      <c r="F4" s="1106" t="s">
        <v>939</v>
      </c>
      <c r="G4" s="1107"/>
      <c r="H4" s="1106" t="s">
        <v>950</v>
      </c>
      <c r="I4" s="1107"/>
      <c r="J4" s="1106" t="s">
        <v>943</v>
      </c>
      <c r="K4" s="1107"/>
      <c r="L4" s="1102"/>
      <c r="M4" s="1132"/>
      <c r="N4" s="1133"/>
      <c r="O4" s="1134"/>
      <c r="P4" s="1135"/>
      <c r="Q4" s="1132"/>
      <c r="R4" s="1133"/>
      <c r="S4" s="1116"/>
      <c r="T4" s="1116"/>
      <c r="U4" s="1102"/>
      <c r="V4" s="1132"/>
      <c r="W4" s="1133"/>
      <c r="X4" s="1113"/>
      <c r="Y4" s="1113"/>
      <c r="Z4" s="1113"/>
    </row>
    <row r="5" spans="1:26" s="204" customFormat="1" ht="19.5" customHeight="1">
      <c r="A5" s="1108" t="s">
        <v>250</v>
      </c>
      <c r="B5" s="1109"/>
      <c r="C5" s="196"/>
      <c r="D5" s="197" t="s">
        <v>922</v>
      </c>
      <c r="E5" s="195">
        <v>100</v>
      </c>
      <c r="F5" s="877" t="s">
        <v>940</v>
      </c>
      <c r="G5" s="195">
        <v>100</v>
      </c>
      <c r="H5" s="877" t="s">
        <v>940</v>
      </c>
      <c r="I5" s="195">
        <v>100</v>
      </c>
      <c r="J5" s="877" t="s">
        <v>940</v>
      </c>
      <c r="K5" s="195">
        <v>100</v>
      </c>
      <c r="L5" s="1102"/>
      <c r="M5" s="1110" t="s">
        <v>250</v>
      </c>
      <c r="N5" s="1111"/>
      <c r="O5" s="217" t="s">
        <v>252</v>
      </c>
      <c r="P5" s="218">
        <f t="shared" ref="P5:T5" si="0">G5</f>
        <v>100</v>
      </c>
      <c r="Q5" s="217" t="s">
        <v>252</v>
      </c>
      <c r="R5" s="218">
        <f t="shared" si="0"/>
        <v>100</v>
      </c>
      <c r="S5" s="217" t="s">
        <v>252</v>
      </c>
      <c r="T5" s="218">
        <f t="shared" si="0"/>
        <v>100</v>
      </c>
      <c r="U5" s="1102"/>
      <c r="V5" s="1110" t="s">
        <v>250</v>
      </c>
      <c r="W5" s="1124"/>
      <c r="X5" s="224">
        <f t="shared" ref="X5:X25" si="1">E5/G5</f>
        <v>1</v>
      </c>
      <c r="Y5" s="224">
        <f t="shared" ref="Y5:Y25" si="2">E5/I5</f>
        <v>1</v>
      </c>
      <c r="Z5" s="224">
        <f t="shared" ref="Z5:Z25" si="3">E5/K5</f>
        <v>1</v>
      </c>
    </row>
    <row r="6" spans="1:26" s="204" customFormat="1" ht="19.5" customHeight="1">
      <c r="A6" s="1108" t="s">
        <v>253</v>
      </c>
      <c r="B6" s="1123"/>
      <c r="C6" s="196">
        <v>2</v>
      </c>
      <c r="D6" s="197" t="s">
        <v>254</v>
      </c>
      <c r="E6" s="195">
        <v>100</v>
      </c>
      <c r="F6" s="197" t="s">
        <v>254</v>
      </c>
      <c r="G6" s="195">
        <v>100</v>
      </c>
      <c r="H6" s="197" t="s">
        <v>254</v>
      </c>
      <c r="I6" s="195">
        <v>100</v>
      </c>
      <c r="J6" s="197" t="s">
        <v>254</v>
      </c>
      <c r="K6" s="195">
        <v>100</v>
      </c>
      <c r="L6" s="1102"/>
      <c r="M6" s="1110" t="s">
        <v>253</v>
      </c>
      <c r="N6" s="1124"/>
      <c r="O6" s="217" t="s">
        <v>252</v>
      </c>
      <c r="P6" s="218">
        <f t="shared" ref="P6:T6" si="4">G6</f>
        <v>100</v>
      </c>
      <c r="Q6" s="217" t="s">
        <v>252</v>
      </c>
      <c r="R6" s="218">
        <f t="shared" si="4"/>
        <v>100</v>
      </c>
      <c r="S6" s="217" t="s">
        <v>252</v>
      </c>
      <c r="T6" s="218">
        <f t="shared" si="4"/>
        <v>100</v>
      </c>
      <c r="U6" s="1102"/>
      <c r="V6" s="1110" t="s">
        <v>253</v>
      </c>
      <c r="W6" s="1124"/>
      <c r="X6" s="224">
        <f t="shared" si="1"/>
        <v>1</v>
      </c>
      <c r="Y6" s="224">
        <f t="shared" si="2"/>
        <v>1</v>
      </c>
      <c r="Z6" s="224">
        <f t="shared" si="3"/>
        <v>1</v>
      </c>
    </row>
    <row r="7" spans="1:26" s="204" customFormat="1" ht="19.5" customHeight="1">
      <c r="A7" s="1103" t="s">
        <v>255</v>
      </c>
      <c r="B7" s="202" t="s">
        <v>910</v>
      </c>
      <c r="C7" s="196">
        <v>2</v>
      </c>
      <c r="D7" s="197" t="s">
        <v>911</v>
      </c>
      <c r="E7" s="195">
        <v>100</v>
      </c>
      <c r="F7" s="877" t="s">
        <v>911</v>
      </c>
      <c r="G7" s="195">
        <v>100</v>
      </c>
      <c r="H7" s="877" t="s">
        <v>911</v>
      </c>
      <c r="I7" s="195">
        <v>100</v>
      </c>
      <c r="J7" s="877" t="s">
        <v>911</v>
      </c>
      <c r="K7" s="195">
        <v>100</v>
      </c>
      <c r="L7" s="1102"/>
      <c r="M7" s="1103" t="s">
        <v>255</v>
      </c>
      <c r="N7" s="219" t="str">
        <f t="shared" ref="N7:N25" si="5">B7</f>
        <v>用途</v>
      </c>
      <c r="O7" s="217" t="s">
        <v>252</v>
      </c>
      <c r="P7" s="218">
        <f t="shared" ref="P7:T7" si="6">G7</f>
        <v>100</v>
      </c>
      <c r="Q7" s="217" t="s">
        <v>252</v>
      </c>
      <c r="R7" s="218">
        <f t="shared" si="6"/>
        <v>100</v>
      </c>
      <c r="S7" s="217" t="s">
        <v>252</v>
      </c>
      <c r="T7" s="218">
        <f t="shared" si="6"/>
        <v>100</v>
      </c>
      <c r="U7" s="1102"/>
      <c r="V7" s="1103" t="s">
        <v>255</v>
      </c>
      <c r="W7" s="225" t="str">
        <f t="shared" ref="W7:W25" si="7">N7</f>
        <v>用途</v>
      </c>
      <c r="X7" s="224">
        <f t="shared" si="1"/>
        <v>1</v>
      </c>
      <c r="Y7" s="224">
        <f t="shared" si="2"/>
        <v>1</v>
      </c>
      <c r="Z7" s="224">
        <f t="shared" si="3"/>
        <v>1</v>
      </c>
    </row>
    <row r="8" spans="1:26" s="204" customFormat="1" ht="19.5" customHeight="1">
      <c r="A8" s="1103"/>
      <c r="B8" s="202" t="s">
        <v>258</v>
      </c>
      <c r="C8" s="196"/>
      <c r="D8" s="877" t="s">
        <v>930</v>
      </c>
      <c r="E8" s="195">
        <v>100</v>
      </c>
      <c r="F8" s="877" t="s">
        <v>941</v>
      </c>
      <c r="G8" s="195">
        <v>99</v>
      </c>
      <c r="H8" s="877" t="s">
        <v>951</v>
      </c>
      <c r="I8" s="195">
        <v>100</v>
      </c>
      <c r="J8" s="922" t="s">
        <v>706</v>
      </c>
      <c r="K8" s="923">
        <v>101</v>
      </c>
      <c r="L8" s="1102"/>
      <c r="M8" s="1103"/>
      <c r="N8" s="219" t="str">
        <f t="shared" si="5"/>
        <v>土地使用年限</v>
      </c>
      <c r="O8" s="217" t="s">
        <v>252</v>
      </c>
      <c r="P8" s="218">
        <f t="shared" ref="P8:T8" si="8">G8</f>
        <v>99</v>
      </c>
      <c r="Q8" s="217" t="s">
        <v>252</v>
      </c>
      <c r="R8" s="218">
        <f t="shared" si="8"/>
        <v>100</v>
      </c>
      <c r="S8" s="217" t="s">
        <v>252</v>
      </c>
      <c r="T8" s="218">
        <f t="shared" si="8"/>
        <v>101</v>
      </c>
      <c r="U8" s="1102"/>
      <c r="V8" s="1103"/>
      <c r="W8" s="225" t="str">
        <f t="shared" si="7"/>
        <v>土地使用年限</v>
      </c>
      <c r="X8" s="224">
        <f t="shared" si="1"/>
        <v>1.0101010101010102</v>
      </c>
      <c r="Y8" s="224">
        <f t="shared" si="2"/>
        <v>1</v>
      </c>
      <c r="Z8" s="224">
        <f t="shared" si="3"/>
        <v>0.99009900990099009</v>
      </c>
    </row>
    <row r="9" spans="1:26" s="204" customFormat="1" ht="19.5" customHeight="1">
      <c r="A9" s="1103"/>
      <c r="B9" s="202" t="s">
        <v>74</v>
      </c>
      <c r="C9" s="196">
        <v>2</v>
      </c>
      <c r="D9" s="872">
        <f>面积!B7</f>
        <v>2.06</v>
      </c>
      <c r="E9" s="195">
        <v>100</v>
      </c>
      <c r="F9" s="877" t="s">
        <v>944</v>
      </c>
      <c r="G9" s="195">
        <v>100</v>
      </c>
      <c r="H9" s="877" t="s">
        <v>953</v>
      </c>
      <c r="I9" s="195">
        <v>103</v>
      </c>
      <c r="J9" s="877" t="s">
        <v>942</v>
      </c>
      <c r="K9" s="195">
        <v>103</v>
      </c>
      <c r="L9" s="1102"/>
      <c r="M9" s="1103"/>
      <c r="N9" s="219" t="str">
        <f t="shared" si="5"/>
        <v>容积率</v>
      </c>
      <c r="O9" s="217" t="s">
        <v>252</v>
      </c>
      <c r="P9" s="218">
        <f t="shared" ref="P9:T9" si="9">G9</f>
        <v>100</v>
      </c>
      <c r="Q9" s="217" t="s">
        <v>252</v>
      </c>
      <c r="R9" s="218">
        <f t="shared" si="9"/>
        <v>103</v>
      </c>
      <c r="S9" s="217" t="s">
        <v>252</v>
      </c>
      <c r="T9" s="218">
        <f t="shared" si="9"/>
        <v>103</v>
      </c>
      <c r="U9" s="1102"/>
      <c r="V9" s="1103"/>
      <c r="W9" s="225" t="str">
        <f t="shared" si="7"/>
        <v>容积率</v>
      </c>
      <c r="X9" s="224">
        <f t="shared" si="1"/>
        <v>1</v>
      </c>
      <c r="Y9" s="224">
        <f t="shared" si="2"/>
        <v>0.970873786407767</v>
      </c>
      <c r="Z9" s="224">
        <f t="shared" si="3"/>
        <v>0.970873786407767</v>
      </c>
    </row>
    <row r="10" spans="1:26" s="204" customFormat="1" ht="28.5" customHeight="1">
      <c r="A10" s="1117" t="s">
        <v>261</v>
      </c>
      <c r="B10" s="873" t="s">
        <v>923</v>
      </c>
      <c r="C10" s="196">
        <v>2</v>
      </c>
      <c r="D10" s="878" t="s">
        <v>931</v>
      </c>
      <c r="E10" s="195">
        <v>100</v>
      </c>
      <c r="F10" s="877" t="s">
        <v>931</v>
      </c>
      <c r="G10" s="195">
        <v>100</v>
      </c>
      <c r="H10" s="877" t="s">
        <v>931</v>
      </c>
      <c r="I10" s="195">
        <v>100</v>
      </c>
      <c r="J10" s="877" t="s">
        <v>931</v>
      </c>
      <c r="K10" s="195">
        <v>100</v>
      </c>
      <c r="L10" s="1102"/>
      <c r="M10" s="1117" t="s">
        <v>261</v>
      </c>
      <c r="N10" s="219" t="str">
        <f t="shared" si="5"/>
        <v>商业繁华度</v>
      </c>
      <c r="O10" s="217" t="s">
        <v>252</v>
      </c>
      <c r="P10" s="218">
        <f t="shared" ref="P10:T10" si="10">G10</f>
        <v>100</v>
      </c>
      <c r="Q10" s="217" t="s">
        <v>252</v>
      </c>
      <c r="R10" s="218">
        <f t="shared" si="10"/>
        <v>100</v>
      </c>
      <c r="S10" s="217" t="s">
        <v>252</v>
      </c>
      <c r="T10" s="218">
        <f t="shared" si="10"/>
        <v>100</v>
      </c>
      <c r="U10" s="1102"/>
      <c r="V10" s="1117" t="s">
        <v>261</v>
      </c>
      <c r="W10" s="226" t="str">
        <f t="shared" si="7"/>
        <v>商业繁华度</v>
      </c>
      <c r="X10" s="224">
        <f t="shared" si="1"/>
        <v>1</v>
      </c>
      <c r="Y10" s="224">
        <f t="shared" si="2"/>
        <v>1</v>
      </c>
      <c r="Z10" s="224">
        <f t="shared" si="3"/>
        <v>1</v>
      </c>
    </row>
    <row r="11" spans="1:26" s="204" customFormat="1" ht="22.5" customHeight="1">
      <c r="A11" s="1117"/>
      <c r="B11" s="198" t="s">
        <v>266</v>
      </c>
      <c r="C11" s="196">
        <v>2</v>
      </c>
      <c r="D11" s="878" t="s">
        <v>932</v>
      </c>
      <c r="E11" s="195">
        <v>100</v>
      </c>
      <c r="F11" s="877" t="s">
        <v>932</v>
      </c>
      <c r="G11" s="195">
        <v>100</v>
      </c>
      <c r="H11" s="877" t="s">
        <v>932</v>
      </c>
      <c r="I11" s="195">
        <v>100</v>
      </c>
      <c r="J11" s="197" t="s">
        <v>1055</v>
      </c>
      <c r="K11" s="195">
        <v>100</v>
      </c>
      <c r="L11" s="1102"/>
      <c r="M11" s="1120"/>
      <c r="N11" s="219" t="str">
        <f t="shared" si="5"/>
        <v>交通便捷度</v>
      </c>
      <c r="O11" s="217" t="s">
        <v>252</v>
      </c>
      <c r="P11" s="218">
        <f t="shared" ref="P11:T11" si="11">G11</f>
        <v>100</v>
      </c>
      <c r="Q11" s="217" t="s">
        <v>252</v>
      </c>
      <c r="R11" s="218">
        <f t="shared" si="11"/>
        <v>100</v>
      </c>
      <c r="S11" s="217" t="s">
        <v>252</v>
      </c>
      <c r="T11" s="218">
        <f t="shared" si="11"/>
        <v>100</v>
      </c>
      <c r="U11" s="1102"/>
      <c r="V11" s="1120"/>
      <c r="W11" s="226" t="str">
        <f t="shared" si="7"/>
        <v>交通便捷度</v>
      </c>
      <c r="X11" s="224">
        <f t="shared" si="1"/>
        <v>1</v>
      </c>
      <c r="Y11" s="224">
        <f t="shared" si="2"/>
        <v>1</v>
      </c>
      <c r="Z11" s="224">
        <f t="shared" si="3"/>
        <v>1</v>
      </c>
    </row>
    <row r="12" spans="1:26" s="204" customFormat="1" ht="19.5" customHeight="1">
      <c r="A12" s="1117"/>
      <c r="B12" s="198" t="s">
        <v>707</v>
      </c>
      <c r="C12" s="196">
        <v>2</v>
      </c>
      <c r="D12" s="197" t="s">
        <v>708</v>
      </c>
      <c r="E12" s="195">
        <v>100</v>
      </c>
      <c r="F12" s="197" t="s">
        <v>708</v>
      </c>
      <c r="G12" s="195">
        <v>100</v>
      </c>
      <c r="H12" s="197" t="s">
        <v>708</v>
      </c>
      <c r="I12" s="195">
        <v>100</v>
      </c>
      <c r="J12" s="197" t="s">
        <v>708</v>
      </c>
      <c r="K12" s="195">
        <v>100</v>
      </c>
      <c r="L12" s="1102"/>
      <c r="M12" s="1120"/>
      <c r="N12" s="219" t="str">
        <f t="shared" si="5"/>
        <v>基础设施情况</v>
      </c>
      <c r="O12" s="217" t="s">
        <v>252</v>
      </c>
      <c r="P12" s="218">
        <f t="shared" ref="P12:T12" si="12">G12</f>
        <v>100</v>
      </c>
      <c r="Q12" s="217" t="s">
        <v>252</v>
      </c>
      <c r="R12" s="218">
        <f t="shared" si="12"/>
        <v>100</v>
      </c>
      <c r="S12" s="217" t="s">
        <v>252</v>
      </c>
      <c r="T12" s="218">
        <f t="shared" si="12"/>
        <v>100</v>
      </c>
      <c r="U12" s="1102"/>
      <c r="V12" s="1120"/>
      <c r="W12" s="226" t="str">
        <f t="shared" si="7"/>
        <v>基础设施情况</v>
      </c>
      <c r="X12" s="224">
        <f t="shared" si="1"/>
        <v>1</v>
      </c>
      <c r="Y12" s="224">
        <f t="shared" si="2"/>
        <v>1</v>
      </c>
      <c r="Z12" s="224">
        <f t="shared" si="3"/>
        <v>1</v>
      </c>
    </row>
    <row r="13" spans="1:26" s="204" customFormat="1" ht="30" customHeight="1">
      <c r="A13" s="1117"/>
      <c r="B13" s="873" t="s">
        <v>924</v>
      </c>
      <c r="C13" s="196">
        <v>2</v>
      </c>
      <c r="D13" s="879" t="s">
        <v>933</v>
      </c>
      <c r="E13" s="195">
        <v>100</v>
      </c>
      <c r="F13" s="879" t="s">
        <v>933</v>
      </c>
      <c r="G13" s="195">
        <v>100</v>
      </c>
      <c r="H13" s="879" t="s">
        <v>933</v>
      </c>
      <c r="I13" s="195">
        <v>100</v>
      </c>
      <c r="J13" s="879" t="s">
        <v>933</v>
      </c>
      <c r="K13" s="195">
        <v>100</v>
      </c>
      <c r="L13" s="1102"/>
      <c r="M13" s="1120"/>
      <c r="N13" s="219" t="str">
        <f t="shared" si="5"/>
        <v>临街状况</v>
      </c>
      <c r="O13" s="217" t="s">
        <v>252</v>
      </c>
      <c r="P13" s="218">
        <f t="shared" ref="P13:T13" si="13">G13</f>
        <v>100</v>
      </c>
      <c r="Q13" s="217" t="s">
        <v>252</v>
      </c>
      <c r="R13" s="218">
        <f t="shared" si="13"/>
        <v>100</v>
      </c>
      <c r="S13" s="217" t="s">
        <v>252</v>
      </c>
      <c r="T13" s="218">
        <f t="shared" si="13"/>
        <v>100</v>
      </c>
      <c r="U13" s="1102"/>
      <c r="V13" s="1120"/>
      <c r="W13" s="226" t="str">
        <f t="shared" si="7"/>
        <v>临街状况</v>
      </c>
      <c r="X13" s="224">
        <f t="shared" si="1"/>
        <v>1</v>
      </c>
      <c r="Y13" s="224">
        <f t="shared" si="2"/>
        <v>1</v>
      </c>
      <c r="Z13" s="224">
        <f t="shared" si="3"/>
        <v>1</v>
      </c>
    </row>
    <row r="14" spans="1:26" s="204" customFormat="1" ht="29.1" customHeight="1">
      <c r="A14" s="1117"/>
      <c r="B14" s="198" t="s">
        <v>710</v>
      </c>
      <c r="C14" s="196">
        <v>2</v>
      </c>
      <c r="D14" s="197" t="s">
        <v>711</v>
      </c>
      <c r="E14" s="195">
        <v>100</v>
      </c>
      <c r="F14" s="197" t="s">
        <v>711</v>
      </c>
      <c r="G14" s="195">
        <v>100</v>
      </c>
      <c r="H14" s="877" t="s">
        <v>931</v>
      </c>
      <c r="I14" s="195">
        <v>98</v>
      </c>
      <c r="J14" s="197" t="s">
        <v>711</v>
      </c>
      <c r="K14" s="195">
        <v>100</v>
      </c>
      <c r="L14" s="1102"/>
      <c r="M14" s="1120"/>
      <c r="N14" s="219" t="str">
        <f t="shared" si="5"/>
        <v>公共服务设施状况</v>
      </c>
      <c r="O14" s="217" t="s">
        <v>252</v>
      </c>
      <c r="P14" s="218">
        <f t="shared" ref="P14:T14" si="14">G14</f>
        <v>100</v>
      </c>
      <c r="Q14" s="217" t="s">
        <v>252</v>
      </c>
      <c r="R14" s="218">
        <f t="shared" si="14"/>
        <v>98</v>
      </c>
      <c r="S14" s="217" t="s">
        <v>252</v>
      </c>
      <c r="T14" s="218">
        <f t="shared" si="14"/>
        <v>100</v>
      </c>
      <c r="U14" s="1102"/>
      <c r="V14" s="1120"/>
      <c r="W14" s="226" t="str">
        <f t="shared" si="7"/>
        <v>公共服务设施状况</v>
      </c>
      <c r="X14" s="224">
        <f t="shared" si="1"/>
        <v>1</v>
      </c>
      <c r="Y14" s="224">
        <f t="shared" si="2"/>
        <v>1.0204081632653061</v>
      </c>
      <c r="Z14" s="224">
        <f t="shared" si="3"/>
        <v>1</v>
      </c>
    </row>
    <row r="15" spans="1:26" s="204" customFormat="1" ht="19.5" customHeight="1">
      <c r="A15" s="1117"/>
      <c r="B15" s="198" t="s">
        <v>712</v>
      </c>
      <c r="C15" s="196">
        <v>2</v>
      </c>
      <c r="D15" s="877" t="s">
        <v>934</v>
      </c>
      <c r="E15" s="195">
        <v>100</v>
      </c>
      <c r="F15" s="877" t="s">
        <v>934</v>
      </c>
      <c r="G15" s="195">
        <v>100</v>
      </c>
      <c r="H15" s="877" t="s">
        <v>934</v>
      </c>
      <c r="I15" s="195">
        <v>100</v>
      </c>
      <c r="J15" s="877" t="s">
        <v>934</v>
      </c>
      <c r="K15" s="195">
        <v>100</v>
      </c>
      <c r="L15" s="1102"/>
      <c r="M15" s="1120"/>
      <c r="N15" s="219" t="str">
        <f t="shared" si="5"/>
        <v>楼层</v>
      </c>
      <c r="O15" s="217" t="s">
        <v>252</v>
      </c>
      <c r="P15" s="218">
        <f t="shared" ref="P15:T15" si="15">G15</f>
        <v>100</v>
      </c>
      <c r="Q15" s="217" t="s">
        <v>252</v>
      </c>
      <c r="R15" s="218">
        <f t="shared" si="15"/>
        <v>100</v>
      </c>
      <c r="S15" s="217" t="s">
        <v>252</v>
      </c>
      <c r="T15" s="218">
        <f t="shared" si="15"/>
        <v>100</v>
      </c>
      <c r="U15" s="1102"/>
      <c r="V15" s="1120"/>
      <c r="W15" s="226" t="str">
        <f t="shared" si="7"/>
        <v>楼层</v>
      </c>
      <c r="X15" s="224">
        <f t="shared" si="1"/>
        <v>1</v>
      </c>
      <c r="Y15" s="224">
        <f t="shared" si="2"/>
        <v>1</v>
      </c>
      <c r="Z15" s="224">
        <f t="shared" si="3"/>
        <v>1</v>
      </c>
    </row>
    <row r="16" spans="1:26" s="204" customFormat="1" ht="19.5" customHeight="1">
      <c r="A16" s="1117"/>
      <c r="B16" s="874" t="s">
        <v>925</v>
      </c>
      <c r="C16" s="196"/>
      <c r="D16" s="877" t="s">
        <v>935</v>
      </c>
      <c r="E16" s="195">
        <v>100</v>
      </c>
      <c r="F16" s="877" t="s">
        <v>935</v>
      </c>
      <c r="G16" s="195">
        <v>100</v>
      </c>
      <c r="H16" s="877" t="s">
        <v>935</v>
      </c>
      <c r="I16" s="195">
        <v>100</v>
      </c>
      <c r="J16" s="877" t="s">
        <v>935</v>
      </c>
      <c r="K16" s="195">
        <v>100</v>
      </c>
      <c r="L16" s="1102"/>
      <c r="M16" s="1120"/>
      <c r="N16" s="219" t="str">
        <f t="shared" si="5"/>
        <v>可视性</v>
      </c>
      <c r="O16" s="217" t="s">
        <v>252</v>
      </c>
      <c r="P16" s="218">
        <f t="shared" ref="P16:T16" si="16">G16</f>
        <v>100</v>
      </c>
      <c r="Q16" s="217" t="s">
        <v>252</v>
      </c>
      <c r="R16" s="218">
        <f t="shared" si="16"/>
        <v>100</v>
      </c>
      <c r="S16" s="217" t="s">
        <v>252</v>
      </c>
      <c r="T16" s="218">
        <f t="shared" si="16"/>
        <v>100</v>
      </c>
      <c r="U16" s="1102"/>
      <c r="V16" s="1120"/>
      <c r="W16" s="226" t="str">
        <f t="shared" si="7"/>
        <v>可视性</v>
      </c>
      <c r="X16" s="224">
        <f t="shared" si="1"/>
        <v>1</v>
      </c>
      <c r="Y16" s="224">
        <f t="shared" si="2"/>
        <v>1</v>
      </c>
      <c r="Z16" s="224">
        <f t="shared" si="3"/>
        <v>1</v>
      </c>
    </row>
    <row r="17" spans="1:26" s="204" customFormat="1" ht="21" customHeight="1">
      <c r="A17" s="1118" t="s">
        <v>272</v>
      </c>
      <c r="B17" s="875" t="s">
        <v>913</v>
      </c>
      <c r="C17" s="196"/>
      <c r="D17" s="872">
        <f>ROUND(面积!B2/5,2)</f>
        <v>9052.1200000000008</v>
      </c>
      <c r="E17" s="195">
        <v>100</v>
      </c>
      <c r="F17" s="877" t="s">
        <v>945</v>
      </c>
      <c r="G17" s="195">
        <f>I30</f>
        <v>109</v>
      </c>
      <c r="H17" s="877" t="s">
        <v>954</v>
      </c>
      <c r="I17" s="195">
        <f>I29</f>
        <v>112</v>
      </c>
      <c r="J17" s="877" t="s">
        <v>958</v>
      </c>
      <c r="K17" s="195">
        <f>I29</f>
        <v>112</v>
      </c>
      <c r="L17" s="1102"/>
      <c r="M17" s="1121"/>
      <c r="N17" s="219" t="str">
        <f t="shared" si="5"/>
        <v>建筑面积</v>
      </c>
      <c r="O17" s="217" t="s">
        <v>252</v>
      </c>
      <c r="P17" s="218">
        <f t="shared" ref="P17:T17" si="17">G17</f>
        <v>109</v>
      </c>
      <c r="Q17" s="217" t="s">
        <v>252</v>
      </c>
      <c r="R17" s="218">
        <f t="shared" si="17"/>
        <v>112</v>
      </c>
      <c r="S17" s="217" t="s">
        <v>252</v>
      </c>
      <c r="T17" s="218">
        <f t="shared" si="17"/>
        <v>112</v>
      </c>
      <c r="U17" s="1102"/>
      <c r="V17" s="1121"/>
      <c r="W17" s="226" t="str">
        <f t="shared" si="7"/>
        <v>建筑面积</v>
      </c>
      <c r="X17" s="224">
        <f t="shared" si="1"/>
        <v>0.91743119266055051</v>
      </c>
      <c r="Y17" s="224">
        <f t="shared" si="2"/>
        <v>0.8928571428571429</v>
      </c>
      <c r="Z17" s="224">
        <f t="shared" si="3"/>
        <v>0.8928571428571429</v>
      </c>
    </row>
    <row r="18" spans="1:26" s="204" customFormat="1" ht="19.5" customHeight="1">
      <c r="A18" s="1118"/>
      <c r="B18" s="876" t="s">
        <v>926</v>
      </c>
      <c r="C18" s="196">
        <v>2</v>
      </c>
      <c r="D18" s="880" t="s">
        <v>936</v>
      </c>
      <c r="E18" s="195">
        <v>100</v>
      </c>
      <c r="F18" s="880" t="s">
        <v>946</v>
      </c>
      <c r="G18" s="195">
        <v>96</v>
      </c>
      <c r="H18" s="880" t="s">
        <v>955</v>
      </c>
      <c r="I18" s="195">
        <v>96</v>
      </c>
      <c r="J18" s="880" t="s">
        <v>946</v>
      </c>
      <c r="K18" s="195">
        <v>96</v>
      </c>
      <c r="L18" s="1102"/>
      <c r="M18" s="1122" t="s">
        <v>272</v>
      </c>
      <c r="N18" s="219" t="str">
        <f t="shared" si="5"/>
        <v>商业类型</v>
      </c>
      <c r="O18" s="217" t="s">
        <v>252</v>
      </c>
      <c r="P18" s="218">
        <f t="shared" ref="P18:T18" si="18">G18</f>
        <v>96</v>
      </c>
      <c r="Q18" s="217" t="s">
        <v>252</v>
      </c>
      <c r="R18" s="218">
        <f t="shared" si="18"/>
        <v>96</v>
      </c>
      <c r="S18" s="217" t="s">
        <v>252</v>
      </c>
      <c r="T18" s="218">
        <f t="shared" si="18"/>
        <v>96</v>
      </c>
      <c r="U18" s="1102"/>
      <c r="V18" s="1122" t="s">
        <v>272</v>
      </c>
      <c r="W18" s="226" t="str">
        <f t="shared" si="7"/>
        <v>商业类型</v>
      </c>
      <c r="X18" s="224">
        <f t="shared" si="1"/>
        <v>1.0416666666666667</v>
      </c>
      <c r="Y18" s="224">
        <f t="shared" si="2"/>
        <v>1.0416666666666667</v>
      </c>
      <c r="Z18" s="224">
        <f t="shared" si="3"/>
        <v>1.0416666666666667</v>
      </c>
    </row>
    <row r="19" spans="1:26" s="204" customFormat="1" ht="19.5" customHeight="1">
      <c r="A19" s="1118"/>
      <c r="B19" s="376" t="s">
        <v>713</v>
      </c>
      <c r="C19" s="196">
        <v>2</v>
      </c>
      <c r="D19" s="197" t="s">
        <v>274</v>
      </c>
      <c r="E19" s="195">
        <v>100</v>
      </c>
      <c r="F19" s="197" t="s">
        <v>274</v>
      </c>
      <c r="G19" s="195">
        <v>100</v>
      </c>
      <c r="H19" s="197" t="s">
        <v>274</v>
      </c>
      <c r="I19" s="195">
        <v>100</v>
      </c>
      <c r="J19" s="197" t="s">
        <v>274</v>
      </c>
      <c r="K19" s="195">
        <v>100</v>
      </c>
      <c r="L19" s="1102"/>
      <c r="M19" s="1122"/>
      <c r="N19" s="219" t="str">
        <f t="shared" si="5"/>
        <v>建筑结构</v>
      </c>
      <c r="O19" s="217" t="s">
        <v>252</v>
      </c>
      <c r="P19" s="218">
        <f t="shared" ref="P19:T19" si="19">G19</f>
        <v>100</v>
      </c>
      <c r="Q19" s="217" t="s">
        <v>252</v>
      </c>
      <c r="R19" s="218">
        <f t="shared" si="19"/>
        <v>100</v>
      </c>
      <c r="S19" s="217" t="s">
        <v>252</v>
      </c>
      <c r="T19" s="218">
        <f t="shared" si="19"/>
        <v>100</v>
      </c>
      <c r="U19" s="1102"/>
      <c r="V19" s="1122"/>
      <c r="W19" s="226" t="str">
        <f t="shared" si="7"/>
        <v>建筑结构</v>
      </c>
      <c r="X19" s="224">
        <f t="shared" si="1"/>
        <v>1</v>
      </c>
      <c r="Y19" s="224">
        <f t="shared" si="2"/>
        <v>1</v>
      </c>
      <c r="Z19" s="224">
        <f t="shared" si="3"/>
        <v>1</v>
      </c>
    </row>
    <row r="20" spans="1:26" s="204" customFormat="1" ht="39.75" customHeight="1">
      <c r="A20" s="1118"/>
      <c r="B20" s="876" t="s">
        <v>927</v>
      </c>
      <c r="C20" s="196">
        <v>2</v>
      </c>
      <c r="D20" s="873" t="s">
        <v>937</v>
      </c>
      <c r="E20" s="195">
        <v>100</v>
      </c>
      <c r="F20" s="873" t="s">
        <v>947</v>
      </c>
      <c r="G20" s="195">
        <v>99</v>
      </c>
      <c r="H20" s="873" t="s">
        <v>956</v>
      </c>
      <c r="I20" s="195">
        <v>98</v>
      </c>
      <c r="J20" s="873" t="s">
        <v>959</v>
      </c>
      <c r="K20" s="195">
        <v>97</v>
      </c>
      <c r="L20" s="1102"/>
      <c r="M20" s="1122"/>
      <c r="N20" s="219" t="str">
        <f t="shared" si="5"/>
        <v>临街道路级别</v>
      </c>
      <c r="O20" s="217" t="s">
        <v>252</v>
      </c>
      <c r="P20" s="218">
        <f t="shared" ref="P20:T20" si="20">G20</f>
        <v>99</v>
      </c>
      <c r="Q20" s="217" t="s">
        <v>252</v>
      </c>
      <c r="R20" s="218">
        <f t="shared" si="20"/>
        <v>98</v>
      </c>
      <c r="S20" s="217" t="s">
        <v>252</v>
      </c>
      <c r="T20" s="218">
        <f t="shared" si="20"/>
        <v>97</v>
      </c>
      <c r="U20" s="1102"/>
      <c r="V20" s="1122"/>
      <c r="W20" s="226" t="str">
        <f t="shared" si="7"/>
        <v>临街道路级别</v>
      </c>
      <c r="X20" s="224">
        <f t="shared" si="1"/>
        <v>1.0101010101010102</v>
      </c>
      <c r="Y20" s="224">
        <f t="shared" si="2"/>
        <v>1.0204081632653061</v>
      </c>
      <c r="Z20" s="224">
        <f t="shared" si="3"/>
        <v>1.0309278350515463</v>
      </c>
    </row>
    <row r="21" spans="1:26" s="222" customFormat="1" ht="19.5" customHeight="1">
      <c r="A21" s="1118"/>
      <c r="B21" s="876" t="s">
        <v>928</v>
      </c>
      <c r="C21" s="196">
        <v>2</v>
      </c>
      <c r="D21" s="877" t="s">
        <v>938</v>
      </c>
      <c r="E21" s="195">
        <v>100</v>
      </c>
      <c r="F21" s="877" t="s">
        <v>948</v>
      </c>
      <c r="G21" s="195">
        <v>94</v>
      </c>
      <c r="H21" s="877" t="s">
        <v>957</v>
      </c>
      <c r="I21" s="195">
        <v>97</v>
      </c>
      <c r="J21" s="877" t="s">
        <v>948</v>
      </c>
      <c r="K21" s="195">
        <f>G21</f>
        <v>94</v>
      </c>
      <c r="L21" s="1102"/>
      <c r="M21" s="1122"/>
      <c r="N21" s="219" t="str">
        <f t="shared" si="5"/>
        <v>内部装修</v>
      </c>
      <c r="O21" s="220" t="s">
        <v>252</v>
      </c>
      <c r="P21" s="221">
        <f t="shared" ref="P21:T21" si="21">G21</f>
        <v>94</v>
      </c>
      <c r="Q21" s="220" t="s">
        <v>252</v>
      </c>
      <c r="R21" s="221">
        <f t="shared" si="21"/>
        <v>97</v>
      </c>
      <c r="S21" s="220" t="s">
        <v>252</v>
      </c>
      <c r="T21" s="221">
        <f t="shared" si="21"/>
        <v>94</v>
      </c>
      <c r="U21" s="1102"/>
      <c r="V21" s="1122"/>
      <c r="W21" s="227" t="str">
        <f t="shared" si="7"/>
        <v>内部装修</v>
      </c>
      <c r="X21" s="228">
        <f t="shared" si="1"/>
        <v>1.0638297872340425</v>
      </c>
      <c r="Y21" s="228">
        <f t="shared" si="2"/>
        <v>1.0309278350515463</v>
      </c>
      <c r="Z21" s="228">
        <f t="shared" si="3"/>
        <v>1.0638297872340425</v>
      </c>
    </row>
    <row r="22" spans="1:26" s="204" customFormat="1" ht="26.1" customHeight="1">
      <c r="A22" s="1118"/>
      <c r="B22" s="876" t="s">
        <v>929</v>
      </c>
      <c r="C22" s="196">
        <v>2</v>
      </c>
      <c r="D22" s="884">
        <v>0.95</v>
      </c>
      <c r="E22" s="195">
        <v>100</v>
      </c>
      <c r="F22" s="924" t="s">
        <v>949</v>
      </c>
      <c r="G22" s="923">
        <f>I40</f>
        <v>94</v>
      </c>
      <c r="H22" s="924" t="s">
        <v>952</v>
      </c>
      <c r="I22" s="923">
        <f>I38</f>
        <v>98</v>
      </c>
      <c r="J22" s="924" t="s">
        <v>960</v>
      </c>
      <c r="K22" s="923">
        <f>I38</f>
        <v>98</v>
      </c>
      <c r="L22" s="1102"/>
      <c r="M22" s="1122"/>
      <c r="N22" s="219" t="str">
        <f t="shared" si="5"/>
        <v>成新率</v>
      </c>
      <c r="O22" s="217" t="s">
        <v>252</v>
      </c>
      <c r="P22" s="218">
        <f t="shared" ref="P22:T22" si="22">G22</f>
        <v>94</v>
      </c>
      <c r="Q22" s="217" t="s">
        <v>252</v>
      </c>
      <c r="R22" s="218">
        <f t="shared" si="22"/>
        <v>98</v>
      </c>
      <c r="S22" s="217" t="s">
        <v>252</v>
      </c>
      <c r="T22" s="218">
        <f t="shared" si="22"/>
        <v>98</v>
      </c>
      <c r="U22" s="1102"/>
      <c r="V22" s="1122"/>
      <c r="W22" s="226" t="str">
        <f t="shared" si="7"/>
        <v>成新率</v>
      </c>
      <c r="X22" s="224">
        <f t="shared" si="1"/>
        <v>1.0638297872340425</v>
      </c>
      <c r="Y22" s="224">
        <f t="shared" si="2"/>
        <v>1.0204081632653061</v>
      </c>
      <c r="Z22" s="224">
        <f t="shared" si="3"/>
        <v>1.0204081632653061</v>
      </c>
    </row>
    <row r="23" spans="1:26" s="204" customFormat="1" ht="19.5" customHeight="1">
      <c r="A23" s="1118"/>
      <c r="B23" s="376" t="s">
        <v>1056</v>
      </c>
      <c r="C23" s="196">
        <v>2</v>
      </c>
      <c r="D23" s="201" t="s">
        <v>1057</v>
      </c>
      <c r="E23" s="195">
        <v>100</v>
      </c>
      <c r="F23" s="197" t="s">
        <v>1058</v>
      </c>
      <c r="G23" s="195">
        <v>97</v>
      </c>
      <c r="H23" s="197" t="s">
        <v>1058</v>
      </c>
      <c r="I23" s="195">
        <v>97</v>
      </c>
      <c r="J23" s="197" t="s">
        <v>1058</v>
      </c>
      <c r="K23" s="195">
        <v>97</v>
      </c>
      <c r="L23" s="1102"/>
      <c r="M23" s="1122"/>
      <c r="N23" s="219" t="str">
        <f t="shared" si="5"/>
        <v>人流量</v>
      </c>
      <c r="O23" s="217" t="s">
        <v>252</v>
      </c>
      <c r="P23" s="218">
        <f t="shared" ref="P23:T23" si="23">G23</f>
        <v>97</v>
      </c>
      <c r="Q23" s="217" t="s">
        <v>252</v>
      </c>
      <c r="R23" s="218">
        <f t="shared" si="23"/>
        <v>97</v>
      </c>
      <c r="S23" s="217" t="s">
        <v>252</v>
      </c>
      <c r="T23" s="218">
        <f t="shared" si="23"/>
        <v>97</v>
      </c>
      <c r="U23" s="1102"/>
      <c r="V23" s="1122"/>
      <c r="W23" s="226" t="str">
        <f t="shared" si="7"/>
        <v>人流量</v>
      </c>
      <c r="X23" s="224">
        <f t="shared" si="1"/>
        <v>1.0309278350515463</v>
      </c>
      <c r="Y23" s="224">
        <f t="shared" si="2"/>
        <v>1.0309278350515463</v>
      </c>
      <c r="Z23" s="224">
        <f t="shared" si="3"/>
        <v>1.0309278350515463</v>
      </c>
    </row>
    <row r="24" spans="1:26" s="204" customFormat="1" ht="19.5" customHeight="1">
      <c r="A24" s="1118"/>
      <c r="B24" s="376"/>
      <c r="C24" s="196">
        <v>2</v>
      </c>
      <c r="D24" s="197"/>
      <c r="E24" s="195">
        <v>100</v>
      </c>
      <c r="F24" s="197"/>
      <c r="G24" s="195">
        <v>100</v>
      </c>
      <c r="H24" s="197"/>
      <c r="I24" s="195">
        <v>100</v>
      </c>
      <c r="J24" s="197"/>
      <c r="K24" s="195">
        <v>100</v>
      </c>
      <c r="L24" s="1102"/>
      <c r="M24" s="1122"/>
      <c r="N24" s="219">
        <f t="shared" si="5"/>
        <v>0</v>
      </c>
      <c r="O24" s="217" t="s">
        <v>252</v>
      </c>
      <c r="P24" s="218">
        <f t="shared" ref="P24:T24" si="24">G24</f>
        <v>100</v>
      </c>
      <c r="Q24" s="217" t="s">
        <v>252</v>
      </c>
      <c r="R24" s="218">
        <f t="shared" si="24"/>
        <v>100</v>
      </c>
      <c r="S24" s="217" t="s">
        <v>252</v>
      </c>
      <c r="T24" s="218">
        <f t="shared" si="24"/>
        <v>100</v>
      </c>
      <c r="U24" s="1102"/>
      <c r="V24" s="1122"/>
      <c r="W24" s="226">
        <f t="shared" si="7"/>
        <v>0</v>
      </c>
      <c r="X24" s="224">
        <f t="shared" si="1"/>
        <v>1</v>
      </c>
      <c r="Y24" s="224">
        <f t="shared" si="2"/>
        <v>1</v>
      </c>
      <c r="Z24" s="224">
        <f t="shared" si="3"/>
        <v>1</v>
      </c>
    </row>
    <row r="25" spans="1:26" s="204" customFormat="1" ht="19.5" customHeight="1">
      <c r="A25" s="1118"/>
      <c r="B25" s="198"/>
      <c r="C25" s="196"/>
      <c r="D25" s="882"/>
      <c r="E25" s="195">
        <v>100</v>
      </c>
      <c r="F25" s="197"/>
      <c r="G25" s="195">
        <v>100</v>
      </c>
      <c r="H25" s="197"/>
      <c r="I25" s="195">
        <v>100</v>
      </c>
      <c r="J25" s="197"/>
      <c r="K25" s="195">
        <v>100</v>
      </c>
      <c r="L25" s="1102"/>
      <c r="M25" s="1122"/>
      <c r="N25" s="219">
        <f t="shared" si="5"/>
        <v>0</v>
      </c>
      <c r="O25" s="217" t="s">
        <v>252</v>
      </c>
      <c r="P25" s="218">
        <f t="shared" ref="P25:T25" si="25">G25</f>
        <v>100</v>
      </c>
      <c r="Q25" s="217" t="s">
        <v>252</v>
      </c>
      <c r="R25" s="218">
        <f t="shared" si="25"/>
        <v>100</v>
      </c>
      <c r="S25" s="217" t="s">
        <v>252</v>
      </c>
      <c r="T25" s="218">
        <f t="shared" si="25"/>
        <v>100</v>
      </c>
      <c r="U25" s="1102"/>
      <c r="V25" s="1122"/>
      <c r="W25" s="226">
        <f t="shared" si="7"/>
        <v>0</v>
      </c>
      <c r="X25" s="224">
        <f t="shared" si="1"/>
        <v>1</v>
      </c>
      <c r="Y25" s="224">
        <f t="shared" si="2"/>
        <v>1</v>
      </c>
      <c r="Z25" s="224">
        <f t="shared" si="3"/>
        <v>1</v>
      </c>
    </row>
    <row r="26" spans="1:26" s="204" customFormat="1" ht="19.5" customHeight="1">
      <c r="B26" s="377"/>
      <c r="C26" s="205"/>
      <c r="D26" s="881">
        <v>2012</v>
      </c>
      <c r="F26" s="204">
        <v>2003</v>
      </c>
      <c r="H26" s="204">
        <v>2009</v>
      </c>
      <c r="J26" s="222">
        <v>2010</v>
      </c>
      <c r="K26" s="222"/>
      <c r="L26" s="223"/>
      <c r="M26" s="1114" t="s">
        <v>715</v>
      </c>
      <c r="N26" s="1115"/>
      <c r="O26" s="1116">
        <v>29000</v>
      </c>
      <c r="P26" s="1116"/>
      <c r="Q26" s="1116">
        <v>32000</v>
      </c>
      <c r="R26" s="1116"/>
      <c r="S26" s="1116">
        <v>28000</v>
      </c>
      <c r="T26" s="1116"/>
      <c r="U26" s="223"/>
    </row>
    <row r="27" spans="1:26" s="204" customFormat="1" ht="19.5" customHeight="1">
      <c r="B27" s="205" t="s">
        <v>716</v>
      </c>
      <c r="C27" s="205"/>
      <c r="D27" s="205"/>
      <c r="E27" s="205"/>
      <c r="F27" s="205"/>
      <c r="G27" s="205"/>
      <c r="H27" s="205"/>
      <c r="I27" s="205"/>
      <c r="J27" s="222"/>
      <c r="K27" s="222"/>
      <c r="L27" s="223"/>
      <c r="M27" s="1114" t="s">
        <v>717</v>
      </c>
      <c r="N27" s="1115"/>
      <c r="O27" s="1126">
        <f>ROUND(O26*X5*X6*X7*X8*X9*X10*X11*X12*X13*X14*X15*X16*X17*X18*X19*X20*X21*X22*X23*X24*X25,0)</f>
        <v>32992</v>
      </c>
      <c r="P27" s="1126"/>
      <c r="Q27" s="1126">
        <f>ROUND(Q26*Y5*Y6*Y7*Y8*Y9*Y10*Y11*Y12*Y13*Y14*Y15*Y16*Y17*Y18*Y19*Y20*Y21*Y22*Y23*Y24*Y25,0)</f>
        <v>32629</v>
      </c>
      <c r="R27" s="1126"/>
      <c r="S27" s="1126">
        <f>ROUND(S26*Z5*Z6*Z7*Z8*Z9*Z10*Z11*Z12*Z13*Z14*Z15*Z16*Z17*Z18*Z19*Z20*Z21*Z22*Z23*Z24*Z25,0)</f>
        <v>28881</v>
      </c>
      <c r="T27" s="1126"/>
      <c r="U27" s="223"/>
    </row>
    <row r="28" spans="1:26" s="204" customFormat="1" ht="19.5" customHeight="1">
      <c r="B28" s="206" t="s">
        <v>250</v>
      </c>
      <c r="C28" s="206"/>
      <c r="D28" s="206" t="s">
        <v>70</v>
      </c>
      <c r="E28" s="206"/>
      <c r="F28" s="206" t="s">
        <v>258</v>
      </c>
      <c r="G28" s="206"/>
      <c r="H28" s="885" t="s">
        <v>913</v>
      </c>
      <c r="I28" s="207"/>
      <c r="J28" s="1127"/>
      <c r="K28" s="1127"/>
      <c r="L28" s="223"/>
      <c r="M28" s="1128" t="s">
        <v>718</v>
      </c>
      <c r="N28" s="1128"/>
      <c r="O28" s="1129">
        <f>ROUND(AVERAGE(O27:S27),0)</f>
        <v>31501</v>
      </c>
      <c r="P28" s="1129"/>
      <c r="Q28" s="1129"/>
      <c r="R28" s="1129"/>
      <c r="S28" s="1129"/>
      <c r="T28" s="1129"/>
      <c r="U28" s="223"/>
    </row>
    <row r="29" spans="1:26" s="204" customFormat="1" ht="19.5" customHeight="1">
      <c r="B29" s="205"/>
      <c r="C29" s="205"/>
      <c r="D29" s="205"/>
      <c r="E29" s="205"/>
      <c r="F29" s="207" t="s">
        <v>719</v>
      </c>
      <c r="G29" s="205"/>
      <c r="H29" s="885" t="s">
        <v>961</v>
      </c>
      <c r="I29" s="885">
        <v>112</v>
      </c>
      <c r="J29" s="222"/>
      <c r="K29" s="222"/>
      <c r="L29" s="223"/>
      <c r="M29" s="1098" t="s">
        <v>41</v>
      </c>
      <c r="N29" s="1098"/>
      <c r="O29" s="1129">
        <f>面积!B2</f>
        <v>45260.62</v>
      </c>
      <c r="P29" s="1129"/>
      <c r="Q29" s="1129"/>
      <c r="R29" s="1129"/>
      <c r="S29" s="1129"/>
      <c r="T29" s="1129"/>
      <c r="U29" s="223"/>
    </row>
    <row r="30" spans="1:26" s="204" customFormat="1" ht="19.5" customHeight="1">
      <c r="B30" s="205"/>
      <c r="C30" s="205"/>
      <c r="D30" s="205"/>
      <c r="E30" s="205"/>
      <c r="F30" s="207" t="s">
        <v>720</v>
      </c>
      <c r="G30" s="205"/>
      <c r="H30" s="885" t="s">
        <v>962</v>
      </c>
      <c r="I30" s="885">
        <v>109</v>
      </c>
      <c r="J30" s="222"/>
      <c r="K30" s="222"/>
      <c r="L30" s="223"/>
      <c r="M30" s="1098" t="s">
        <v>721</v>
      </c>
      <c r="N30" s="1098"/>
      <c r="O30" s="1098">
        <f>ROUND(O42*O29/10000,0)</f>
        <v>79842</v>
      </c>
      <c r="P30" s="1098"/>
      <c r="Q30" s="1098"/>
      <c r="R30" s="1098"/>
      <c r="S30" s="1098"/>
      <c r="T30" s="1098"/>
      <c r="U30" s="223"/>
    </row>
    <row r="31" spans="1:26" s="204" customFormat="1" ht="19.5" customHeight="1">
      <c r="B31" s="205"/>
      <c r="C31" s="205"/>
      <c r="D31" s="205"/>
      <c r="E31" s="205"/>
      <c r="F31" s="207" t="s">
        <v>722</v>
      </c>
      <c r="G31" s="205"/>
      <c r="H31" s="885" t="s">
        <v>963</v>
      </c>
      <c r="I31" s="885">
        <v>106</v>
      </c>
      <c r="J31" s="222"/>
      <c r="K31" s="222"/>
      <c r="L31" s="223"/>
      <c r="M31" s="1099" t="s">
        <v>705</v>
      </c>
      <c r="N31" s="1099"/>
      <c r="O31" s="1130">
        <f>O27/O26-1</f>
        <v>0.1376551724137931</v>
      </c>
      <c r="P31" s="1130"/>
      <c r="Q31" s="1130">
        <f>Q27/Q26-1</f>
        <v>1.9656249999999931E-2</v>
      </c>
      <c r="R31" s="1130"/>
      <c r="S31" s="1130">
        <f>S27/S26-1</f>
        <v>3.1464285714285722E-2</v>
      </c>
      <c r="T31" s="1130"/>
      <c r="U31" s="223"/>
    </row>
    <row r="32" spans="1:26" s="209" customFormat="1" ht="14.25">
      <c r="H32" s="885" t="s">
        <v>964</v>
      </c>
      <c r="I32" s="885">
        <v>103</v>
      </c>
      <c r="O32" s="1130">
        <f>O26/O27-1</f>
        <v>-0.12099903006789525</v>
      </c>
      <c r="P32" s="1130"/>
      <c r="Q32" s="1130">
        <f>Q26/Q27-1</f>
        <v>-1.9277329982530844E-2</v>
      </c>
      <c r="R32" s="1130"/>
      <c r="S32" s="1130">
        <f>S26/S27-1</f>
        <v>-3.050448391676186E-2</v>
      </c>
      <c r="T32" s="1130"/>
    </row>
    <row r="33" spans="1:20" s="209" customFormat="1" ht="14.25">
      <c r="A33" s="207" t="s">
        <v>712</v>
      </c>
      <c r="B33" s="207"/>
      <c r="D33" s="207" t="s">
        <v>714</v>
      </c>
      <c r="E33" s="207"/>
      <c r="H33" s="885" t="s">
        <v>965</v>
      </c>
      <c r="I33" s="885">
        <v>100</v>
      </c>
      <c r="O33" s="1130">
        <f>1-Q26/O26</f>
        <v>-0.10344827586206895</v>
      </c>
      <c r="P33" s="1130"/>
      <c r="Q33" s="1130">
        <f>1-O26/Q26</f>
        <v>9.375E-2</v>
      </c>
      <c r="R33" s="1130"/>
      <c r="S33" s="1130">
        <f>1-O26/S26</f>
        <v>-3.5714285714285809E-2</v>
      </c>
      <c r="T33" s="1130"/>
    </row>
    <row r="34" spans="1:20" s="209" customFormat="1" ht="14.25">
      <c r="A34" s="207" t="s">
        <v>723</v>
      </c>
      <c r="B34" s="207">
        <v>100</v>
      </c>
      <c r="D34" s="207" t="s">
        <v>724</v>
      </c>
      <c r="E34" s="207">
        <v>100</v>
      </c>
      <c r="O34" s="1130">
        <f>1-S26/O26</f>
        <v>3.4482758620689613E-2</v>
      </c>
      <c r="P34" s="1130"/>
      <c r="Q34" s="1130">
        <f>1-S26/Q26</f>
        <v>0.125</v>
      </c>
      <c r="R34" s="1130"/>
      <c r="S34" s="1130">
        <f>1-Q26/S26</f>
        <v>-0.14285714285714279</v>
      </c>
      <c r="T34" s="1130"/>
    </row>
    <row r="35" spans="1:20" s="209" customFormat="1" ht="14.25">
      <c r="A35" s="207" t="s">
        <v>725</v>
      </c>
      <c r="B35" s="207">
        <v>102</v>
      </c>
      <c r="D35" s="207" t="s">
        <v>726</v>
      </c>
      <c r="E35" s="207">
        <v>101</v>
      </c>
    </row>
    <row r="36" spans="1:20" s="209" customFormat="1" ht="14.25">
      <c r="A36" s="207" t="s">
        <v>727</v>
      </c>
      <c r="B36" s="207">
        <v>104</v>
      </c>
      <c r="D36" s="207" t="s">
        <v>728</v>
      </c>
      <c r="E36" s="207">
        <v>102</v>
      </c>
      <c r="H36" s="207" t="s">
        <v>1049</v>
      </c>
      <c r="I36" s="207"/>
      <c r="N36" s="888" t="s">
        <v>914</v>
      </c>
      <c r="O36" s="888" t="s">
        <v>967</v>
      </c>
      <c r="P36" s="888" t="s">
        <v>968</v>
      </c>
      <c r="Q36" s="886"/>
    </row>
    <row r="37" spans="1:20" s="209" customFormat="1" ht="14.25">
      <c r="A37" s="207" t="s">
        <v>729</v>
      </c>
      <c r="B37" s="207">
        <v>106</v>
      </c>
      <c r="D37" s="207" t="s">
        <v>730</v>
      </c>
      <c r="E37" s="207">
        <v>103</v>
      </c>
      <c r="H37" s="207" t="s">
        <v>1050</v>
      </c>
      <c r="I37" s="207">
        <v>100</v>
      </c>
      <c r="N37" s="888" t="s">
        <v>934</v>
      </c>
      <c r="O37" s="889">
        <f>O28</f>
        <v>31501</v>
      </c>
      <c r="P37" s="862">
        <v>1</v>
      </c>
    </row>
    <row r="38" spans="1:20" ht="14.25">
      <c r="H38" s="207" t="s">
        <v>1052</v>
      </c>
      <c r="I38" s="207">
        <v>98</v>
      </c>
      <c r="N38" s="890" t="s">
        <v>969</v>
      </c>
      <c r="O38" s="368">
        <f>ROUND($O$37*P38,0)</f>
        <v>18901</v>
      </c>
      <c r="P38" s="368">
        <v>0.6</v>
      </c>
    </row>
    <row r="39" spans="1:20" ht="14.25">
      <c r="B39" t="s">
        <v>323</v>
      </c>
      <c r="C39" t="s">
        <v>731</v>
      </c>
      <c r="D39" t="s">
        <v>732</v>
      </c>
      <c r="H39" s="207" t="s">
        <v>1053</v>
      </c>
      <c r="I39" s="207">
        <v>96</v>
      </c>
      <c r="N39" s="888" t="s">
        <v>970</v>
      </c>
      <c r="O39" s="368">
        <f t="shared" ref="O39:O41" si="26">ROUND($O$37*P39,0)</f>
        <v>15751</v>
      </c>
      <c r="P39" s="368">
        <v>0.5</v>
      </c>
    </row>
    <row r="40" spans="1:20" ht="14.25">
      <c r="A40" t="s">
        <v>733</v>
      </c>
      <c r="B40">
        <v>2054</v>
      </c>
      <c r="C40">
        <v>8</v>
      </c>
      <c r="D40">
        <v>16</v>
      </c>
      <c r="H40" s="207" t="s">
        <v>1054</v>
      </c>
      <c r="I40" s="207">
        <v>94</v>
      </c>
      <c r="N40" s="890" t="s">
        <v>971</v>
      </c>
      <c r="O40" s="368">
        <f t="shared" si="26"/>
        <v>12600</v>
      </c>
      <c r="P40" s="888">
        <v>0.4</v>
      </c>
    </row>
    <row r="41" spans="1:20" ht="14.25">
      <c r="A41" t="s">
        <v>734</v>
      </c>
      <c r="B41">
        <v>2014</v>
      </c>
      <c r="C41">
        <v>7</v>
      </c>
      <c r="D41">
        <v>23</v>
      </c>
      <c r="N41" s="888" t="s">
        <v>972</v>
      </c>
      <c r="O41" s="368">
        <f t="shared" si="26"/>
        <v>9450</v>
      </c>
      <c r="P41" s="888">
        <v>0.3</v>
      </c>
    </row>
    <row r="42" spans="1:20">
      <c r="N42" s="890" t="s">
        <v>973</v>
      </c>
      <c r="O42" s="891">
        <f>AVERAGE(O37:O41)</f>
        <v>17640.599999999999</v>
      </c>
      <c r="P42" s="368"/>
    </row>
    <row r="43" spans="1:20">
      <c r="A43" t="s">
        <v>735</v>
      </c>
      <c r="B43">
        <v>14625</v>
      </c>
    </row>
    <row r="44" spans="1:20">
      <c r="A44" t="s">
        <v>736</v>
      </c>
      <c r="B44">
        <v>40.0685</v>
      </c>
    </row>
  </sheetData>
  <mergeCells count="67">
    <mergeCell ref="O34:P34"/>
    <mergeCell ref="Q34:R34"/>
    <mergeCell ref="S34:T34"/>
    <mergeCell ref="V3:W4"/>
    <mergeCell ref="O32:P32"/>
    <mergeCell ref="Q32:R32"/>
    <mergeCell ref="S32:T32"/>
    <mergeCell ref="O33:P33"/>
    <mergeCell ref="Q33:R33"/>
    <mergeCell ref="S33:T33"/>
    <mergeCell ref="V10:V17"/>
    <mergeCell ref="V18:V25"/>
    <mergeCell ref="V5:W5"/>
    <mergeCell ref="V6:W6"/>
    <mergeCell ref="Z3:Z4"/>
    <mergeCell ref="A3:B4"/>
    <mergeCell ref="M3:N4"/>
    <mergeCell ref="O3:P4"/>
    <mergeCell ref="Q3:R4"/>
    <mergeCell ref="S3:T4"/>
    <mergeCell ref="M29:N29"/>
    <mergeCell ref="O29:T29"/>
    <mergeCell ref="M30:N30"/>
    <mergeCell ref="O30:T30"/>
    <mergeCell ref="M31:N31"/>
    <mergeCell ref="O31:P31"/>
    <mergeCell ref="Q31:R31"/>
    <mergeCell ref="S31:T31"/>
    <mergeCell ref="M27:N27"/>
    <mergeCell ref="O27:P27"/>
    <mergeCell ref="Q27:R27"/>
    <mergeCell ref="S27:T27"/>
    <mergeCell ref="J28:K28"/>
    <mergeCell ref="M28:N28"/>
    <mergeCell ref="O28:T28"/>
    <mergeCell ref="M26:N26"/>
    <mergeCell ref="O26:P26"/>
    <mergeCell ref="Q26:R26"/>
    <mergeCell ref="S26:T26"/>
    <mergeCell ref="A7:A9"/>
    <mergeCell ref="A10:A16"/>
    <mergeCell ref="A17:A25"/>
    <mergeCell ref="L2:L25"/>
    <mergeCell ref="M7:M9"/>
    <mergeCell ref="M10:M17"/>
    <mergeCell ref="M18:M25"/>
    <mergeCell ref="A6:B6"/>
    <mergeCell ref="M6:N6"/>
    <mergeCell ref="D4:E4"/>
    <mergeCell ref="F4:G4"/>
    <mergeCell ref="H4:I4"/>
    <mergeCell ref="A1:Z1"/>
    <mergeCell ref="A2:K2"/>
    <mergeCell ref="M2:T2"/>
    <mergeCell ref="V2:Z2"/>
    <mergeCell ref="D3:E3"/>
    <mergeCell ref="F3:G3"/>
    <mergeCell ref="H3:I3"/>
    <mergeCell ref="J3:K3"/>
    <mergeCell ref="U2:U25"/>
    <mergeCell ref="V7:V9"/>
    <mergeCell ref="C3:C4"/>
    <mergeCell ref="J4:K4"/>
    <mergeCell ref="A5:B5"/>
    <mergeCell ref="M5:N5"/>
    <mergeCell ref="X3:X4"/>
    <mergeCell ref="Y3:Y4"/>
  </mergeCells>
  <phoneticPr fontId="93" type="noConversion"/>
  <pageMargins left="0.75" right="0.75" top="1" bottom="1" header="0.51111111111111107" footer="0.51111111111111107"/>
  <pageSetup paperSize="9" scale="47" orientation="portrait" r:id="rId1"/>
  <headerFooter alignWithMargins="0"/>
  <colBreaks count="1" manualBreakCount="1">
    <brk id="21" max="1048575"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0"/>
  </sheetPr>
  <dimension ref="A1:X46"/>
  <sheetViews>
    <sheetView view="pageBreakPreview" topLeftCell="A18" workbookViewId="0">
      <selection activeCell="C27" sqref="C27:M27"/>
    </sheetView>
  </sheetViews>
  <sheetFormatPr defaultColWidth="9" defaultRowHeight="13.5"/>
  <cols>
    <col min="1" max="1" width="9" style="307"/>
    <col min="2" max="2" width="11" style="307" customWidth="1"/>
    <col min="3" max="3" width="10.75" style="307" customWidth="1"/>
    <col min="4" max="4" width="12" style="307" customWidth="1"/>
    <col min="5" max="6" width="12.25" style="307" customWidth="1"/>
    <col min="7" max="7" width="11.875" style="307" customWidth="1"/>
    <col min="8" max="16" width="12" style="307" customWidth="1"/>
    <col min="17" max="17" width="10.125" style="307" customWidth="1"/>
    <col min="18" max="18" width="10.5" style="307" bestFit="1" customWidth="1"/>
    <col min="19" max="19" width="26.5" style="307" customWidth="1"/>
    <col min="20" max="20" width="25.625" style="307" customWidth="1"/>
    <col min="21" max="16384" width="9" style="307"/>
  </cols>
  <sheetData>
    <row r="1" spans="1:18" ht="14.25">
      <c r="A1" s="1057" t="s">
        <v>315</v>
      </c>
      <c r="B1" s="1057"/>
      <c r="C1" s="307">
        <v>2013</v>
      </c>
      <c r="D1" s="307">
        <v>11</v>
      </c>
      <c r="E1" s="307">
        <v>20</v>
      </c>
      <c r="N1" s="346"/>
      <c r="O1" s="347" t="s">
        <v>279</v>
      </c>
      <c r="P1" s="347">
        <v>1999</v>
      </c>
      <c r="Q1" s="346" t="s">
        <v>316</v>
      </c>
      <c r="R1" s="366">
        <v>0</v>
      </c>
    </row>
    <row r="2" spans="1:18" ht="14.25">
      <c r="A2" s="1069" t="s">
        <v>317</v>
      </c>
      <c r="B2" s="1057"/>
      <c r="N2" s="346"/>
      <c r="O2" s="347" t="s">
        <v>318</v>
      </c>
      <c r="P2" s="347">
        <v>60</v>
      </c>
      <c r="Q2" s="346" t="s">
        <v>319</v>
      </c>
      <c r="R2" s="307">
        <v>14</v>
      </c>
    </row>
    <row r="3" spans="1:18" ht="14.25">
      <c r="A3" s="1057"/>
      <c r="B3" s="1057"/>
      <c r="K3" s="307">
        <f>1-14/60</f>
        <v>0.76666666666666661</v>
      </c>
      <c r="N3" s="348"/>
      <c r="O3" s="197" t="s">
        <v>320</v>
      </c>
      <c r="P3" s="197" t="s">
        <v>321</v>
      </c>
    </row>
    <row r="4" spans="1:18" ht="14.25">
      <c r="A4" s="1057" t="s">
        <v>322</v>
      </c>
      <c r="B4" s="1057"/>
      <c r="D4" s="307" t="s">
        <v>323</v>
      </c>
      <c r="E4" s="308"/>
      <c r="F4" s="309"/>
      <c r="N4" s="197" t="s">
        <v>324</v>
      </c>
      <c r="O4" s="349">
        <f>ROUND(1-(1-$R$1)*14/$P$2,2)</f>
        <v>0.77</v>
      </c>
      <c r="P4" s="350">
        <f>ROUND('建筑（办）'!$D$29*O4,0)</f>
        <v>4628</v>
      </c>
    </row>
    <row r="5" spans="1:18" ht="14.25">
      <c r="A5" s="1058" t="s">
        <v>325</v>
      </c>
      <c r="B5" s="1058"/>
      <c r="D5" s="307" t="s">
        <v>323</v>
      </c>
      <c r="E5" s="309"/>
      <c r="N5" s="197" t="s">
        <v>326</v>
      </c>
      <c r="O5" s="349">
        <f>ROUND(1-(1-$R$1)*15/$P$2,2)</f>
        <v>0.75</v>
      </c>
      <c r="P5" s="350">
        <f>ROUND('建筑（办）'!$D$29*O5,0)</f>
        <v>4508</v>
      </c>
    </row>
    <row r="6" spans="1:18" ht="14.25">
      <c r="A6" s="1057" t="s">
        <v>327</v>
      </c>
      <c r="B6" s="1057"/>
      <c r="C6" s="306"/>
      <c r="D6" s="307" t="s">
        <v>323</v>
      </c>
      <c r="N6" s="197" t="s">
        <v>328</v>
      </c>
      <c r="O6" s="349">
        <f>ROUND(1-(1-$R$1)*16/$P$2,2)</f>
        <v>0.73</v>
      </c>
      <c r="P6" s="350">
        <f>ROUND('建筑（办）'!$D$29*O6,0)</f>
        <v>4387</v>
      </c>
    </row>
    <row r="7" spans="1:18" ht="14.25">
      <c r="B7" s="310"/>
      <c r="E7" s="307">
        <f>ROUND(C9+C9*D33,2)</f>
        <v>9.65</v>
      </c>
      <c r="K7" s="307">
        <f>ROUND(I9+I9*D33,2)</f>
        <v>10.7</v>
      </c>
      <c r="N7" s="197" t="s">
        <v>329</v>
      </c>
      <c r="O7" s="349">
        <f>ROUND(1-(1-$R$1)*17/$P$2,2)</f>
        <v>0.72</v>
      </c>
      <c r="P7" s="350">
        <f>ROUND('建筑（办）'!$D$29*O7,0)</f>
        <v>4327</v>
      </c>
    </row>
    <row r="8" spans="1:18" ht="42">
      <c r="A8" s="311" t="s">
        <v>330</v>
      </c>
      <c r="B8" s="312" t="s">
        <v>737</v>
      </c>
      <c r="C8" s="312" t="s">
        <v>738</v>
      </c>
      <c r="D8" s="313" t="s">
        <v>571</v>
      </c>
      <c r="E8" s="313" t="s">
        <v>739</v>
      </c>
      <c r="F8" s="314" t="s">
        <v>740</v>
      </c>
      <c r="G8" s="314" t="s">
        <v>741</v>
      </c>
      <c r="H8" s="315" t="s">
        <v>742</v>
      </c>
      <c r="I8" s="315" t="s">
        <v>743</v>
      </c>
      <c r="J8" s="351" t="s">
        <v>744</v>
      </c>
      <c r="K8" s="351" t="s">
        <v>745</v>
      </c>
      <c r="L8" s="352" t="s">
        <v>335</v>
      </c>
      <c r="N8" s="197" t="s">
        <v>336</v>
      </c>
      <c r="O8" s="349">
        <f>ROUND(1-(1-$R$1)*18/$P$2,2)</f>
        <v>0.7</v>
      </c>
      <c r="P8" s="350">
        <f>ROUND('建筑（办）'!$D$29*O8,0)</f>
        <v>4207</v>
      </c>
    </row>
    <row r="9" spans="1:18" ht="14.25">
      <c r="A9" s="311" t="s">
        <v>130</v>
      </c>
      <c r="B9" s="316">
        <f t="shared" ref="B9:F9" si="0">ROUND(B11*10000/B10/365,2)</f>
        <v>4.47</v>
      </c>
      <c r="C9" s="316">
        <f>ROUND(L9+L9*D33,2)</f>
        <v>9.32</v>
      </c>
      <c r="D9" s="316">
        <f t="shared" si="0"/>
        <v>7.72</v>
      </c>
      <c r="E9" s="316">
        <f>ROUND(E7+E7*D33,2)</f>
        <v>9.99</v>
      </c>
      <c r="F9" s="316">
        <f t="shared" si="0"/>
        <v>3.73</v>
      </c>
      <c r="G9" s="316">
        <f>E9</f>
        <v>9.99</v>
      </c>
      <c r="H9" s="316">
        <f>ROUND(H11*10000/H10/365,2)</f>
        <v>3.38</v>
      </c>
      <c r="I9" s="316">
        <f>ROUND(G9+G9*D33,2)</f>
        <v>10.34</v>
      </c>
      <c r="J9" s="316">
        <f>ROUND(J11*10000/J10/365,2)</f>
        <v>3.96</v>
      </c>
      <c r="K9" s="316">
        <f>ROUND(K7+K7*D33,2)</f>
        <v>11.07</v>
      </c>
      <c r="L9" s="353">
        <v>9</v>
      </c>
      <c r="N9" s="197" t="s">
        <v>337</v>
      </c>
      <c r="O9" s="349">
        <f>ROUND(1-(1-$R$1)*19/$P$2,2)</f>
        <v>0.68</v>
      </c>
      <c r="P9" s="350">
        <f>ROUND('建筑（办）'!$D$29*O9,0)</f>
        <v>4087</v>
      </c>
    </row>
    <row r="10" spans="1:18" ht="14.25">
      <c r="A10" s="311" t="s">
        <v>338</v>
      </c>
      <c r="B10" s="316">
        <f>办租约!D23</f>
        <v>13342.850000000002</v>
      </c>
      <c r="C10" s="316">
        <f t="shared" ref="C10:G10" si="1">B10</f>
        <v>13342.850000000002</v>
      </c>
      <c r="D10" s="316">
        <f>办租约!D49</f>
        <v>12808.729999999996</v>
      </c>
      <c r="E10" s="316">
        <f t="shared" si="1"/>
        <v>12808.729999999996</v>
      </c>
      <c r="F10" s="316">
        <f>办租约!D53</f>
        <v>14201.960000000001</v>
      </c>
      <c r="G10" s="316">
        <f t="shared" si="1"/>
        <v>14201.960000000001</v>
      </c>
      <c r="H10" s="316">
        <f>办租约!D57</f>
        <v>4934.8599999999997</v>
      </c>
      <c r="I10" s="316">
        <f>H10</f>
        <v>4934.8599999999997</v>
      </c>
      <c r="J10" s="316">
        <f>办租约!D59</f>
        <v>588.36</v>
      </c>
      <c r="K10" s="316">
        <f>J10</f>
        <v>588.36</v>
      </c>
      <c r="L10" s="320" t="e">
        <f>#REF!-办租约!D23-办租约!D49-办租约!D53-办租约!D57-办租约!D59</f>
        <v>#REF!</v>
      </c>
      <c r="N10" s="197" t="s">
        <v>583</v>
      </c>
      <c r="O10" s="349">
        <f>ROUND(1-(1-$R$1)*20/$P$2,2)</f>
        <v>0.67</v>
      </c>
      <c r="P10" s="350">
        <f>ROUND('建筑（办）'!$D$29*O10,0)</f>
        <v>4027</v>
      </c>
    </row>
    <row r="11" spans="1:18" ht="14.25">
      <c r="A11" s="311" t="s">
        <v>339</v>
      </c>
      <c r="B11" s="317">
        <f>ROUND(办租约!N23*12/10000,0)</f>
        <v>2175</v>
      </c>
      <c r="C11" s="317">
        <f>ROUND(C9*C10*365*(1-D21)/10000,0)</f>
        <v>4312</v>
      </c>
      <c r="D11" s="318">
        <f>ROUND(办租约!N49*12/10000,0)</f>
        <v>3608</v>
      </c>
      <c r="E11" s="317">
        <f>ROUND(E9*365*E10*(1-F21)/10000,0)</f>
        <v>4437</v>
      </c>
      <c r="F11" s="317">
        <f>ROUND(办租约!N53*12/10000,0)</f>
        <v>1933</v>
      </c>
      <c r="G11" s="317">
        <f t="shared" ref="G11:K11" si="2">ROUND(G9*G10*365*(1-H21)/10000,0)</f>
        <v>4920</v>
      </c>
      <c r="H11" s="317">
        <f>ROUND(办租约!N57*12/10000,0)</f>
        <v>608</v>
      </c>
      <c r="I11" s="317">
        <f t="shared" si="2"/>
        <v>1769</v>
      </c>
      <c r="J11" s="317">
        <f>ROUND(办租约!N59*12/10000,0)</f>
        <v>85</v>
      </c>
      <c r="K11" s="317">
        <f t="shared" si="2"/>
        <v>226</v>
      </c>
      <c r="L11" s="319" t="e">
        <f>ROUND(L9*L10*(1-M21)*365/10000,0)</f>
        <v>#REF!</v>
      </c>
      <c r="N11" s="197" t="s">
        <v>584</v>
      </c>
      <c r="O11" s="349">
        <f>ROUND(1-(1-$R$1)*21/$P$2,2)</f>
        <v>0.65</v>
      </c>
      <c r="P11" s="350">
        <f>ROUND('建筑（办）'!$D$29*O11,0)</f>
        <v>3907</v>
      </c>
    </row>
    <row r="12" spans="1:18" ht="14.25">
      <c r="A12" s="311" t="s">
        <v>340</v>
      </c>
      <c r="B12" s="319">
        <v>1.03</v>
      </c>
      <c r="C12" s="319">
        <f>L12-B12</f>
        <v>29.09</v>
      </c>
      <c r="D12" s="319">
        <v>2.11</v>
      </c>
      <c r="E12" s="319">
        <f>L12-D12</f>
        <v>28.01</v>
      </c>
      <c r="F12" s="319">
        <v>2.4</v>
      </c>
      <c r="G12" s="319">
        <f>L12-F12</f>
        <v>27.720000000000002</v>
      </c>
      <c r="H12" s="319">
        <v>3.2</v>
      </c>
      <c r="I12" s="319">
        <f>L12-H12</f>
        <v>26.92</v>
      </c>
      <c r="J12" s="319">
        <v>1.03</v>
      </c>
      <c r="K12" s="319">
        <f>L12-J12</f>
        <v>29.09</v>
      </c>
      <c r="L12" s="319">
        <f>'建筑（办）'!D45</f>
        <v>30.12</v>
      </c>
      <c r="N12" s="197" t="s">
        <v>341</v>
      </c>
      <c r="O12" s="349">
        <f>ROUND(1-(1-$R$1)*22/$P$2,2)</f>
        <v>0.63</v>
      </c>
      <c r="P12" s="350">
        <f>ROUND('建筑（办）'!$D$29*O12,0)</f>
        <v>3786</v>
      </c>
    </row>
    <row r="13" spans="1:18" ht="14.25">
      <c r="A13" s="311" t="s">
        <v>71</v>
      </c>
      <c r="B13" s="316" t="e">
        <f>ROUND(B10/#REF!*(权属依据!B10+权属依据!E10),2)</f>
        <v>#REF!</v>
      </c>
      <c r="C13" s="320" t="e">
        <f t="shared" ref="C13:G13" si="3">B13</f>
        <v>#REF!</v>
      </c>
      <c r="D13" s="320" t="e">
        <f>ROUND(D10/#REF!*(权属依据!B10+权属依据!E10),2)</f>
        <v>#REF!</v>
      </c>
      <c r="E13" s="320" t="e">
        <f t="shared" si="3"/>
        <v>#REF!</v>
      </c>
      <c r="F13" s="320" t="e">
        <f>ROUND(F10/#REF!*(权属依据!B10+权属依据!E10),2)</f>
        <v>#REF!</v>
      </c>
      <c r="G13" s="320" t="e">
        <f t="shared" si="3"/>
        <v>#REF!</v>
      </c>
      <c r="H13" s="320" t="e">
        <f>ROUND(H10/#REF!*(权属依据!B10+权属依据!E10),2)</f>
        <v>#REF!</v>
      </c>
      <c r="I13" s="320" t="e">
        <f>H13</f>
        <v>#REF!</v>
      </c>
      <c r="J13" s="320" t="e">
        <f>ROUND(J10/#REF!*(权属依据!B10+权属依据!E10),2)</f>
        <v>#REF!</v>
      </c>
      <c r="K13" s="320" t="e">
        <f>J13</f>
        <v>#REF!</v>
      </c>
      <c r="L13" s="320" t="e">
        <f>ROUND(L10/#REF!*(权属依据!B10+权属依据!E10),2)</f>
        <v>#REF!</v>
      </c>
      <c r="N13" s="197" t="s">
        <v>342</v>
      </c>
      <c r="O13" s="349">
        <f>ROUND(1-(1-$R$1)*23/$P$2,2)</f>
        <v>0.62</v>
      </c>
      <c r="P13" s="350">
        <f>ROUND('建筑（办）'!$D$29*O13,0)</f>
        <v>3726</v>
      </c>
    </row>
    <row r="14" spans="1:18" ht="14.25">
      <c r="A14" s="321"/>
      <c r="N14" s="197" t="s">
        <v>343</v>
      </c>
      <c r="O14" s="349">
        <f>ROUND(1-(1-$R$1)*24/$P$2,2)</f>
        <v>0.6</v>
      </c>
      <c r="P14" s="350">
        <f>ROUND('建筑（办）'!$D$29*O14,0)</f>
        <v>3606</v>
      </c>
    </row>
    <row r="15" spans="1:18" ht="14.25">
      <c r="A15" s="321"/>
      <c r="B15" s="322"/>
      <c r="C15" s="322"/>
      <c r="D15" s="322"/>
      <c r="G15" s="309"/>
      <c r="P15" s="350">
        <f>ROUND('建筑（办）'!$D$29*O15,0)</f>
        <v>0</v>
      </c>
    </row>
    <row r="16" spans="1:18" ht="14.25">
      <c r="A16" s="321"/>
      <c r="B16" s="323"/>
      <c r="C16" s="323"/>
      <c r="D16" s="322">
        <f>B10+D10+F10+H10+J10</f>
        <v>45876.76</v>
      </c>
      <c r="N16" s="197" t="s">
        <v>344</v>
      </c>
      <c r="O16" s="354">
        <v>0.72</v>
      </c>
      <c r="P16" s="350">
        <f>ROUND('建筑（办）'!$D$29*O16,0)</f>
        <v>4327</v>
      </c>
    </row>
    <row r="17" spans="1:16" ht="14.25">
      <c r="A17" s="321"/>
      <c r="B17" s="321"/>
      <c r="N17" s="197"/>
      <c r="O17" s="354"/>
      <c r="P17" s="350"/>
    </row>
    <row r="18" spans="1:16" ht="42" customHeight="1">
      <c r="A18" s="324" t="s">
        <v>69</v>
      </c>
      <c r="B18" s="325" t="s">
        <v>124</v>
      </c>
      <c r="C18" s="326" t="str">
        <f>B8</f>
        <v>2014年租期租约期内（2013.11.20至2014.11.30）</v>
      </c>
      <c r="D18" s="326" t="str">
        <f>C8</f>
        <v>2014年租期租约期外（2014.12.1至2044.1.3）</v>
      </c>
      <c r="E18" s="326" t="str">
        <f>D8</f>
        <v>2015租约期内（2013.11.20至2015.12.31）</v>
      </c>
      <c r="F18" s="326" t="str">
        <f>E8</f>
        <v>2015租约期外（2016.1.1至2044.1.3）</v>
      </c>
      <c r="G18" s="326" t="str">
        <f t="shared" ref="G18:M18" si="4">F8</f>
        <v>2016租约期内（2013.11.20至2016.4.14）</v>
      </c>
      <c r="H18" s="326" t="str">
        <f t="shared" si="4"/>
        <v>2016租约期外（2016.4.15至2044.1.3）</v>
      </c>
      <c r="I18" s="326" t="str">
        <f t="shared" si="4"/>
        <v>2017租约期内（2013.11.20至2017.1.31）</v>
      </c>
      <c r="J18" s="326" t="str">
        <f t="shared" si="4"/>
        <v>2017租约期外（2017.2.1至2044.1.3）</v>
      </c>
      <c r="K18" s="326" t="str">
        <f t="shared" si="4"/>
        <v>2019租约期内（2013.11.20至2019.6.30）</v>
      </c>
      <c r="L18" s="326" t="str">
        <f t="shared" si="4"/>
        <v>2019租约期外（2019.7.1至2044.1.3）</v>
      </c>
      <c r="M18" s="326" t="str">
        <f t="shared" si="4"/>
        <v>租约期外</v>
      </c>
      <c r="N18" s="326"/>
      <c r="O18" s="230" t="s">
        <v>345</v>
      </c>
      <c r="P18" s="230" t="s">
        <v>346</v>
      </c>
    </row>
    <row r="19" spans="1:16">
      <c r="A19" s="229" t="s">
        <v>347</v>
      </c>
      <c r="B19" s="230" t="s">
        <v>348</v>
      </c>
      <c r="C19" s="231">
        <f>B10</f>
        <v>13342.850000000002</v>
      </c>
      <c r="D19" s="231">
        <f>C10</f>
        <v>13342.850000000002</v>
      </c>
      <c r="E19" s="231">
        <f>D10</f>
        <v>12808.729999999996</v>
      </c>
      <c r="F19" s="231">
        <f>E10</f>
        <v>12808.729999999996</v>
      </c>
      <c r="G19" s="231">
        <f t="shared" ref="G19:M19" si="5">F10</f>
        <v>14201.960000000001</v>
      </c>
      <c r="H19" s="231">
        <f t="shared" si="5"/>
        <v>14201.960000000001</v>
      </c>
      <c r="I19" s="231">
        <f t="shared" si="5"/>
        <v>4934.8599999999997</v>
      </c>
      <c r="J19" s="231">
        <f t="shared" si="5"/>
        <v>4934.8599999999997</v>
      </c>
      <c r="K19" s="231">
        <f t="shared" si="5"/>
        <v>588.36</v>
      </c>
      <c r="L19" s="231">
        <f t="shared" si="5"/>
        <v>588.36</v>
      </c>
      <c r="M19" s="231" t="e">
        <f t="shared" si="5"/>
        <v>#REF!</v>
      </c>
      <c r="N19" s="231"/>
      <c r="O19" s="230"/>
      <c r="P19" s="355"/>
    </row>
    <row r="20" spans="1:16">
      <c r="A20" s="229" t="s">
        <v>349</v>
      </c>
      <c r="B20" s="232" t="s">
        <v>130</v>
      </c>
      <c r="C20" s="327">
        <f>B9</f>
        <v>4.47</v>
      </c>
      <c r="D20" s="327">
        <f>C9</f>
        <v>9.32</v>
      </c>
      <c r="E20" s="327">
        <f>D9</f>
        <v>7.72</v>
      </c>
      <c r="F20" s="327">
        <f>E9</f>
        <v>9.99</v>
      </c>
      <c r="G20" s="327">
        <f t="shared" ref="G20:M20" si="6">F9</f>
        <v>3.73</v>
      </c>
      <c r="H20" s="327">
        <f t="shared" si="6"/>
        <v>9.99</v>
      </c>
      <c r="I20" s="327">
        <f t="shared" si="6"/>
        <v>3.38</v>
      </c>
      <c r="J20" s="327">
        <f t="shared" si="6"/>
        <v>10.34</v>
      </c>
      <c r="K20" s="327">
        <f t="shared" si="6"/>
        <v>3.96</v>
      </c>
      <c r="L20" s="327">
        <f t="shared" si="6"/>
        <v>11.07</v>
      </c>
      <c r="M20" s="356">
        <f t="shared" si="6"/>
        <v>9</v>
      </c>
      <c r="N20" s="327"/>
      <c r="O20" s="230"/>
      <c r="P20" s="355"/>
    </row>
    <row r="21" spans="1:16">
      <c r="A21" s="229" t="s">
        <v>350</v>
      </c>
      <c r="B21" s="232" t="s">
        <v>351</v>
      </c>
      <c r="C21" s="328" t="s">
        <v>281</v>
      </c>
      <c r="D21" s="329">
        <v>0.05</v>
      </c>
      <c r="E21" s="328" t="s">
        <v>281</v>
      </c>
      <c r="F21" s="329">
        <f t="shared" ref="F21:L21" si="7">D21</f>
        <v>0.05</v>
      </c>
      <c r="G21" s="329" t="str">
        <f t="shared" si="7"/>
        <v>——</v>
      </c>
      <c r="H21" s="329">
        <f t="shared" si="7"/>
        <v>0.05</v>
      </c>
      <c r="I21" s="329" t="str">
        <f t="shared" si="7"/>
        <v>——</v>
      </c>
      <c r="J21" s="329">
        <f t="shared" si="7"/>
        <v>0.05</v>
      </c>
      <c r="K21" s="329" t="str">
        <f t="shared" si="7"/>
        <v>——</v>
      </c>
      <c r="L21" s="329">
        <f t="shared" si="7"/>
        <v>0.05</v>
      </c>
      <c r="M21" s="329">
        <f>F21</f>
        <v>0.05</v>
      </c>
      <c r="N21" s="329"/>
      <c r="O21" s="230"/>
      <c r="P21" s="355"/>
    </row>
    <row r="22" spans="1:16" s="305" customFormat="1" ht="21.75" customHeight="1">
      <c r="A22" s="330">
        <v>1</v>
      </c>
      <c r="B22" s="233" t="s">
        <v>352</v>
      </c>
      <c r="C22" s="331">
        <f>B11</f>
        <v>2175</v>
      </c>
      <c r="D22" s="331">
        <f>C11</f>
        <v>4312</v>
      </c>
      <c r="E22" s="331">
        <f>D11</f>
        <v>3608</v>
      </c>
      <c r="F22" s="331">
        <f>E11</f>
        <v>4437</v>
      </c>
      <c r="G22" s="331">
        <f t="shared" ref="G22:M22" si="8">F11</f>
        <v>1933</v>
      </c>
      <c r="H22" s="331">
        <f t="shared" si="8"/>
        <v>4920</v>
      </c>
      <c r="I22" s="331">
        <f t="shared" si="8"/>
        <v>608</v>
      </c>
      <c r="J22" s="331">
        <f t="shared" si="8"/>
        <v>1769</v>
      </c>
      <c r="K22" s="331">
        <f t="shared" si="8"/>
        <v>85</v>
      </c>
      <c r="L22" s="331">
        <f t="shared" si="8"/>
        <v>226</v>
      </c>
      <c r="M22" s="331" t="e">
        <f t="shared" si="8"/>
        <v>#REF!</v>
      </c>
      <c r="N22" s="331"/>
      <c r="O22" s="1059" t="s">
        <v>353</v>
      </c>
      <c r="P22" s="1060"/>
    </row>
    <row r="23" spans="1:16" ht="22.5" customHeight="1">
      <c r="A23" s="229" t="s">
        <v>354</v>
      </c>
      <c r="B23" s="234" t="s">
        <v>355</v>
      </c>
      <c r="C23" s="332">
        <f t="shared" ref="C23:F23" si="9">ROUND(C22*$O$23,2)</f>
        <v>121.8</v>
      </c>
      <c r="D23" s="332">
        <f t="shared" si="9"/>
        <v>241.47</v>
      </c>
      <c r="E23" s="332">
        <f t="shared" si="9"/>
        <v>202.05</v>
      </c>
      <c r="F23" s="332">
        <f t="shared" si="9"/>
        <v>248.47</v>
      </c>
      <c r="G23" s="332">
        <f t="shared" ref="G23:M23" si="10">ROUND(G22*$O$23,2)</f>
        <v>108.25</v>
      </c>
      <c r="H23" s="332">
        <f t="shared" si="10"/>
        <v>275.52</v>
      </c>
      <c r="I23" s="332">
        <f t="shared" si="10"/>
        <v>34.049999999999997</v>
      </c>
      <c r="J23" s="332">
        <f t="shared" si="10"/>
        <v>99.06</v>
      </c>
      <c r="K23" s="332">
        <f t="shared" si="10"/>
        <v>4.76</v>
      </c>
      <c r="L23" s="332">
        <f t="shared" si="10"/>
        <v>12.66</v>
      </c>
      <c r="M23" s="332" t="e">
        <f t="shared" si="10"/>
        <v>#REF!</v>
      </c>
      <c r="N23" s="332"/>
      <c r="O23" s="243">
        <v>5.6000000000000001E-2</v>
      </c>
      <c r="P23" s="240" t="s">
        <v>356</v>
      </c>
    </row>
    <row r="24" spans="1:16" ht="22.9" customHeight="1">
      <c r="A24" s="229" t="s">
        <v>357</v>
      </c>
      <c r="B24" s="333" t="s">
        <v>358</v>
      </c>
      <c r="C24" s="334">
        <f>ROUND(('建筑（办）'!$D$29*(1-'建筑（办）'!$D$27)-'建筑（办）'!$D$26)*70%*1.2%*C19/10000,2)</f>
        <v>55.51</v>
      </c>
      <c r="D24" s="334">
        <f>ROUND(('建筑（办）'!$D$29*(1-'建筑（办）'!$D$27)-'建筑（办）'!$D$26)*70%*1.2%*D19/10000,2)</f>
        <v>55.51</v>
      </c>
      <c r="E24" s="334">
        <f>ROUND(('建筑（办）'!$D$29*(1-'建筑（办）'!$D$27)-'建筑（办）'!$D$26)*70%*1.2%*E19/10000,2)</f>
        <v>53.29</v>
      </c>
      <c r="F24" s="334">
        <f>ROUND(('建筑（办）'!$D$29*(1-'建筑（办）'!$D$27)-'建筑（办）'!$D$26)*70%*1.2%*F19/10000,2)</f>
        <v>53.29</v>
      </c>
      <c r="G24" s="334">
        <f>ROUND(('建筑（办）'!$D$29*(1-'建筑（办）'!$D$27)-'建筑（办）'!$D$26)*70%*1.2%*G19/10000,2)</f>
        <v>59.09</v>
      </c>
      <c r="H24" s="334">
        <f>ROUND(('建筑（办）'!$D$29*(1-'建筑（办）'!$D$27)-'建筑（办）'!$D$26)*70%*1.2%*H19/10000,2)</f>
        <v>59.09</v>
      </c>
      <c r="I24" s="334">
        <f>ROUND(('建筑（办）'!$D$29*(1-'建筑（办）'!$D$27)-'建筑（办）'!$D$26)*70%*1.2%*I19/10000,2)</f>
        <v>20.53</v>
      </c>
      <c r="J24" s="334">
        <f>ROUND(('建筑（办）'!$D$29*(1-'建筑（办）'!$D$27)-'建筑（办）'!$D$26)*70%*1.2%*J19/10000,2)</f>
        <v>20.53</v>
      </c>
      <c r="K24" s="334">
        <f>ROUND(('建筑（办）'!$D$29*(1-'建筑（办）'!$D$27)-'建筑（办）'!$D$26)*70%*1.2%*K19/10000,2)</f>
        <v>2.4500000000000002</v>
      </c>
      <c r="L24" s="334">
        <f>ROUND(('建筑（办）'!$D$29*(1-'建筑（办）'!$D$27)-'建筑（办）'!$D$26)*70%*1.2%*L19/10000,2)</f>
        <v>2.4500000000000002</v>
      </c>
      <c r="M24" s="334" t="e">
        <f>ROUND(('建筑（办）'!$D$29*(1-'建筑（办）'!$D$27)-'建筑（办）'!$D$26)*70%*1.2%*M19/10000,2)</f>
        <v>#REF!</v>
      </c>
      <c r="N24" s="334"/>
      <c r="O24" s="243">
        <v>1.2E-2</v>
      </c>
      <c r="P24" s="240" t="s">
        <v>359</v>
      </c>
    </row>
    <row r="25" spans="1:16" ht="22.9" customHeight="1">
      <c r="A25" s="229" t="s">
        <v>360</v>
      </c>
      <c r="B25" s="333" t="s">
        <v>361</v>
      </c>
      <c r="C25" s="334" t="e">
        <f t="shared" ref="C25:M25" si="11">ROUND(B13*$O$25/10000,2)</f>
        <v>#REF!</v>
      </c>
      <c r="D25" s="334" t="e">
        <f t="shared" si="11"/>
        <v>#REF!</v>
      </c>
      <c r="E25" s="334" t="e">
        <f t="shared" si="11"/>
        <v>#REF!</v>
      </c>
      <c r="F25" s="334" t="e">
        <f t="shared" si="11"/>
        <v>#REF!</v>
      </c>
      <c r="G25" s="334" t="e">
        <f t="shared" si="11"/>
        <v>#REF!</v>
      </c>
      <c r="H25" s="334" t="e">
        <f t="shared" si="11"/>
        <v>#REF!</v>
      </c>
      <c r="I25" s="334" t="e">
        <f t="shared" si="11"/>
        <v>#REF!</v>
      </c>
      <c r="J25" s="334" t="e">
        <f t="shared" si="11"/>
        <v>#REF!</v>
      </c>
      <c r="K25" s="334" t="e">
        <f t="shared" si="11"/>
        <v>#REF!</v>
      </c>
      <c r="L25" s="334" t="e">
        <f t="shared" si="11"/>
        <v>#REF!</v>
      </c>
      <c r="M25" s="334" t="e">
        <f t="shared" si="11"/>
        <v>#REF!</v>
      </c>
      <c r="N25" s="357"/>
      <c r="O25" s="244">
        <v>24</v>
      </c>
      <c r="P25" s="358" t="s">
        <v>362</v>
      </c>
    </row>
    <row r="26" spans="1:16" ht="24" customHeight="1">
      <c r="A26" s="235" t="s">
        <v>363</v>
      </c>
      <c r="B26" s="335" t="s">
        <v>364</v>
      </c>
      <c r="C26" s="331" t="e">
        <f t="shared" ref="C26:M26" si="12">ROUND(SUM(C23:C25,0),0)</f>
        <v>#REF!</v>
      </c>
      <c r="D26" s="331" t="e">
        <f t="shared" si="12"/>
        <v>#REF!</v>
      </c>
      <c r="E26" s="331" t="e">
        <f t="shared" si="12"/>
        <v>#REF!</v>
      </c>
      <c r="F26" s="331" t="e">
        <f t="shared" si="12"/>
        <v>#REF!</v>
      </c>
      <c r="G26" s="331" t="e">
        <f t="shared" si="12"/>
        <v>#REF!</v>
      </c>
      <c r="H26" s="331" t="e">
        <f t="shared" si="12"/>
        <v>#REF!</v>
      </c>
      <c r="I26" s="331" t="e">
        <f t="shared" si="12"/>
        <v>#REF!</v>
      </c>
      <c r="J26" s="331" t="e">
        <f t="shared" si="12"/>
        <v>#REF!</v>
      </c>
      <c r="K26" s="331" t="e">
        <f t="shared" si="12"/>
        <v>#REF!</v>
      </c>
      <c r="L26" s="331" t="e">
        <f t="shared" si="12"/>
        <v>#REF!</v>
      </c>
      <c r="M26" s="331" t="e">
        <f t="shared" si="12"/>
        <v>#REF!</v>
      </c>
      <c r="N26" s="331"/>
      <c r="O26" s="359"/>
      <c r="P26" s="360" t="s">
        <v>365</v>
      </c>
    </row>
    <row r="27" spans="1:16" ht="19.899999999999999" customHeight="1">
      <c r="A27" s="229" t="s">
        <v>366</v>
      </c>
      <c r="B27" s="236" t="s">
        <v>367</v>
      </c>
      <c r="C27" s="332">
        <f>ROUND('建筑（办）'!$D$29*$O$27*C19/10000,2)</f>
        <v>16.04</v>
      </c>
      <c r="D27" s="332">
        <f>ROUND('建筑（办）'!$D$29*$O$27*D19/10000,2)</f>
        <v>16.04</v>
      </c>
      <c r="E27" s="332">
        <f>ROUND('建筑（办）'!$D$29*$O$27*E19/10000,2)</f>
        <v>15.4</v>
      </c>
      <c r="F27" s="332">
        <f>ROUND('建筑（办）'!$D$29*$O$27*F19/10000,2)</f>
        <v>15.4</v>
      </c>
      <c r="G27" s="332">
        <f>ROUND('建筑（办）'!$D$29*$O$27*G19/10000,2)</f>
        <v>17.07</v>
      </c>
      <c r="H27" s="332">
        <f>ROUND('建筑（办）'!$D$29*$O$27*H19/10000,2)</f>
        <v>17.07</v>
      </c>
      <c r="I27" s="332">
        <f>ROUND('建筑（办）'!$D$29*$O$27*I19/10000,2)</f>
        <v>5.93</v>
      </c>
      <c r="J27" s="332">
        <f>ROUND('建筑（办）'!$D$29*$O$27*J19/10000,2)</f>
        <v>5.93</v>
      </c>
      <c r="K27" s="332">
        <f>ROUND('建筑（办）'!$D$29*$O$27*K19/10000,2)</f>
        <v>0.71</v>
      </c>
      <c r="L27" s="332">
        <f>ROUND('建筑（办）'!$D$29*$O$27*L19/10000,2)</f>
        <v>0.71</v>
      </c>
      <c r="M27" s="332" t="e">
        <f>ROUND('建筑（办）'!$D$29*$O$27*M19/10000,2)</f>
        <v>#REF!</v>
      </c>
      <c r="N27" s="332"/>
      <c r="O27" s="245">
        <v>2E-3</v>
      </c>
      <c r="P27" s="358" t="s">
        <v>368</v>
      </c>
    </row>
    <row r="28" spans="1:16" ht="19.899999999999999" customHeight="1">
      <c r="A28" s="229" t="s">
        <v>369</v>
      </c>
      <c r="B28" s="236" t="s">
        <v>370</v>
      </c>
      <c r="C28" s="332">
        <f>ROUND(P4*C19*$O$28/10000,2)</f>
        <v>1.54</v>
      </c>
      <c r="D28" s="332">
        <f>ROUND(P5*D19*$O$28/10000,2)</f>
        <v>1.5</v>
      </c>
      <c r="E28" s="332">
        <f>ROUND(P4*E19*$O$28/10000,5)</f>
        <v>1.48197</v>
      </c>
      <c r="F28" s="332">
        <f>ROUND(P7*F19*$O$28/10000,2)</f>
        <v>1.39</v>
      </c>
      <c r="G28" s="332">
        <f>ROUND(P4*G19*$O$28/10000,5)</f>
        <v>1.64317</v>
      </c>
      <c r="H28" s="332">
        <f>ROUND(P7*H19*$O$28/10000,2)</f>
        <v>1.54</v>
      </c>
      <c r="I28" s="332">
        <f>ROUND(P4*I19*$O$28/10000,5)</f>
        <v>0.57096000000000002</v>
      </c>
      <c r="J28" s="332">
        <f>ROUND(P8*J19*$O$28/10000,2)</f>
        <v>0.52</v>
      </c>
      <c r="K28" s="332">
        <f>ROUND(P4*K19*$O$28/10000,2)</f>
        <v>7.0000000000000007E-2</v>
      </c>
      <c r="L28" s="332">
        <f>ROUND(P10*L19*$O$28/10000,2)</f>
        <v>0.06</v>
      </c>
      <c r="M28" s="332" t="e">
        <f>ROUND(P4*M19*$O$28/10000,2)</f>
        <v>#REF!</v>
      </c>
      <c r="N28" s="332"/>
      <c r="O28" s="246">
        <v>2.5000000000000001E-4</v>
      </c>
      <c r="P28" s="247" t="s">
        <v>371</v>
      </c>
    </row>
    <row r="29" spans="1:16" ht="19.899999999999999" customHeight="1">
      <c r="A29" s="229" t="s">
        <v>372</v>
      </c>
      <c r="B29" s="236" t="s">
        <v>373</v>
      </c>
      <c r="C29" s="332">
        <f t="shared" ref="C29:M29" si="13">ROUND(C22*$O$29,2)</f>
        <v>43.5</v>
      </c>
      <c r="D29" s="332">
        <f t="shared" si="13"/>
        <v>86.24</v>
      </c>
      <c r="E29" s="332">
        <f t="shared" si="13"/>
        <v>72.16</v>
      </c>
      <c r="F29" s="332">
        <f t="shared" si="13"/>
        <v>88.74</v>
      </c>
      <c r="G29" s="332">
        <f t="shared" si="13"/>
        <v>38.659999999999997</v>
      </c>
      <c r="H29" s="332">
        <f t="shared" si="13"/>
        <v>98.4</v>
      </c>
      <c r="I29" s="332">
        <f t="shared" si="13"/>
        <v>12.16</v>
      </c>
      <c r="J29" s="332">
        <f t="shared" si="13"/>
        <v>35.380000000000003</v>
      </c>
      <c r="K29" s="332">
        <f t="shared" si="13"/>
        <v>1.7</v>
      </c>
      <c r="L29" s="332">
        <f t="shared" si="13"/>
        <v>4.5199999999999996</v>
      </c>
      <c r="M29" s="332" t="e">
        <f t="shared" si="13"/>
        <v>#REF!</v>
      </c>
      <c r="N29" s="332"/>
      <c r="O29" s="248">
        <v>0.02</v>
      </c>
      <c r="P29" s="242" t="s">
        <v>356</v>
      </c>
    </row>
    <row r="30" spans="1:16" ht="24">
      <c r="A30" s="229">
        <v>2</v>
      </c>
      <c r="B30" s="232" t="s">
        <v>374</v>
      </c>
      <c r="C30" s="336" t="e">
        <f t="shared" ref="C30:M30" si="14">ROUND(SUM(C26:C29),0)</f>
        <v>#REF!</v>
      </c>
      <c r="D30" s="336" t="e">
        <f t="shared" si="14"/>
        <v>#REF!</v>
      </c>
      <c r="E30" s="336" t="e">
        <f t="shared" si="14"/>
        <v>#REF!</v>
      </c>
      <c r="F30" s="336" t="e">
        <f t="shared" si="14"/>
        <v>#REF!</v>
      </c>
      <c r="G30" s="336" t="e">
        <f t="shared" si="14"/>
        <v>#REF!</v>
      </c>
      <c r="H30" s="336" t="e">
        <f t="shared" si="14"/>
        <v>#REF!</v>
      </c>
      <c r="I30" s="336" t="e">
        <f t="shared" si="14"/>
        <v>#REF!</v>
      </c>
      <c r="J30" s="336" t="e">
        <f t="shared" si="14"/>
        <v>#REF!</v>
      </c>
      <c r="K30" s="336" t="e">
        <f t="shared" si="14"/>
        <v>#REF!</v>
      </c>
      <c r="L30" s="336" t="e">
        <f t="shared" si="14"/>
        <v>#REF!</v>
      </c>
      <c r="M30" s="336" t="e">
        <f t="shared" si="14"/>
        <v>#REF!</v>
      </c>
      <c r="N30" s="336"/>
      <c r="O30" s="232"/>
      <c r="P30" s="361" t="s">
        <v>375</v>
      </c>
    </row>
    <row r="31" spans="1:16" ht="24">
      <c r="A31" s="229" t="s">
        <v>376</v>
      </c>
      <c r="B31" s="232" t="s">
        <v>377</v>
      </c>
      <c r="C31" s="336" t="e">
        <f t="shared" ref="C31:F31" si="15">ROUND(C22-C30,0)</f>
        <v>#REF!</v>
      </c>
      <c r="D31" s="336" t="e">
        <f t="shared" si="15"/>
        <v>#REF!</v>
      </c>
      <c r="E31" s="336" t="e">
        <f t="shared" si="15"/>
        <v>#REF!</v>
      </c>
      <c r="F31" s="336" t="e">
        <f t="shared" si="15"/>
        <v>#REF!</v>
      </c>
      <c r="G31" s="336" t="e">
        <f t="shared" ref="G31:M31" si="16">ROUND(G22-G30,0)</f>
        <v>#REF!</v>
      </c>
      <c r="H31" s="336" t="e">
        <f t="shared" si="16"/>
        <v>#REF!</v>
      </c>
      <c r="I31" s="336" t="e">
        <f t="shared" si="16"/>
        <v>#REF!</v>
      </c>
      <c r="J31" s="336" t="e">
        <f t="shared" si="16"/>
        <v>#REF!</v>
      </c>
      <c r="K31" s="336" t="e">
        <f t="shared" si="16"/>
        <v>#REF!</v>
      </c>
      <c r="L31" s="336" t="e">
        <f t="shared" si="16"/>
        <v>#REF!</v>
      </c>
      <c r="M31" s="336" t="e">
        <f t="shared" si="16"/>
        <v>#REF!</v>
      </c>
      <c r="N31" s="336"/>
      <c r="O31" s="232"/>
      <c r="P31" s="249" t="s">
        <v>349</v>
      </c>
    </row>
    <row r="32" spans="1:16" ht="60">
      <c r="A32" s="229" t="s">
        <v>378</v>
      </c>
      <c r="B32" s="237" t="s">
        <v>379</v>
      </c>
      <c r="C32" s="337">
        <v>6.5000000000000002E-2</v>
      </c>
      <c r="D32" s="337">
        <f>C32</f>
        <v>6.5000000000000002E-2</v>
      </c>
      <c r="E32" s="337">
        <f>D32</f>
        <v>6.5000000000000002E-2</v>
      </c>
      <c r="F32" s="337">
        <f>E32</f>
        <v>6.5000000000000002E-2</v>
      </c>
      <c r="G32" s="337">
        <f t="shared" ref="G32:L32" si="17">F32</f>
        <v>6.5000000000000002E-2</v>
      </c>
      <c r="H32" s="337">
        <f t="shared" si="17"/>
        <v>6.5000000000000002E-2</v>
      </c>
      <c r="I32" s="337">
        <f t="shared" si="17"/>
        <v>6.5000000000000002E-2</v>
      </c>
      <c r="J32" s="337">
        <f t="shared" si="17"/>
        <v>6.5000000000000002E-2</v>
      </c>
      <c r="K32" s="337">
        <f t="shared" si="17"/>
        <v>6.5000000000000002E-2</v>
      </c>
      <c r="L32" s="337">
        <f t="shared" si="17"/>
        <v>6.5000000000000002E-2</v>
      </c>
      <c r="M32" s="337">
        <f>F32</f>
        <v>6.5000000000000002E-2</v>
      </c>
      <c r="N32" s="337"/>
      <c r="O32" s="250"/>
      <c r="P32" s="362" t="s">
        <v>380</v>
      </c>
    </row>
    <row r="33" spans="1:24" ht="19.5" customHeight="1">
      <c r="A33" s="229" t="s">
        <v>381</v>
      </c>
      <c r="B33" s="237" t="s">
        <v>382</v>
      </c>
      <c r="C33" s="337" t="s">
        <v>281</v>
      </c>
      <c r="D33" s="337">
        <v>3.5000000000000003E-2</v>
      </c>
      <c r="E33" s="337" t="s">
        <v>281</v>
      </c>
      <c r="F33" s="337">
        <v>3.5000000000000003E-2</v>
      </c>
      <c r="G33" s="337" t="s">
        <v>281</v>
      </c>
      <c r="H33" s="337">
        <v>3.5000000000000003E-2</v>
      </c>
      <c r="I33" s="337" t="s">
        <v>281</v>
      </c>
      <c r="J33" s="337">
        <f>H33</f>
        <v>3.5000000000000003E-2</v>
      </c>
      <c r="K33" s="337" t="s">
        <v>281</v>
      </c>
      <c r="L33" s="337">
        <f>J33</f>
        <v>3.5000000000000003E-2</v>
      </c>
      <c r="M33" s="337">
        <f>F33</f>
        <v>3.5000000000000003E-2</v>
      </c>
      <c r="N33" s="337"/>
      <c r="O33" s="238" t="s">
        <v>281</v>
      </c>
      <c r="P33" s="238"/>
      <c r="Q33" s="250"/>
      <c r="R33" s="367"/>
    </row>
    <row r="34" spans="1:24" ht="24">
      <c r="A34" s="229" t="s">
        <v>383</v>
      </c>
      <c r="B34" s="237" t="s">
        <v>384</v>
      </c>
      <c r="C34" s="338">
        <f t="shared" ref="C34:M34" si="18">B12</f>
        <v>1.03</v>
      </c>
      <c r="D34" s="338">
        <f t="shared" si="18"/>
        <v>29.09</v>
      </c>
      <c r="E34" s="338">
        <f t="shared" si="18"/>
        <v>2.11</v>
      </c>
      <c r="F34" s="338">
        <f t="shared" si="18"/>
        <v>28.01</v>
      </c>
      <c r="G34" s="338">
        <f t="shared" si="18"/>
        <v>2.4</v>
      </c>
      <c r="H34" s="338">
        <f t="shared" si="18"/>
        <v>27.720000000000002</v>
      </c>
      <c r="I34" s="338">
        <f t="shared" si="18"/>
        <v>3.2</v>
      </c>
      <c r="J34" s="338">
        <f t="shared" si="18"/>
        <v>26.92</v>
      </c>
      <c r="K34" s="338">
        <f t="shared" si="18"/>
        <v>1.03</v>
      </c>
      <c r="L34" s="338">
        <f t="shared" si="18"/>
        <v>29.09</v>
      </c>
      <c r="M34" s="338">
        <f t="shared" si="18"/>
        <v>30.12</v>
      </c>
      <c r="N34" s="338"/>
      <c r="O34" s="237" t="e">
        <f>#REF!</f>
        <v>#REF!</v>
      </c>
      <c r="P34" s="237"/>
      <c r="Q34" s="251"/>
      <c r="R34" s="367"/>
    </row>
    <row r="35" spans="1:24">
      <c r="A35" s="229" t="s">
        <v>385</v>
      </c>
      <c r="B35" s="230" t="s">
        <v>104</v>
      </c>
      <c r="C35" s="339" t="e">
        <f t="shared" ref="C35:G35" si="19">ROUND(C31/C32*(1-1/(1+C32)^C34),0)</f>
        <v>#REF!</v>
      </c>
      <c r="D35" s="339" t="e">
        <f t="shared" ref="D35:H35" si="20">ROUND(D31/(D32-D33)*(1-((1+D33)/(1+D32))^D34),0)</f>
        <v>#REF!</v>
      </c>
      <c r="E35" s="339" t="e">
        <f t="shared" si="19"/>
        <v>#REF!</v>
      </c>
      <c r="F35" s="339" t="e">
        <f t="shared" si="20"/>
        <v>#REF!</v>
      </c>
      <c r="G35" s="339" t="e">
        <f t="shared" si="19"/>
        <v>#REF!</v>
      </c>
      <c r="H35" s="339" t="e">
        <f t="shared" si="20"/>
        <v>#REF!</v>
      </c>
      <c r="I35" s="339" t="e">
        <f>ROUND(I31/I32*(1-1/(1+I32)^I34),0)</f>
        <v>#REF!</v>
      </c>
      <c r="J35" s="339" t="e">
        <f t="shared" ref="J35:M35" si="21">ROUND(J31/(J32-J33)*(1-((1+J33)/(1+J32))^J34),0)</f>
        <v>#REF!</v>
      </c>
      <c r="K35" s="339" t="e">
        <f>ROUND(K31/K32*(1-1/(1+K32)^K34),0)</f>
        <v>#REF!</v>
      </c>
      <c r="L35" s="339" t="e">
        <f t="shared" si="21"/>
        <v>#REF!</v>
      </c>
      <c r="M35" s="339" t="e">
        <f t="shared" si="21"/>
        <v>#REF!</v>
      </c>
      <c r="N35" s="339"/>
      <c r="O35" s="363"/>
      <c r="P35" s="363"/>
      <c r="Q35" s="368"/>
      <c r="R35" s="369"/>
    </row>
    <row r="36" spans="1:24" s="306" customFormat="1">
      <c r="A36" s="340"/>
      <c r="B36" s="230" t="s">
        <v>386</v>
      </c>
      <c r="C36" s="341"/>
      <c r="D36" s="342">
        <f>C34</f>
        <v>1.03</v>
      </c>
      <c r="E36" s="343"/>
      <c r="F36" s="342">
        <f t="shared" ref="F36:L36" si="22">E34</f>
        <v>2.11</v>
      </c>
      <c r="G36" s="344"/>
      <c r="H36" s="342">
        <f t="shared" si="22"/>
        <v>2.4</v>
      </c>
      <c r="I36" s="344"/>
      <c r="J36" s="342">
        <f t="shared" si="22"/>
        <v>3.2</v>
      </c>
      <c r="K36" s="344"/>
      <c r="L36" s="342">
        <f t="shared" si="22"/>
        <v>1.03</v>
      </c>
      <c r="M36" s="342"/>
      <c r="N36" s="342"/>
      <c r="O36" s="239"/>
      <c r="P36" s="239"/>
      <c r="Q36" s="370"/>
      <c r="R36" s="371"/>
    </row>
    <row r="37" spans="1:24">
      <c r="A37" s="229" t="s">
        <v>387</v>
      </c>
      <c r="B37" s="230" t="s">
        <v>388</v>
      </c>
      <c r="C37" s="339" t="e">
        <f>C35</f>
        <v>#REF!</v>
      </c>
      <c r="D37" s="339" t="e">
        <f t="shared" ref="D37:F37" si="23">ROUND(D35/(1+D32)^D36,0)</f>
        <v>#REF!</v>
      </c>
      <c r="E37" s="339" t="e">
        <f t="shared" si="23"/>
        <v>#REF!</v>
      </c>
      <c r="F37" s="339" t="e">
        <f t="shared" si="23"/>
        <v>#REF!</v>
      </c>
      <c r="G37" s="339" t="e">
        <f t="shared" ref="G37:N37" si="24">ROUND(G35/(1+G32)^G36,0)</f>
        <v>#REF!</v>
      </c>
      <c r="H37" s="339" t="e">
        <f t="shared" si="24"/>
        <v>#REF!</v>
      </c>
      <c r="I37" s="339" t="e">
        <f t="shared" si="24"/>
        <v>#REF!</v>
      </c>
      <c r="J37" s="339" t="e">
        <f t="shared" si="24"/>
        <v>#REF!</v>
      </c>
      <c r="K37" s="339" t="e">
        <f t="shared" si="24"/>
        <v>#REF!</v>
      </c>
      <c r="L37" s="339" t="e">
        <f t="shared" si="24"/>
        <v>#REF!</v>
      </c>
      <c r="M37" s="339" t="e">
        <f t="shared" si="24"/>
        <v>#REF!</v>
      </c>
      <c r="N37" s="339">
        <f t="shared" si="24"/>
        <v>0</v>
      </c>
      <c r="O37" s="363"/>
      <c r="P37" s="363"/>
      <c r="Q37" s="368"/>
      <c r="R37" s="241"/>
      <c r="S37" s="372"/>
    </row>
    <row r="38" spans="1:24" s="306" customFormat="1">
      <c r="A38" s="340" t="s">
        <v>389</v>
      </c>
      <c r="B38" s="232" t="s">
        <v>85</v>
      </c>
      <c r="C38" s="1136" t="e">
        <f>ROUND(SUM(C37:M37),0)</f>
        <v>#REF!</v>
      </c>
      <c r="D38" s="1137"/>
      <c r="E38" s="1137"/>
      <c r="F38" s="1137"/>
      <c r="G38" s="1137"/>
      <c r="H38" s="1137"/>
      <c r="I38" s="1137"/>
      <c r="J38" s="1137"/>
      <c r="K38" s="1137"/>
      <c r="L38" s="1137"/>
      <c r="M38" s="364"/>
      <c r="N38" s="364"/>
      <c r="O38" s="364"/>
      <c r="P38" s="364"/>
      <c r="Q38" s="364"/>
      <c r="R38" s="364"/>
      <c r="S38" s="364"/>
      <c r="T38" s="364"/>
      <c r="U38" s="364"/>
      <c r="V38" s="373"/>
      <c r="W38" s="370"/>
      <c r="X38" s="374"/>
    </row>
    <row r="39" spans="1:24">
      <c r="A39" s="229" t="s">
        <v>390</v>
      </c>
      <c r="B39" s="230" t="s">
        <v>83</v>
      </c>
      <c r="C39" s="1061" t="e">
        <f>ROUND(C38/#REF!*10000,0)</f>
        <v>#REF!</v>
      </c>
      <c r="D39" s="1062"/>
      <c r="E39" s="1062"/>
      <c r="F39" s="1062"/>
      <c r="G39" s="1062"/>
      <c r="H39" s="1062"/>
      <c r="I39" s="1062"/>
      <c r="J39" s="1062"/>
      <c r="K39" s="1062"/>
      <c r="L39" s="1062"/>
      <c r="M39" s="365"/>
      <c r="N39" s="365"/>
      <c r="O39" s="365"/>
      <c r="P39" s="365"/>
      <c r="Q39" s="365"/>
      <c r="R39" s="365"/>
      <c r="S39" s="365"/>
      <c r="T39" s="365"/>
      <c r="U39" s="365"/>
      <c r="V39" s="375"/>
      <c r="W39" s="368"/>
      <c r="X39" s="372"/>
    </row>
    <row r="41" spans="1:24">
      <c r="B41" s="95" t="s">
        <v>391</v>
      </c>
      <c r="C41" s="96">
        <f>ROUND(P4*C19/10000*C42,0)</f>
        <v>494</v>
      </c>
      <c r="D41" s="97"/>
      <c r="E41" s="97"/>
    </row>
    <row r="42" spans="1:24" ht="24">
      <c r="B42" s="98" t="s">
        <v>392</v>
      </c>
      <c r="C42" s="99">
        <v>0.08</v>
      </c>
      <c r="D42" s="98" t="s">
        <v>393</v>
      </c>
      <c r="E42" s="99"/>
    </row>
    <row r="43" spans="1:24">
      <c r="B43" s="1063" t="s">
        <v>394</v>
      </c>
      <c r="C43" s="1064"/>
      <c r="D43" s="1064"/>
      <c r="E43" s="1065"/>
    </row>
    <row r="44" spans="1:24">
      <c r="B44" s="1066" t="s">
        <v>395</v>
      </c>
      <c r="C44" s="1066"/>
      <c r="D44" s="1067" t="s">
        <v>396</v>
      </c>
      <c r="E44" s="1068"/>
    </row>
    <row r="45" spans="1:24">
      <c r="B45" s="95" t="s">
        <v>397</v>
      </c>
      <c r="C45" s="100" t="e">
        <f>C41/C31</f>
        <v>#REF!</v>
      </c>
      <c r="D45" s="101"/>
      <c r="E45" s="100"/>
    </row>
    <row r="46" spans="1:24">
      <c r="B46" s="95" t="s">
        <v>398</v>
      </c>
      <c r="C46" s="100" t="e">
        <f>1-C45</f>
        <v>#REF!</v>
      </c>
      <c r="D46" s="101"/>
      <c r="E46" s="102"/>
    </row>
  </sheetData>
  <mergeCells count="11">
    <mergeCell ref="C39:L39"/>
    <mergeCell ref="B43:E43"/>
    <mergeCell ref="B44:C44"/>
    <mergeCell ref="D44:E44"/>
    <mergeCell ref="A2:B3"/>
    <mergeCell ref="C38:L38"/>
    <mergeCell ref="A1:B1"/>
    <mergeCell ref="A4:B4"/>
    <mergeCell ref="A5:B5"/>
    <mergeCell ref="A6:B6"/>
    <mergeCell ref="O22:P22"/>
  </mergeCells>
  <phoneticPr fontId="97" type="noConversion"/>
  <pageMargins left="0.70833333333333337" right="0.70833333333333337" top="0.74791666666666667" bottom="0.74791666666666667" header="0.31458333333333333" footer="0.31458333333333333"/>
  <pageSetup paperSize="9" scale="57" orientation="landscape" r:id="rId1"/>
  <headerFooter alignWithMargins="0"/>
  <colBreaks count="1" manualBreakCount="1">
    <brk id="18" max="1048575" man="1"/>
  </col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sheetPr>
  <dimension ref="B1:N47"/>
  <sheetViews>
    <sheetView view="pageBreakPreview" topLeftCell="B16" zoomScale="130" workbookViewId="0">
      <selection activeCell="E15" sqref="E15"/>
    </sheetView>
  </sheetViews>
  <sheetFormatPr defaultColWidth="9" defaultRowHeight="13.5"/>
  <cols>
    <col min="1" max="1" width="2.625" style="45" customWidth="1"/>
    <col min="2" max="2" width="6.125" style="46" customWidth="1"/>
    <col min="3" max="3" width="17.875" style="45" customWidth="1"/>
    <col min="4" max="4" width="9.75" style="45" bestFit="1" customWidth="1"/>
    <col min="5" max="5" width="13.25" style="45" customWidth="1"/>
    <col min="6" max="6" width="13" style="45" customWidth="1"/>
    <col min="7" max="7" width="11.875" style="45" customWidth="1"/>
    <col min="8" max="8" width="25" style="45" bestFit="1" customWidth="1"/>
    <col min="9" max="9" width="9" style="45"/>
    <col min="10" max="10" width="10.625" style="45" bestFit="1" customWidth="1"/>
    <col min="11" max="11" width="9.125" style="45" bestFit="1" customWidth="1"/>
    <col min="12" max="16384" width="9" style="45"/>
  </cols>
  <sheetData>
    <row r="1" spans="2:8">
      <c r="B1" s="1077" t="s">
        <v>746</v>
      </c>
      <c r="C1" s="1078"/>
      <c r="D1" s="1078"/>
      <c r="E1" s="1078"/>
      <c r="F1" s="1078"/>
      <c r="G1" s="1078"/>
      <c r="H1" s="1079"/>
    </row>
    <row r="2" spans="2:8">
      <c r="B2" s="1138" t="s">
        <v>747</v>
      </c>
      <c r="C2" s="1139"/>
      <c r="D2" s="1139"/>
      <c r="E2" s="1139"/>
      <c r="F2" s="1139"/>
      <c r="G2" s="1139"/>
      <c r="H2" s="1140"/>
    </row>
    <row r="3" spans="2:8">
      <c r="B3" s="47" t="s">
        <v>69</v>
      </c>
      <c r="C3" s="48" t="s">
        <v>748</v>
      </c>
      <c r="D3" s="49" t="s">
        <v>82</v>
      </c>
      <c r="E3" s="50" t="s">
        <v>73</v>
      </c>
      <c r="F3" s="50"/>
      <c r="G3" s="50"/>
      <c r="H3" s="50"/>
    </row>
    <row r="4" spans="2:8">
      <c r="B4" s="47">
        <v>1</v>
      </c>
      <c r="C4" s="48" t="s">
        <v>150</v>
      </c>
      <c r="D4" s="49"/>
      <c r="E4" s="51">
        <v>8</v>
      </c>
      <c r="F4" s="52"/>
      <c r="G4" s="47"/>
      <c r="H4" s="47"/>
    </row>
    <row r="5" spans="2:8">
      <c r="B5" s="47">
        <v>2</v>
      </c>
      <c r="C5" s="48" t="s">
        <v>348</v>
      </c>
      <c r="D5" s="49"/>
      <c r="E5" s="51">
        <v>1</v>
      </c>
      <c r="F5" s="47"/>
      <c r="G5" s="47"/>
      <c r="H5" s="47"/>
    </row>
    <row r="6" spans="2:8">
      <c r="B6" s="47">
        <v>3</v>
      </c>
      <c r="C6" s="48" t="s">
        <v>749</v>
      </c>
      <c r="D6" s="48"/>
      <c r="E6" s="51">
        <v>365</v>
      </c>
      <c r="F6" s="47" t="s">
        <v>750</v>
      </c>
      <c r="G6" s="51"/>
      <c r="H6" s="51"/>
    </row>
    <row r="7" spans="2:8">
      <c r="B7" s="47">
        <v>4</v>
      </c>
      <c r="C7" s="48" t="s">
        <v>351</v>
      </c>
      <c r="D7" s="49"/>
      <c r="E7" s="54">
        <v>0.05</v>
      </c>
      <c r="F7" s="55">
        <v>0</v>
      </c>
      <c r="G7" s="55"/>
      <c r="H7" s="55"/>
    </row>
    <row r="8" spans="2:8">
      <c r="B8" s="47">
        <v>5</v>
      </c>
      <c r="C8" s="48" t="s">
        <v>751</v>
      </c>
      <c r="D8" s="56">
        <f>SUM(E8:H8)</f>
        <v>2774</v>
      </c>
      <c r="E8" s="51">
        <f>ROUND(E4*E5*E6*(1-E7)*(1-F7),0)</f>
        <v>2774</v>
      </c>
      <c r="F8" s="51"/>
      <c r="G8" s="47"/>
      <c r="H8" s="47"/>
    </row>
    <row r="9" spans="2:8">
      <c r="B9" s="1080" t="s">
        <v>400</v>
      </c>
      <c r="C9" s="1080"/>
      <c r="D9" s="1080"/>
      <c r="E9" s="1080"/>
      <c r="F9" s="1080"/>
      <c r="G9" s="1080"/>
      <c r="H9" s="1080"/>
    </row>
    <row r="10" spans="2:8" customFormat="1">
      <c r="B10" s="58" t="s">
        <v>69</v>
      </c>
      <c r="C10" s="59" t="s">
        <v>124</v>
      </c>
      <c r="D10" s="60" t="s">
        <v>82</v>
      </c>
      <c r="E10" s="61" t="s">
        <v>41</v>
      </c>
      <c r="F10" s="61" t="s">
        <v>401</v>
      </c>
      <c r="G10" s="61" t="s">
        <v>402</v>
      </c>
      <c r="H10" s="62"/>
    </row>
    <row r="11" spans="2:8" customFormat="1">
      <c r="B11" s="58">
        <v>1.1000000000000001</v>
      </c>
      <c r="C11" s="63" t="s">
        <v>403</v>
      </c>
      <c r="D11" s="60">
        <f>SUM(D12:D14)</f>
        <v>3500</v>
      </c>
      <c r="E11" s="64">
        <f>SUM(E12:E14)</f>
        <v>1</v>
      </c>
      <c r="F11" s="61"/>
      <c r="G11" s="65"/>
      <c r="H11" s="66"/>
    </row>
    <row r="12" spans="2:8" customFormat="1">
      <c r="B12" s="58" t="str">
        <f>[3]成本法!B42</f>
        <v>1.1.1</v>
      </c>
      <c r="C12" s="66" t="s">
        <v>73</v>
      </c>
      <c r="D12" s="60">
        <f>ROUND(F12*E12,0)</f>
        <v>3500</v>
      </c>
      <c r="E12" s="64">
        <f>E5</f>
        <v>1</v>
      </c>
      <c r="F12" s="64">
        <f>'建筑（商）'!F5</f>
        <v>3500</v>
      </c>
      <c r="G12" s="65"/>
      <c r="H12" s="66"/>
    </row>
    <row r="13" spans="2:8" customFormat="1">
      <c r="B13" s="58" t="str">
        <f>[3]成本法!B43</f>
        <v>1.1.2</v>
      </c>
      <c r="C13" s="66" t="str">
        <f>[3]成本法!C43</f>
        <v>地下非配套公建</v>
      </c>
      <c r="D13" s="60">
        <f>ROUND(F13*E13/10000,0)</f>
        <v>0</v>
      </c>
      <c r="E13" s="64">
        <f>[3]成本法!E43</f>
        <v>0</v>
      </c>
      <c r="F13" s="64">
        <f>[3]成本法!F43</f>
        <v>0</v>
      </c>
      <c r="G13" s="65"/>
      <c r="H13" s="66"/>
    </row>
    <row r="14" spans="2:8" customFormat="1">
      <c r="B14" s="58" t="str">
        <f>[3]成本法!B44</f>
        <v>1.1.3</v>
      </c>
      <c r="C14" s="66" t="str">
        <f>[3]成本法!C44</f>
        <v>地下车库及其他用房</v>
      </c>
      <c r="D14" s="60">
        <f>ROUND(F14*E14/10000,0)</f>
        <v>0</v>
      </c>
      <c r="E14" s="64">
        <f>[3]成本法!E44</f>
        <v>0</v>
      </c>
      <c r="F14" s="64">
        <f>[3]成本法!F44</f>
        <v>0</v>
      </c>
      <c r="G14" s="65"/>
      <c r="H14" s="66"/>
    </row>
    <row r="15" spans="2:8" customFormat="1">
      <c r="B15" s="58">
        <v>1.2</v>
      </c>
      <c r="C15" s="63" t="s">
        <v>404</v>
      </c>
      <c r="D15" s="60">
        <f>ROUND(D11*G15,0)</f>
        <v>175</v>
      </c>
      <c r="E15" s="67"/>
      <c r="F15" s="67"/>
      <c r="G15" s="65">
        <f>'建筑（住）'!G8</f>
        <v>0.05</v>
      </c>
      <c r="H15" s="66" t="s">
        <v>405</v>
      </c>
    </row>
    <row r="16" spans="2:8" customFormat="1">
      <c r="B16" s="58">
        <v>1.3</v>
      </c>
      <c r="C16" s="63" t="s">
        <v>406</v>
      </c>
      <c r="D16" s="60">
        <f>ROUND(D11*G16,0)</f>
        <v>0</v>
      </c>
      <c r="E16" s="67"/>
      <c r="F16" s="67"/>
      <c r="G16" s="65">
        <v>0</v>
      </c>
      <c r="H16" s="66" t="s">
        <v>407</v>
      </c>
    </row>
    <row r="17" spans="2:14" customFormat="1">
      <c r="B17" s="58">
        <v>1.4</v>
      </c>
      <c r="C17" s="63" t="s">
        <v>408</v>
      </c>
      <c r="D17" s="60">
        <f>ROUND(F17*E17,0)</f>
        <v>200</v>
      </c>
      <c r="E17" s="64">
        <f>E11</f>
        <v>1</v>
      </c>
      <c r="F17" s="61">
        <v>200</v>
      </c>
      <c r="G17" s="63"/>
      <c r="H17" s="66" t="s">
        <v>409</v>
      </c>
    </row>
    <row r="18" spans="2:14" customFormat="1">
      <c r="B18" s="58">
        <v>1.5</v>
      </c>
      <c r="C18" s="63" t="s">
        <v>410</v>
      </c>
      <c r="D18" s="60">
        <f>ROUND(D11*G18,0)</f>
        <v>53</v>
      </c>
      <c r="E18" s="67"/>
      <c r="F18" s="67"/>
      <c r="G18" s="68">
        <f>'建筑（住）'!G11</f>
        <v>1.4999999999999999E-2</v>
      </c>
      <c r="H18" s="66" t="s">
        <v>411</v>
      </c>
    </row>
    <row r="19" spans="2:14" customFormat="1">
      <c r="B19" s="58">
        <v>1</v>
      </c>
      <c r="C19" s="63" t="s">
        <v>412</v>
      </c>
      <c r="D19" s="60">
        <f>SUM(D12:D18)</f>
        <v>3928</v>
      </c>
      <c r="E19" s="63"/>
      <c r="F19" s="67"/>
      <c r="G19" s="67"/>
      <c r="H19" s="69" t="s">
        <v>413</v>
      </c>
    </row>
    <row r="20" spans="2:14" customFormat="1">
      <c r="B20" s="58">
        <v>2</v>
      </c>
      <c r="C20" s="63" t="s">
        <v>373</v>
      </c>
      <c r="D20" s="60">
        <f>ROUND(D19*G20,0)</f>
        <v>118</v>
      </c>
      <c r="E20" s="70"/>
      <c r="F20" s="70"/>
      <c r="G20" s="71">
        <f>'建筑（住）'!G13</f>
        <v>0.03</v>
      </c>
      <c r="H20" s="66" t="s">
        <v>414</v>
      </c>
    </row>
    <row r="21" spans="2:14" customFormat="1">
      <c r="B21" s="58">
        <v>3</v>
      </c>
      <c r="C21" s="63" t="s">
        <v>415</v>
      </c>
      <c r="D21" s="60" t="s">
        <v>281</v>
      </c>
      <c r="E21" s="67"/>
      <c r="F21" s="67"/>
      <c r="G21" s="71">
        <f>'建筑（住）'!G14</f>
        <v>0.03</v>
      </c>
      <c r="H21" s="66" t="s">
        <v>416</v>
      </c>
    </row>
    <row r="22" spans="2:14" customFormat="1">
      <c r="B22" s="58">
        <v>4</v>
      </c>
      <c r="C22" s="72" t="s">
        <v>417</v>
      </c>
      <c r="D22" s="1081"/>
      <c r="E22" s="1082"/>
      <c r="F22" s="1082"/>
      <c r="G22" s="1082"/>
      <c r="H22" s="1083"/>
    </row>
    <row r="23" spans="2:14" customFormat="1">
      <c r="B23" s="58">
        <v>4.0999999999999996</v>
      </c>
      <c r="C23" s="63" t="s">
        <v>420</v>
      </c>
      <c r="D23" s="60">
        <f>ROUND((D19+D20)*G23*G24/2,0)</f>
        <v>373</v>
      </c>
      <c r="E23" s="63"/>
      <c r="F23" s="67"/>
      <c r="G23" s="149">
        <f>[3]成本法!G53</f>
        <v>6.1499999999999999E-2</v>
      </c>
      <c r="H23" s="67" t="s">
        <v>421</v>
      </c>
    </row>
    <row r="24" spans="2:14" customFormat="1">
      <c r="B24" s="58">
        <v>4.2</v>
      </c>
      <c r="C24" s="63" t="s">
        <v>423</v>
      </c>
      <c r="D24" s="74">
        <f>ROUND(G21*G24*G23/2,4)</f>
        <v>2.8E-3</v>
      </c>
      <c r="E24" s="63"/>
      <c r="F24" s="67"/>
      <c r="G24" s="150">
        <v>3</v>
      </c>
      <c r="H24" s="67" t="s">
        <v>424</v>
      </c>
    </row>
    <row r="25" spans="2:14" customFormat="1">
      <c r="B25" s="58">
        <v>5</v>
      </c>
      <c r="C25" s="72" t="s">
        <v>426</v>
      </c>
      <c r="D25" s="1081"/>
      <c r="E25" s="1082"/>
      <c r="F25" s="1082"/>
      <c r="G25" s="1082"/>
      <c r="H25" s="1083"/>
    </row>
    <row r="26" spans="2:14" customFormat="1">
      <c r="B26" s="58">
        <v>5.0999999999999996</v>
      </c>
      <c r="C26" s="63" t="s">
        <v>428</v>
      </c>
      <c r="D26" s="60">
        <f>ROUND((D19+D20)*G26,0)</f>
        <v>1012</v>
      </c>
      <c r="E26" s="63"/>
      <c r="F26" s="67"/>
      <c r="G26" s="1072">
        <v>0.25</v>
      </c>
      <c r="H26" s="67" t="s">
        <v>429</v>
      </c>
    </row>
    <row r="27" spans="2:14" customFormat="1">
      <c r="B27" s="58">
        <v>5.2</v>
      </c>
      <c r="C27" s="63" t="s">
        <v>430</v>
      </c>
      <c r="D27" s="74">
        <f>ROUND(G21*G26,4)</f>
        <v>7.4999999999999997E-3</v>
      </c>
      <c r="E27" s="63"/>
      <c r="F27" s="67"/>
      <c r="G27" s="1073"/>
      <c r="H27" s="67" t="s">
        <v>431</v>
      </c>
    </row>
    <row r="28" spans="2:14" customFormat="1">
      <c r="B28" s="58">
        <v>6</v>
      </c>
      <c r="C28" s="72" t="s">
        <v>432</v>
      </c>
      <c r="D28" s="60" t="s">
        <v>281</v>
      </c>
      <c r="E28" s="59"/>
      <c r="F28" s="59"/>
      <c r="G28" s="71">
        <f>'建筑（住）'!G21</f>
        <v>5.6000000000000001E-2</v>
      </c>
      <c r="H28" s="66" t="s">
        <v>433</v>
      </c>
    </row>
    <row r="29" spans="2:14" customFormat="1">
      <c r="B29" s="58">
        <v>7</v>
      </c>
      <c r="C29" s="72" t="s">
        <v>434</v>
      </c>
      <c r="D29" s="60">
        <f>ROUND((D19+D20+D23+D26)/(1-G21-D24-D27-G28),0)</f>
        <v>6010</v>
      </c>
      <c r="E29" s="72"/>
      <c r="F29" s="72"/>
      <c r="G29" s="76"/>
      <c r="H29" s="66" t="s">
        <v>435</v>
      </c>
    </row>
    <row r="30" spans="2:14" customFormat="1">
      <c r="B30" s="58">
        <v>8</v>
      </c>
      <c r="C30" s="72" t="s">
        <v>436</v>
      </c>
      <c r="D30" s="60" t="s">
        <v>281</v>
      </c>
      <c r="E30" s="59"/>
      <c r="F30" s="59"/>
      <c r="G30" s="77">
        <f>K33</f>
        <v>0.77</v>
      </c>
      <c r="H30" s="66"/>
      <c r="J30" s="103" t="s">
        <v>418</v>
      </c>
      <c r="K30" s="104">
        <v>0</v>
      </c>
      <c r="L30" s="1074" t="s">
        <v>419</v>
      </c>
      <c r="N30" s="105"/>
    </row>
    <row r="31" spans="2:14" customFormat="1" ht="24">
      <c r="B31" s="58">
        <v>9</v>
      </c>
      <c r="C31" s="72" t="s">
        <v>103</v>
      </c>
      <c r="D31" s="60">
        <f>ROUND(D29*G30,0)</f>
        <v>4628</v>
      </c>
      <c r="E31" s="59"/>
      <c r="F31" s="59"/>
      <c r="G31" s="71"/>
      <c r="H31" s="66" t="s">
        <v>437</v>
      </c>
      <c r="J31" s="103" t="s">
        <v>422</v>
      </c>
      <c r="K31" s="106">
        <v>14</v>
      </c>
      <c r="L31" s="1075"/>
      <c r="N31" s="107"/>
    </row>
    <row r="32" spans="2:14" ht="24">
      <c r="B32" s="1138" t="s">
        <v>752</v>
      </c>
      <c r="C32" s="1139"/>
      <c r="D32" s="1139"/>
      <c r="E32" s="1139"/>
      <c r="F32" s="1139"/>
      <c r="G32" s="1139"/>
      <c r="H32" s="1140"/>
      <c r="J32" s="103" t="s">
        <v>425</v>
      </c>
      <c r="K32" s="106">
        <v>60</v>
      </c>
      <c r="L32" s="1075"/>
    </row>
    <row r="33" spans="2:12">
      <c r="B33" s="57" t="s">
        <v>69</v>
      </c>
      <c r="C33" s="57" t="s">
        <v>748</v>
      </c>
      <c r="D33" s="78" t="s">
        <v>82</v>
      </c>
      <c r="E33" s="57" t="s">
        <v>753</v>
      </c>
      <c r="F33" s="57" t="s">
        <v>401</v>
      </c>
      <c r="G33" s="57" t="s">
        <v>402</v>
      </c>
      <c r="H33" s="57" t="s">
        <v>754</v>
      </c>
      <c r="J33" s="108" t="s">
        <v>427</v>
      </c>
      <c r="K33" s="109">
        <f>ROUND(1-(1-K30)*K31/K32,2)</f>
        <v>0.77</v>
      </c>
      <c r="L33" s="1076"/>
    </row>
    <row r="34" spans="2:12">
      <c r="B34" s="47">
        <v>1</v>
      </c>
      <c r="C34" s="48" t="s">
        <v>755</v>
      </c>
      <c r="D34" s="49" t="e">
        <f>SUM(D35:D37)</f>
        <v>#REF!</v>
      </c>
      <c r="E34" s="48"/>
      <c r="F34" s="48"/>
      <c r="G34" s="79"/>
      <c r="H34" s="80" t="s">
        <v>756</v>
      </c>
      <c r="J34" s="45">
        <v>1999</v>
      </c>
    </row>
    <row r="35" spans="2:12">
      <c r="B35" s="47">
        <v>1.1000000000000001</v>
      </c>
      <c r="C35" s="48" t="s">
        <v>757</v>
      </c>
      <c r="D35" s="49">
        <f>ROUND(D8*G35,0)</f>
        <v>155</v>
      </c>
      <c r="E35" s="48"/>
      <c r="F35" s="48"/>
      <c r="G35" s="81">
        <f>G28</f>
        <v>5.6000000000000001E-2</v>
      </c>
      <c r="H35" s="48" t="s">
        <v>758</v>
      </c>
    </row>
    <row r="36" spans="2:12">
      <c r="B36" s="47">
        <v>1.2</v>
      </c>
      <c r="C36" s="48" t="s">
        <v>358</v>
      </c>
      <c r="D36" s="82">
        <f>ROUND(G36*F36*E36,0)</f>
        <v>42</v>
      </c>
      <c r="E36" s="48">
        <f>ROUND(D29*(1-D27)-D26,2)</f>
        <v>4952.93</v>
      </c>
      <c r="F36" s="83">
        <v>0.7</v>
      </c>
      <c r="G36" s="81">
        <v>1.2E-2</v>
      </c>
      <c r="H36" s="48" t="s">
        <v>759</v>
      </c>
    </row>
    <row r="37" spans="2:12">
      <c r="B37" s="47">
        <v>1.3</v>
      </c>
      <c r="C37" s="48" t="s">
        <v>361</v>
      </c>
      <c r="D37" s="49" t="e">
        <f>ROUND(E37*F37,0)</f>
        <v>#REF!</v>
      </c>
      <c r="E37" s="48" t="e">
        <f>ROUND(E12/#REF!*(权属依据!B10+权属依据!E10),2)</f>
        <v>#REF!</v>
      </c>
      <c r="F37" s="84" t="e">
        <f>'建筑（住）'!#REF!</f>
        <v>#REF!</v>
      </c>
      <c r="G37" s="81"/>
      <c r="H37" s="48" t="s">
        <v>760</v>
      </c>
    </row>
    <row r="38" spans="2:12">
      <c r="B38" s="47">
        <v>2</v>
      </c>
      <c r="C38" s="48" t="s">
        <v>367</v>
      </c>
      <c r="D38" s="49">
        <f>ROUND(D29*G38,0)</f>
        <v>12</v>
      </c>
      <c r="E38" s="48"/>
      <c r="F38" s="48"/>
      <c r="G38" s="81">
        <v>2E-3</v>
      </c>
      <c r="H38" s="48" t="s">
        <v>761</v>
      </c>
    </row>
    <row r="39" spans="2:12">
      <c r="B39" s="47">
        <v>3</v>
      </c>
      <c r="C39" s="48" t="s">
        <v>370</v>
      </c>
      <c r="D39" s="49">
        <f>ROUND(D31*G39,0)</f>
        <v>1</v>
      </c>
      <c r="E39" s="48"/>
      <c r="F39" s="48"/>
      <c r="G39" s="85">
        <v>2.5000000000000001E-4</v>
      </c>
      <c r="H39" s="48" t="s">
        <v>762</v>
      </c>
      <c r="I39" s="110"/>
      <c r="J39" s="111"/>
    </row>
    <row r="40" spans="2:12">
      <c r="B40" s="47">
        <v>4</v>
      </c>
      <c r="C40" s="48" t="s">
        <v>373</v>
      </c>
      <c r="D40" s="49">
        <f>ROUND(D8*G40,0)</f>
        <v>55</v>
      </c>
      <c r="E40" s="48"/>
      <c r="F40" s="48"/>
      <c r="G40" s="81">
        <v>0.02</v>
      </c>
      <c r="H40" s="48" t="s">
        <v>356</v>
      </c>
      <c r="I40" s="110"/>
      <c r="J40" s="111"/>
    </row>
    <row r="41" spans="2:12">
      <c r="B41" s="47">
        <v>5</v>
      </c>
      <c r="C41" s="48" t="s">
        <v>763</v>
      </c>
      <c r="D41" s="49" t="e">
        <f>ROUND(SUM(D35:D40),0)</f>
        <v>#REF!</v>
      </c>
      <c r="E41" s="48"/>
      <c r="F41" s="48"/>
      <c r="G41" s="48"/>
      <c r="H41" s="48"/>
      <c r="I41" s="110"/>
      <c r="J41" s="111"/>
    </row>
    <row r="42" spans="2:12">
      <c r="B42" s="1138" t="s">
        <v>764</v>
      </c>
      <c r="C42" s="1139"/>
      <c r="D42" s="1139"/>
      <c r="E42" s="1139"/>
      <c r="F42" s="1139"/>
      <c r="G42" s="1139"/>
      <c r="H42" s="1140"/>
      <c r="I42" s="110"/>
      <c r="J42" s="112"/>
    </row>
    <row r="43" spans="2:12">
      <c r="B43" s="47">
        <v>1</v>
      </c>
      <c r="C43" s="48" t="s">
        <v>765</v>
      </c>
      <c r="D43" s="86" t="e">
        <f>D8-D41</f>
        <v>#REF!</v>
      </c>
      <c r="E43" s="48"/>
      <c r="F43" s="47" t="s">
        <v>766</v>
      </c>
      <c r="G43" s="87">
        <v>3.5000000000000003E-2</v>
      </c>
      <c r="H43" s="48"/>
      <c r="I43" s="110"/>
      <c r="J43" s="112"/>
    </row>
    <row r="44" spans="2:12">
      <c r="B44" s="47">
        <v>2</v>
      </c>
      <c r="C44" s="48" t="s">
        <v>767</v>
      </c>
      <c r="D44" s="88">
        <v>6.5000000000000002E-2</v>
      </c>
      <c r="E44" s="48"/>
      <c r="F44" s="48"/>
      <c r="G44" s="48"/>
      <c r="H44" s="48"/>
    </row>
    <row r="45" spans="2:12">
      <c r="B45" s="47">
        <v>3</v>
      </c>
      <c r="C45" s="48" t="s">
        <v>327</v>
      </c>
      <c r="D45" s="89">
        <v>30.12</v>
      </c>
      <c r="E45" s="48"/>
      <c r="F45" s="48"/>
      <c r="G45" s="48"/>
      <c r="H45" s="48" t="s">
        <v>768</v>
      </c>
      <c r="I45" s="113"/>
      <c r="J45" s="113"/>
    </row>
    <row r="46" spans="2:12">
      <c r="B46" s="47">
        <v>4</v>
      </c>
      <c r="C46" s="90" t="s">
        <v>83</v>
      </c>
      <c r="D46" s="86" t="e">
        <f>ROUND(D43/(D44-G43)*(1-POWER(((1+G43)/(1+D44)),D45)),0)</f>
        <v>#REF!</v>
      </c>
      <c r="E46" s="48"/>
      <c r="F46" s="91"/>
      <c r="G46" s="48"/>
      <c r="H46" s="48" t="s">
        <v>769</v>
      </c>
      <c r="I46" s="113"/>
      <c r="J46" s="113"/>
    </row>
    <row r="47" spans="2:12">
      <c r="B47" s="47"/>
      <c r="C47" s="92"/>
      <c r="D47" s="93"/>
      <c r="E47" s="94"/>
      <c r="F47" s="94"/>
      <c r="G47" s="94"/>
      <c r="H47" s="94"/>
    </row>
  </sheetData>
  <mergeCells count="9">
    <mergeCell ref="B42:H42"/>
    <mergeCell ref="G26:G27"/>
    <mergeCell ref="L30:L33"/>
    <mergeCell ref="B1:H1"/>
    <mergeCell ref="B2:H2"/>
    <mergeCell ref="B9:H9"/>
    <mergeCell ref="D22:H22"/>
    <mergeCell ref="D25:H25"/>
    <mergeCell ref="B32:H32"/>
  </mergeCells>
  <phoneticPr fontId="97" type="noConversion"/>
  <pageMargins left="0.69861111111111107" right="0.69861111111111107" top="0.75" bottom="0.75" header="0.3" footer="0.3"/>
  <pageSetup paperSize="9" scale="6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4"/>
  <sheetViews>
    <sheetView view="pageBreakPreview" topLeftCell="B13" workbookViewId="0">
      <selection activeCell="D42" sqref="D42"/>
    </sheetView>
  </sheetViews>
  <sheetFormatPr defaultColWidth="9" defaultRowHeight="13.5"/>
  <cols>
    <col min="1" max="1" width="2.625" style="142" customWidth="1"/>
    <col min="2" max="2" width="6.125" style="167" customWidth="1"/>
    <col min="3" max="3" width="17.875" style="142" customWidth="1"/>
    <col min="4" max="4" width="9" style="142"/>
    <col min="5" max="5" width="13.75" style="142" customWidth="1"/>
    <col min="6" max="9" width="13" style="142" customWidth="1"/>
    <col min="10" max="10" width="2.625" style="142" customWidth="1"/>
    <col min="11" max="14" width="12.875" style="142" customWidth="1"/>
    <col min="15" max="16384" width="9" style="142"/>
  </cols>
  <sheetData>
    <row r="1" spans="2:14">
      <c r="B1" s="1143" t="s">
        <v>770</v>
      </c>
      <c r="C1" s="1144"/>
      <c r="D1" s="1144"/>
      <c r="E1" s="1144"/>
      <c r="F1" s="1144"/>
      <c r="G1" s="1144"/>
      <c r="H1" s="1144"/>
      <c r="I1" s="1145"/>
    </row>
    <row r="2" spans="2:14">
      <c r="B2" s="1146" t="s">
        <v>747</v>
      </c>
      <c r="C2" s="1147"/>
      <c r="D2" s="1147"/>
      <c r="E2" s="1147"/>
      <c r="F2" s="1147"/>
      <c r="G2" s="1147"/>
      <c r="H2" s="1147"/>
      <c r="I2" s="1148"/>
    </row>
    <row r="3" spans="2:14" ht="14.25">
      <c r="B3" s="254" t="s">
        <v>69</v>
      </c>
      <c r="C3" s="255" t="s">
        <v>748</v>
      </c>
      <c r="D3" s="256" t="s">
        <v>82</v>
      </c>
      <c r="E3" s="887" t="s">
        <v>966</v>
      </c>
      <c r="F3" s="254" t="s">
        <v>771</v>
      </c>
      <c r="G3" s="254" t="s">
        <v>772</v>
      </c>
      <c r="H3" s="254" t="s">
        <v>773</v>
      </c>
      <c r="I3" s="254" t="s">
        <v>774</v>
      </c>
      <c r="K3" s="888" t="s">
        <v>914</v>
      </c>
      <c r="L3" s="888" t="s">
        <v>974</v>
      </c>
      <c r="M3" s="888" t="s">
        <v>968</v>
      </c>
    </row>
    <row r="4" spans="2:14" ht="14.25">
      <c r="B4" s="254">
        <v>1</v>
      </c>
      <c r="C4" s="255" t="s">
        <v>150</v>
      </c>
      <c r="D4" s="256"/>
      <c r="E4" s="928">
        <v>2.8</v>
      </c>
      <c r="F4" s="254"/>
      <c r="G4" s="254"/>
      <c r="H4" s="254"/>
      <c r="I4" s="254"/>
      <c r="K4" s="888" t="s">
        <v>934</v>
      </c>
      <c r="L4" s="889">
        <v>6</v>
      </c>
      <c r="M4" s="862">
        <v>1</v>
      </c>
    </row>
    <row r="5" spans="2:14">
      <c r="B5" s="254">
        <v>2</v>
      </c>
      <c r="C5" s="255" t="s">
        <v>348</v>
      </c>
      <c r="D5" s="257">
        <f>SUM(E5:I5)</f>
        <v>45260.62</v>
      </c>
      <c r="E5" s="254">
        <f>面积!B2</f>
        <v>45260.62</v>
      </c>
      <c r="F5" s="254"/>
      <c r="G5" s="254"/>
      <c r="H5" s="254"/>
      <c r="I5" s="254"/>
      <c r="K5" s="890" t="s">
        <v>969</v>
      </c>
      <c r="L5" s="368">
        <f>ROUND($L$4*M5,1)</f>
        <v>3.6</v>
      </c>
      <c r="M5" s="368">
        <v>0.6</v>
      </c>
    </row>
    <row r="6" spans="2:14" ht="14.25">
      <c r="B6" s="254">
        <v>3</v>
      </c>
      <c r="C6" s="255" t="s">
        <v>749</v>
      </c>
      <c r="D6" s="255"/>
      <c r="E6" s="254">
        <v>365</v>
      </c>
      <c r="F6" s="254"/>
      <c r="G6" s="254"/>
      <c r="H6" s="254"/>
      <c r="I6" s="254"/>
      <c r="K6" s="888" t="s">
        <v>970</v>
      </c>
      <c r="L6" s="368">
        <f t="shared" ref="L6:L8" si="0">ROUND($L$4*M6,1)</f>
        <v>3</v>
      </c>
      <c r="M6" s="368">
        <v>0.5</v>
      </c>
    </row>
    <row r="7" spans="2:14" ht="14.25">
      <c r="B7" s="254">
        <v>4</v>
      </c>
      <c r="C7" s="255" t="s">
        <v>351</v>
      </c>
      <c r="D7" s="256"/>
      <c r="E7" s="258">
        <v>0.15</v>
      </c>
      <c r="F7" s="258"/>
      <c r="G7" s="258"/>
      <c r="H7" s="258"/>
      <c r="I7" s="258"/>
      <c r="K7" s="890" t="s">
        <v>971</v>
      </c>
      <c r="L7" s="368">
        <f t="shared" si="0"/>
        <v>2.4</v>
      </c>
      <c r="M7" s="888">
        <v>0.4</v>
      </c>
    </row>
    <row r="8" spans="2:14" ht="14.25">
      <c r="B8" s="254">
        <v>5</v>
      </c>
      <c r="C8" s="255" t="s">
        <v>751</v>
      </c>
      <c r="D8" s="257">
        <f>SUM(E8:I8)</f>
        <v>3932</v>
      </c>
      <c r="E8" s="254">
        <f>ROUND(E4*E5*E6*(1-E7)/10000,0)</f>
        <v>3932</v>
      </c>
      <c r="F8" s="254"/>
      <c r="G8" s="254"/>
      <c r="H8" s="254"/>
      <c r="I8" s="254"/>
      <c r="K8" s="888" t="s">
        <v>972</v>
      </c>
      <c r="L8" s="368">
        <f t="shared" si="0"/>
        <v>1.8</v>
      </c>
      <c r="M8" s="888">
        <v>0.3</v>
      </c>
    </row>
    <row r="9" spans="2:14">
      <c r="B9" s="1149" t="s">
        <v>400</v>
      </c>
      <c r="C9" s="1149"/>
      <c r="D9" s="1149"/>
      <c r="E9" s="1149"/>
      <c r="F9" s="1149"/>
      <c r="G9" s="1149"/>
      <c r="H9" s="1149"/>
      <c r="I9" s="1149"/>
      <c r="K9" s="890" t="s">
        <v>973</v>
      </c>
      <c r="L9" s="891">
        <f>AVERAGE(L4:L8)</f>
        <v>3.3600000000000003</v>
      </c>
      <c r="M9" s="368"/>
    </row>
    <row r="10" spans="2:14" s="252" customFormat="1">
      <c r="B10" s="260" t="s">
        <v>69</v>
      </c>
      <c r="C10" s="261" t="s">
        <v>124</v>
      </c>
      <c r="D10" s="262" t="s">
        <v>82</v>
      </c>
      <c r="E10" s="263" t="s">
        <v>41</v>
      </c>
      <c r="F10" s="263" t="s">
        <v>401</v>
      </c>
      <c r="G10" s="263" t="s">
        <v>402</v>
      </c>
      <c r="H10" s="1150"/>
      <c r="I10" s="1151"/>
    </row>
    <row r="11" spans="2:14" s="252" customFormat="1">
      <c r="B11" s="260">
        <v>1.1000000000000001</v>
      </c>
      <c r="C11" s="264" t="s">
        <v>403</v>
      </c>
      <c r="D11" s="262">
        <f>ROUND(E11*F11/10000,0)</f>
        <v>11315</v>
      </c>
      <c r="E11" s="265">
        <f>E5</f>
        <v>45260.62</v>
      </c>
      <c r="F11" s="263">
        <v>2500</v>
      </c>
      <c r="G11" s="266"/>
      <c r="H11" s="1152"/>
      <c r="I11" s="1153"/>
      <c r="K11" s="299"/>
      <c r="L11" s="300"/>
      <c r="M11" s="301"/>
      <c r="N11" s="301"/>
    </row>
    <row r="12" spans="2:14" s="252" customFormat="1" ht="14.25" customHeight="1">
      <c r="B12" s="260">
        <v>1.2</v>
      </c>
      <c r="C12" s="264" t="s">
        <v>404</v>
      </c>
      <c r="D12" s="262">
        <f>ROUND(D11*G12,0)</f>
        <v>339</v>
      </c>
      <c r="E12" s="267"/>
      <c r="F12" s="267"/>
      <c r="G12" s="266">
        <v>0.03</v>
      </c>
      <c r="H12" s="1141" t="s">
        <v>405</v>
      </c>
      <c r="I12" s="1142"/>
      <c r="K12" s="302"/>
      <c r="L12" s="303"/>
      <c r="M12" s="303"/>
      <c r="N12" s="303"/>
    </row>
    <row r="13" spans="2:14" s="252" customFormat="1" ht="14.25" customHeight="1">
      <c r="B13" s="260">
        <v>1.3</v>
      </c>
      <c r="C13" s="264" t="s">
        <v>406</v>
      </c>
      <c r="D13" s="262">
        <f>ROUND(D11*G13,0)</f>
        <v>0</v>
      </c>
      <c r="E13" s="267"/>
      <c r="F13" s="267"/>
      <c r="G13" s="266">
        <v>0</v>
      </c>
      <c r="H13" s="1141" t="s">
        <v>407</v>
      </c>
      <c r="I13" s="1142"/>
      <c r="K13" s="302"/>
      <c r="L13" s="303"/>
      <c r="M13" s="303"/>
      <c r="N13" s="303"/>
    </row>
    <row r="14" spans="2:14" s="252" customFormat="1">
      <c r="B14" s="260">
        <v>1.4</v>
      </c>
      <c r="C14" s="264" t="s">
        <v>408</v>
      </c>
      <c r="D14" s="262">
        <f>ROUND(F14*E14/10000,0)</f>
        <v>905</v>
      </c>
      <c r="E14" s="268">
        <f>E5</f>
        <v>45260.62</v>
      </c>
      <c r="F14" s="263">
        <v>200</v>
      </c>
      <c r="G14" s="264"/>
      <c r="H14" s="1141" t="s">
        <v>409</v>
      </c>
      <c r="I14" s="1142"/>
      <c r="K14" s="302"/>
      <c r="L14" s="303"/>
      <c r="M14" s="303"/>
      <c r="N14" s="303"/>
    </row>
    <row r="15" spans="2:14" s="252" customFormat="1">
      <c r="B15" s="260">
        <v>1.5</v>
      </c>
      <c r="C15" s="264" t="s">
        <v>410</v>
      </c>
      <c r="D15" s="262">
        <f>ROUND(D11*G15,0)</f>
        <v>170</v>
      </c>
      <c r="E15" s="267"/>
      <c r="F15" s="267"/>
      <c r="G15" s="269">
        <v>1.4999999999999999E-2</v>
      </c>
      <c r="H15" s="1141" t="s">
        <v>411</v>
      </c>
      <c r="I15" s="1142"/>
      <c r="K15" s="302"/>
      <c r="L15" s="303"/>
      <c r="M15" s="303"/>
      <c r="N15" s="303"/>
    </row>
    <row r="16" spans="2:14" s="252" customFormat="1">
      <c r="B16" s="261">
        <v>1</v>
      </c>
      <c r="C16" s="264" t="s">
        <v>412</v>
      </c>
      <c r="D16" s="262">
        <f>SUM(D11:D15)</f>
        <v>12729</v>
      </c>
      <c r="E16" s="264"/>
      <c r="F16" s="267"/>
      <c r="G16" s="267"/>
      <c r="H16" s="1141" t="s">
        <v>413</v>
      </c>
      <c r="I16" s="1142"/>
      <c r="K16" s="302"/>
      <c r="L16" s="303"/>
      <c r="M16" s="303"/>
      <c r="N16" s="303"/>
    </row>
    <row r="17" spans="2:14" s="252" customFormat="1">
      <c r="B17" s="261">
        <v>2</v>
      </c>
      <c r="C17" s="264" t="s">
        <v>373</v>
      </c>
      <c r="D17" s="262">
        <f>ROUND(D16*G17,0)</f>
        <v>255</v>
      </c>
      <c r="E17" s="270"/>
      <c r="F17" s="270"/>
      <c r="G17" s="271">
        <v>0.02</v>
      </c>
      <c r="H17" s="1141" t="s">
        <v>414</v>
      </c>
      <c r="I17" s="1142"/>
      <c r="K17" s="261"/>
      <c r="L17" s="300"/>
      <c r="M17" s="304"/>
      <c r="N17" s="300"/>
    </row>
    <row r="18" spans="2:14" s="252" customFormat="1">
      <c r="B18" s="261">
        <v>3</v>
      </c>
      <c r="C18" s="264" t="s">
        <v>415</v>
      </c>
      <c r="D18" s="262" t="s">
        <v>281</v>
      </c>
      <c r="E18" s="267"/>
      <c r="F18" s="267"/>
      <c r="G18" s="271">
        <v>0.02</v>
      </c>
      <c r="H18" s="1141" t="s">
        <v>775</v>
      </c>
      <c r="I18" s="1142"/>
    </row>
    <row r="19" spans="2:14" s="252" customFormat="1">
      <c r="B19" s="261">
        <v>4</v>
      </c>
      <c r="C19" s="272" t="s">
        <v>417</v>
      </c>
      <c r="D19" s="1160"/>
      <c r="E19" s="1161"/>
      <c r="F19" s="1161"/>
      <c r="G19" s="1161"/>
      <c r="H19" s="1161"/>
      <c r="I19" s="1162"/>
    </row>
    <row r="20" spans="2:14" s="252" customFormat="1">
      <c r="B20" s="260">
        <v>4.0999999999999996</v>
      </c>
      <c r="C20" s="264" t="s">
        <v>420</v>
      </c>
      <c r="D20" s="262">
        <f>ROUND((D16+D17)*G20*G21/2,0)</f>
        <v>584</v>
      </c>
      <c r="E20" s="264"/>
      <c r="F20" s="267"/>
      <c r="G20" s="273">
        <v>0.06</v>
      </c>
      <c r="H20" s="1141" t="s">
        <v>421</v>
      </c>
      <c r="I20" s="1142"/>
    </row>
    <row r="21" spans="2:14" s="252" customFormat="1">
      <c r="B21" s="260">
        <v>4.2</v>
      </c>
      <c r="C21" s="264" t="s">
        <v>423</v>
      </c>
      <c r="D21" s="274">
        <f>ROUND(G18*G21*G20/2,4)</f>
        <v>8.9999999999999998E-4</v>
      </c>
      <c r="E21" s="264"/>
      <c r="F21" s="267"/>
      <c r="G21" s="275">
        <v>1.5</v>
      </c>
      <c r="H21" s="1141" t="s">
        <v>424</v>
      </c>
      <c r="I21" s="1142"/>
    </row>
    <row r="22" spans="2:14" s="252" customFormat="1">
      <c r="B22" s="261">
        <v>5</v>
      </c>
      <c r="C22" s="272" t="s">
        <v>426</v>
      </c>
      <c r="D22" s="1160"/>
      <c r="E22" s="1161"/>
      <c r="F22" s="1161"/>
      <c r="G22" s="1161"/>
      <c r="H22" s="1161"/>
      <c r="I22" s="1162"/>
    </row>
    <row r="23" spans="2:14" s="252" customFormat="1">
      <c r="B23" s="260">
        <v>5.0999999999999996</v>
      </c>
      <c r="C23" s="264" t="s">
        <v>776</v>
      </c>
      <c r="D23" s="262">
        <f>ROUND((D16+D17)*G23,0)</f>
        <v>2597</v>
      </c>
      <c r="E23" s="264"/>
      <c r="F23" s="267"/>
      <c r="G23" s="1166">
        <v>0.2</v>
      </c>
      <c r="H23" s="1141" t="s">
        <v>429</v>
      </c>
      <c r="I23" s="1142"/>
    </row>
    <row r="24" spans="2:14" s="252" customFormat="1" ht="16.5" customHeight="1">
      <c r="B24" s="260">
        <v>5.2</v>
      </c>
      <c r="C24" s="264" t="s">
        <v>430</v>
      </c>
      <c r="D24" s="274">
        <f>ROUND(G18*G23,4)</f>
        <v>4.0000000000000001E-3</v>
      </c>
      <c r="E24" s="264"/>
      <c r="F24" s="267"/>
      <c r="G24" s="1167"/>
      <c r="H24" s="1141" t="s">
        <v>431</v>
      </c>
      <c r="I24" s="1142"/>
    </row>
    <row r="25" spans="2:14" s="252" customFormat="1" ht="19.5" customHeight="1">
      <c r="B25" s="261">
        <v>6</v>
      </c>
      <c r="C25" s="272" t="s">
        <v>432</v>
      </c>
      <c r="D25" s="262" t="s">
        <v>281</v>
      </c>
      <c r="E25" s="261"/>
      <c r="F25" s="261"/>
      <c r="G25" s="271">
        <v>5.5E-2</v>
      </c>
      <c r="H25" s="1141" t="s">
        <v>433</v>
      </c>
      <c r="I25" s="1142"/>
      <c r="K25" s="181" t="s">
        <v>391</v>
      </c>
      <c r="L25" s="182">
        <f>ROUND(L32*L26,0)</f>
        <v>1335</v>
      </c>
      <c r="M25" s="183"/>
      <c r="N25" s="183"/>
    </row>
    <row r="26" spans="2:14" s="252" customFormat="1" ht="15.75" customHeight="1">
      <c r="B26" s="261">
        <v>7</v>
      </c>
      <c r="C26" s="272" t="s">
        <v>434</v>
      </c>
      <c r="D26" s="262">
        <f>ROUND((D16+D17+D20+D23)/(1-G18-D21-D24-G25),0)</f>
        <v>17569</v>
      </c>
      <c r="E26" s="272"/>
      <c r="F26" s="272"/>
      <c r="G26" s="276"/>
      <c r="H26" s="1141" t="s">
        <v>435</v>
      </c>
      <c r="I26" s="1142"/>
      <c r="K26" s="184" t="s">
        <v>392</v>
      </c>
      <c r="L26" s="185">
        <v>0.08</v>
      </c>
      <c r="M26" s="184" t="s">
        <v>393</v>
      </c>
      <c r="N26" s="185"/>
    </row>
    <row r="27" spans="2:14" s="252" customFormat="1">
      <c r="B27" s="261">
        <v>8</v>
      </c>
      <c r="C27" s="272" t="s">
        <v>436</v>
      </c>
      <c r="D27" s="262" t="s">
        <v>281</v>
      </c>
      <c r="E27" s="261"/>
      <c r="F27" s="261"/>
      <c r="G27" s="277">
        <f>'市（商业）'!D22</f>
        <v>0.95</v>
      </c>
      <c r="H27" s="1141"/>
      <c r="I27" s="1142"/>
      <c r="K27" s="1154" t="s">
        <v>394</v>
      </c>
      <c r="L27" s="1155"/>
      <c r="M27" s="1155"/>
      <c r="N27" s="1156"/>
    </row>
    <row r="28" spans="2:14" s="252" customFormat="1">
      <c r="B28" s="261">
        <v>9</v>
      </c>
      <c r="C28" s="272" t="s">
        <v>777</v>
      </c>
      <c r="D28" s="262">
        <f>ROUND(D26*G27,0)</f>
        <v>16691</v>
      </c>
      <c r="E28" s="261"/>
      <c r="F28" s="261"/>
      <c r="G28" s="271"/>
      <c r="H28" s="1141" t="s">
        <v>437</v>
      </c>
      <c r="I28" s="1142"/>
      <c r="K28" s="1157" t="s">
        <v>395</v>
      </c>
      <c r="L28" s="1157"/>
      <c r="M28" s="1158" t="s">
        <v>396</v>
      </c>
      <c r="N28" s="1159"/>
    </row>
    <row r="29" spans="2:14">
      <c r="B29" s="1146" t="s">
        <v>752</v>
      </c>
      <c r="C29" s="1147"/>
      <c r="D29" s="1147"/>
      <c r="E29" s="1147"/>
      <c r="F29" s="1147"/>
      <c r="G29" s="1147"/>
      <c r="H29" s="1147"/>
      <c r="I29" s="1148"/>
      <c r="K29" s="181" t="s">
        <v>397</v>
      </c>
      <c r="L29" s="192">
        <f>L25/L33</f>
        <v>0.38472622478386165</v>
      </c>
      <c r="M29" s="193" t="s">
        <v>778</v>
      </c>
      <c r="N29" s="192">
        <f>D55/D43</f>
        <v>0.23046227769800065</v>
      </c>
    </row>
    <row r="30" spans="2:14">
      <c r="B30" s="259" t="s">
        <v>69</v>
      </c>
      <c r="C30" s="259" t="s">
        <v>748</v>
      </c>
      <c r="D30" s="152" t="s">
        <v>82</v>
      </c>
      <c r="E30" s="259" t="s">
        <v>753</v>
      </c>
      <c r="F30" s="259" t="s">
        <v>401</v>
      </c>
      <c r="G30" s="259" t="s">
        <v>402</v>
      </c>
      <c r="H30" s="259"/>
      <c r="I30" s="259" t="s">
        <v>754</v>
      </c>
      <c r="K30" s="181" t="s">
        <v>398</v>
      </c>
      <c r="L30" s="192">
        <f>1-L29</f>
        <v>0.61527377521613835</v>
      </c>
      <c r="M30" s="193" t="s">
        <v>779</v>
      </c>
      <c r="N30" s="194">
        <f>1-N29</f>
        <v>0.76953772230199935</v>
      </c>
    </row>
    <row r="31" spans="2:14" s="253" customFormat="1">
      <c r="B31" s="259">
        <v>1</v>
      </c>
      <c r="C31" s="278" t="s">
        <v>755</v>
      </c>
      <c r="D31" s="151">
        <f>SUM(D32:D34)</f>
        <v>344.35</v>
      </c>
      <c r="E31" s="278"/>
      <c r="F31" s="278"/>
      <c r="G31" s="279"/>
      <c r="H31" s="1163" t="s">
        <v>756</v>
      </c>
      <c r="I31" s="1164"/>
    </row>
    <row r="32" spans="2:14">
      <c r="B32" s="254">
        <v>1.1000000000000001</v>
      </c>
      <c r="C32" s="255" t="s">
        <v>757</v>
      </c>
      <c r="D32" s="151">
        <f>ROUND(D8*G32,2)</f>
        <v>216.26</v>
      </c>
      <c r="E32" s="255"/>
      <c r="F32" s="255"/>
      <c r="G32" s="280">
        <f>G25</f>
        <v>5.5E-2</v>
      </c>
      <c r="H32" s="1141" t="s">
        <v>758</v>
      </c>
      <c r="I32" s="1142"/>
      <c r="K32" s="142" t="s">
        <v>777</v>
      </c>
      <c r="L32" s="901">
        <f>D28</f>
        <v>16691</v>
      </c>
    </row>
    <row r="33" spans="2:12">
      <c r="B33" s="254">
        <v>1.2</v>
      </c>
      <c r="C33" s="255" t="s">
        <v>358</v>
      </c>
      <c r="D33" s="151">
        <f>ROUND(E33*F33*G33,2)</f>
        <v>125.17</v>
      </c>
      <c r="E33" s="254">
        <f>D26-D23-D26*D24</f>
        <v>14901.724</v>
      </c>
      <c r="F33" s="255">
        <v>0.7</v>
      </c>
      <c r="G33" s="280">
        <v>1.2E-2</v>
      </c>
      <c r="H33" s="1141" t="s">
        <v>759</v>
      </c>
      <c r="I33" s="1142"/>
      <c r="K33" s="142" t="s">
        <v>765</v>
      </c>
      <c r="L33" s="902">
        <f>D40</f>
        <v>3470</v>
      </c>
    </row>
    <row r="34" spans="2:12">
      <c r="B34" s="254">
        <v>1.3</v>
      </c>
      <c r="C34" s="255" t="s">
        <v>361</v>
      </c>
      <c r="D34" s="151">
        <f>ROUND(E34*F34/10000,2)</f>
        <v>2.92</v>
      </c>
      <c r="E34" s="255">
        <f>结果汇总!D13</f>
        <v>19462.88</v>
      </c>
      <c r="F34" s="281">
        <v>1.5</v>
      </c>
      <c r="G34" s="280"/>
      <c r="H34" s="1141" t="s">
        <v>760</v>
      </c>
      <c r="I34" s="1142"/>
    </row>
    <row r="35" spans="2:12" s="253" customFormat="1">
      <c r="B35" s="259">
        <v>2</v>
      </c>
      <c r="C35" s="278" t="s">
        <v>367</v>
      </c>
      <c r="D35" s="151">
        <f>ROUND(D26*G35,2)</f>
        <v>35.14</v>
      </c>
      <c r="E35" s="278"/>
      <c r="F35" s="278"/>
      <c r="G35" s="282">
        <v>2E-3</v>
      </c>
      <c r="H35" s="1163" t="s">
        <v>368</v>
      </c>
      <c r="I35" s="1164"/>
    </row>
    <row r="36" spans="2:12" s="253" customFormat="1">
      <c r="B36" s="259">
        <v>3</v>
      </c>
      <c r="C36" s="278" t="s">
        <v>370</v>
      </c>
      <c r="D36" s="151">
        <f>ROUND(D28*G36,2)</f>
        <v>4.17</v>
      </c>
      <c r="E36" s="278"/>
      <c r="F36" s="278"/>
      <c r="G36" s="282">
        <v>2.5000000000000001E-4</v>
      </c>
      <c r="H36" s="1163" t="s">
        <v>780</v>
      </c>
      <c r="I36" s="1164"/>
    </row>
    <row r="37" spans="2:12" s="253" customFormat="1">
      <c r="B37" s="259">
        <v>4</v>
      </c>
      <c r="C37" s="278" t="s">
        <v>373</v>
      </c>
      <c r="D37" s="151">
        <f>ROUND(D8*G37,2)</f>
        <v>78.64</v>
      </c>
      <c r="E37" s="278"/>
      <c r="F37" s="278"/>
      <c r="G37" s="283">
        <v>0.02</v>
      </c>
      <c r="H37" s="1163" t="s">
        <v>356</v>
      </c>
      <c r="I37" s="1164"/>
    </row>
    <row r="38" spans="2:12" s="253" customFormat="1">
      <c r="B38" s="259">
        <v>5</v>
      </c>
      <c r="C38" s="278" t="s">
        <v>763</v>
      </c>
      <c r="D38" s="151">
        <f>ROUND(D31+D35+D36+D37,0)</f>
        <v>462</v>
      </c>
      <c r="E38" s="278"/>
      <c r="F38" s="278"/>
      <c r="G38" s="278"/>
      <c r="H38" s="278"/>
      <c r="I38" s="278"/>
    </row>
    <row r="39" spans="2:12">
      <c r="B39" s="1146" t="s">
        <v>764</v>
      </c>
      <c r="C39" s="1147"/>
      <c r="D39" s="1147"/>
      <c r="E39" s="1147"/>
      <c r="F39" s="1147"/>
      <c r="G39" s="1147"/>
      <c r="H39" s="1147"/>
      <c r="I39" s="1148"/>
    </row>
    <row r="40" spans="2:12">
      <c r="B40" s="259">
        <v>1</v>
      </c>
      <c r="C40" s="278" t="s">
        <v>765</v>
      </c>
      <c r="D40" s="284">
        <f>D8-D38</f>
        <v>3470</v>
      </c>
      <c r="E40" s="255"/>
      <c r="F40" s="259" t="s">
        <v>766</v>
      </c>
      <c r="G40" s="285">
        <v>0.03</v>
      </c>
      <c r="H40" s="921" t="s">
        <v>1048</v>
      </c>
      <c r="I40" s="255"/>
    </row>
    <row r="41" spans="2:12">
      <c r="B41" s="259">
        <v>2</v>
      </c>
      <c r="C41" s="278" t="s">
        <v>781</v>
      </c>
      <c r="D41" s="286">
        <v>0.06</v>
      </c>
      <c r="E41" s="255"/>
      <c r="F41" s="255"/>
      <c r="G41" s="255"/>
      <c r="H41" s="921" t="s">
        <v>1047</v>
      </c>
      <c r="I41" s="255"/>
    </row>
    <row r="42" spans="2:12">
      <c r="B42" s="259">
        <v>3</v>
      </c>
      <c r="C42" s="278" t="s">
        <v>327</v>
      </c>
      <c r="D42" s="287">
        <v>34.270000000000003</v>
      </c>
      <c r="E42" s="255"/>
      <c r="F42" s="255"/>
      <c r="G42" s="255"/>
      <c r="H42" s="255"/>
      <c r="I42" s="255"/>
    </row>
    <row r="43" spans="2:12">
      <c r="B43" s="259">
        <v>4</v>
      </c>
      <c r="C43" s="288" t="s">
        <v>782</v>
      </c>
      <c r="D43" s="284">
        <f>ROUND(D40/(D41-G40)*(1-POWER(((1+G40)/(1+D41)),D42)),0)</f>
        <v>72424</v>
      </c>
      <c r="E43" s="255"/>
      <c r="F43" s="289"/>
      <c r="G43" s="255"/>
      <c r="H43" s="255"/>
      <c r="I43" s="255"/>
    </row>
    <row r="44" spans="2:12">
      <c r="C44" s="892" t="s">
        <v>975</v>
      </c>
      <c r="D44" s="142">
        <f>ROUND(D43*10000/E5,0)</f>
        <v>16002</v>
      </c>
    </row>
    <row r="45" spans="2:12" s="145" customFormat="1">
      <c r="B45" s="290"/>
      <c r="C45" s="173"/>
      <c r="D45" s="291"/>
      <c r="E45" s="292"/>
      <c r="F45" s="293"/>
      <c r="G45" s="294"/>
      <c r="H45" s="294"/>
      <c r="I45" s="294"/>
    </row>
    <row r="46" spans="2:12" s="145" customFormat="1">
      <c r="B46" s="290"/>
      <c r="C46" s="173"/>
      <c r="D46" s="291"/>
      <c r="E46" s="292"/>
      <c r="F46" s="293"/>
      <c r="G46" s="294"/>
      <c r="H46" s="294"/>
      <c r="I46" s="294"/>
    </row>
    <row r="47" spans="2:12" s="145" customFormat="1">
      <c r="B47" s="290"/>
      <c r="C47" s="173"/>
      <c r="D47" s="291"/>
      <c r="E47" s="292"/>
      <c r="F47" s="293"/>
      <c r="G47" s="294"/>
      <c r="H47" s="294"/>
      <c r="I47" s="294"/>
    </row>
    <row r="48" spans="2:12" s="145" customFormat="1">
      <c r="B48" s="290"/>
      <c r="C48" s="173"/>
      <c r="D48" s="295" t="s">
        <v>783</v>
      </c>
      <c r="E48" s="296">
        <f>E5+F5+G5</f>
        <v>45260.62</v>
      </c>
      <c r="F48" s="297">
        <v>3800</v>
      </c>
      <c r="G48" s="281">
        <f>ROUND(F48*E48/10000,0)</f>
        <v>17199</v>
      </c>
      <c r="H48" s="294"/>
      <c r="I48" s="294"/>
    </row>
    <row r="49" spans="1:9" s="145" customFormat="1">
      <c r="B49" s="290"/>
      <c r="C49" s="173"/>
      <c r="D49" s="295" t="s">
        <v>784</v>
      </c>
      <c r="E49" s="268" t="e">
        <f>ROUND(E48*#REF!,2)</f>
        <v>#REF!</v>
      </c>
      <c r="F49" s="297">
        <v>2800</v>
      </c>
      <c r="G49" s="281" t="e">
        <f>ROUND(F49*E49/10000,0)</f>
        <v>#REF!</v>
      </c>
      <c r="H49" s="294"/>
      <c r="I49" s="294"/>
    </row>
    <row r="50" spans="1:9" s="145" customFormat="1">
      <c r="B50" s="290"/>
      <c r="C50" s="173"/>
      <c r="D50" s="295"/>
      <c r="E50" s="268" t="e">
        <f>E48+E49</f>
        <v>#REF!</v>
      </c>
      <c r="F50" s="298"/>
      <c r="G50" s="281" t="e">
        <f>G49+G48</f>
        <v>#REF!</v>
      </c>
      <c r="H50" s="294"/>
      <c r="I50" s="294"/>
    </row>
    <row r="51" spans="1:9" s="145" customFormat="1">
      <c r="B51" s="290"/>
      <c r="C51" s="173"/>
      <c r="D51" s="291"/>
      <c r="E51" s="292"/>
      <c r="F51" s="293"/>
      <c r="G51" s="294"/>
      <c r="H51" s="294"/>
      <c r="I51" s="294"/>
    </row>
    <row r="54" spans="1:9">
      <c r="A54" s="1165" t="s">
        <v>785</v>
      </c>
      <c r="B54" s="1165"/>
      <c r="C54" s="1165"/>
      <c r="D54" s="1165"/>
      <c r="E54" s="1165"/>
      <c r="F54" s="1165"/>
      <c r="G54" s="1165"/>
      <c r="H54" s="1165"/>
      <c r="I54" s="1165"/>
    </row>
    <row r="55" spans="1:9" s="143" customFormat="1" ht="12">
      <c r="B55" s="158"/>
      <c r="C55" s="159" t="s">
        <v>103</v>
      </c>
      <c r="D55" s="160">
        <f>D28</f>
        <v>16691</v>
      </c>
      <c r="E55" s="161" t="s">
        <v>786</v>
      </c>
      <c r="F55" s="162">
        <f>D43-D55</f>
        <v>55733</v>
      </c>
      <c r="G55" s="143" t="s">
        <v>787</v>
      </c>
    </row>
    <row r="56" spans="1:9" s="143" customFormat="1" ht="12">
      <c r="B56" s="158"/>
      <c r="C56" s="159" t="s">
        <v>788</v>
      </c>
      <c r="D56" s="160">
        <f>L25</f>
        <v>1335</v>
      </c>
      <c r="E56" s="161" t="s">
        <v>789</v>
      </c>
      <c r="F56" s="162">
        <f>D40-D56</f>
        <v>2135</v>
      </c>
      <c r="G56" s="143" t="s">
        <v>790</v>
      </c>
    </row>
    <row r="57" spans="1:9" s="143" customFormat="1" ht="12">
      <c r="B57" s="158"/>
      <c r="C57" s="159" t="s">
        <v>778</v>
      </c>
      <c r="D57" s="163">
        <f>D55/D43</f>
        <v>0.23046227769800065</v>
      </c>
      <c r="E57" s="159" t="s">
        <v>779</v>
      </c>
      <c r="F57" s="163">
        <f>F55/D43</f>
        <v>0.76953772230199935</v>
      </c>
    </row>
    <row r="58" spans="1:9" s="143" customFormat="1" ht="12">
      <c r="B58" s="158"/>
      <c r="C58" s="164" t="s">
        <v>392</v>
      </c>
      <c r="D58" s="165">
        <f>L26</f>
        <v>0.08</v>
      </c>
      <c r="E58" s="161" t="s">
        <v>791</v>
      </c>
      <c r="F58" s="166">
        <f>F56/F55</f>
        <v>3.830764538065419E-2</v>
      </c>
      <c r="G58" s="143" t="s">
        <v>792</v>
      </c>
    </row>
    <row r="60" spans="1:9" s="144" customFormat="1" ht="12">
      <c r="B60" s="168"/>
      <c r="C60" s="169" t="s">
        <v>793</v>
      </c>
      <c r="D60" s="170">
        <f>D57*L26+F57*F58</f>
        <v>4.7916160388821384E-2</v>
      </c>
      <c r="E60" s="171" t="s">
        <v>794</v>
      </c>
    </row>
    <row r="61" spans="1:9" s="145" customFormat="1">
      <c r="B61" s="172"/>
      <c r="C61" s="173"/>
      <c r="D61" s="174"/>
    </row>
    <row r="62" spans="1:9" s="146" customFormat="1" ht="12">
      <c r="B62" s="175"/>
      <c r="C62" s="176" t="s">
        <v>795</v>
      </c>
    </row>
    <row r="63" spans="1:9" s="147" customFormat="1" ht="12">
      <c r="B63" s="177"/>
      <c r="C63" s="178" t="s">
        <v>104</v>
      </c>
      <c r="D63" s="179">
        <f>D43</f>
        <v>72424</v>
      </c>
    </row>
    <row r="64" spans="1:9" s="147" customFormat="1" ht="12">
      <c r="B64" s="177"/>
      <c r="C64" s="178" t="s">
        <v>796</v>
      </c>
      <c r="D64" s="180">
        <f>D40/D63</f>
        <v>4.7912294267093779E-2</v>
      </c>
      <c r="E64" s="147" t="s">
        <v>797</v>
      </c>
    </row>
  </sheetData>
  <mergeCells count="36">
    <mergeCell ref="H36:I36"/>
    <mergeCell ref="H37:I37"/>
    <mergeCell ref="B39:I39"/>
    <mergeCell ref="A54:I54"/>
    <mergeCell ref="G23:G24"/>
    <mergeCell ref="B29:I29"/>
    <mergeCell ref="H31:I31"/>
    <mergeCell ref="H32:I32"/>
    <mergeCell ref="H33:I33"/>
    <mergeCell ref="H34:I34"/>
    <mergeCell ref="H35:I35"/>
    <mergeCell ref="H25:I25"/>
    <mergeCell ref="H26:I26"/>
    <mergeCell ref="H27:I27"/>
    <mergeCell ref="K27:N27"/>
    <mergeCell ref="H28:I28"/>
    <mergeCell ref="K28:L28"/>
    <mergeCell ref="M28:N28"/>
    <mergeCell ref="D19:I19"/>
    <mergeCell ref="H20:I20"/>
    <mergeCell ref="H21:I21"/>
    <mergeCell ref="D22:I22"/>
    <mergeCell ref="H23:I23"/>
    <mergeCell ref="H24:I24"/>
    <mergeCell ref="H18:I18"/>
    <mergeCell ref="B1:I1"/>
    <mergeCell ref="B2:I2"/>
    <mergeCell ref="B9:I9"/>
    <mergeCell ref="H10:I10"/>
    <mergeCell ref="H11:I11"/>
    <mergeCell ref="H12:I12"/>
    <mergeCell ref="H13:I13"/>
    <mergeCell ref="H14:I14"/>
    <mergeCell ref="H15:I15"/>
    <mergeCell ref="H16:I16"/>
    <mergeCell ref="H17:I17"/>
  </mergeCells>
  <phoneticPr fontId="97" type="noConversion"/>
  <pageMargins left="0.69861111111111107" right="0.69861111111111107" top="0.75" bottom="0.75" header="0.3" footer="0.3"/>
  <pageSetup paperSize="9" scale="7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9"/>
  <sheetViews>
    <sheetView view="pageBreakPreview" topLeftCell="A19" workbookViewId="0">
      <selection activeCell="D13" sqref="D13"/>
    </sheetView>
  </sheetViews>
  <sheetFormatPr defaultColWidth="9" defaultRowHeight="13.5"/>
  <cols>
    <col min="1" max="1" width="10.5" customWidth="1"/>
    <col min="2" max="2" width="14.625" customWidth="1"/>
    <col min="3" max="3" width="6" customWidth="1"/>
    <col min="11" max="11" width="9.375" bestFit="1" customWidth="1"/>
    <col min="12" max="12" width="6.375" customWidth="1"/>
    <col min="14" max="14" width="9.375" bestFit="1" customWidth="1"/>
    <col min="15" max="15" width="7.375" customWidth="1"/>
    <col min="16" max="16" width="6.25" customWidth="1"/>
    <col min="17" max="17" width="6.625" customWidth="1"/>
    <col min="18" max="18" width="6.75" customWidth="1"/>
    <col min="19" max="19" width="7.5" customWidth="1"/>
    <col min="20" max="20" width="6" customWidth="1"/>
    <col min="21" max="21" width="6.375" customWidth="1"/>
  </cols>
  <sheetData>
    <row r="1" spans="1:26" ht="20.25">
      <c r="A1" s="1168" t="s">
        <v>798</v>
      </c>
      <c r="B1" s="1169"/>
      <c r="C1" s="1169"/>
      <c r="D1" s="1169"/>
      <c r="E1" s="1169"/>
      <c r="F1" s="1169"/>
      <c r="G1" s="1169"/>
      <c r="H1" s="1169"/>
      <c r="I1" s="1169"/>
      <c r="J1" s="1169"/>
      <c r="K1" s="1169"/>
      <c r="L1" s="1169"/>
      <c r="M1" s="1169"/>
      <c r="N1" s="1169"/>
      <c r="O1" s="1169"/>
      <c r="P1" s="1169"/>
      <c r="Q1" s="1169"/>
      <c r="R1" s="1169"/>
      <c r="S1" s="1169"/>
      <c r="T1" s="1169"/>
      <c r="U1" s="1169"/>
      <c r="V1" s="1169"/>
      <c r="W1" s="1169"/>
      <c r="X1" s="1169"/>
      <c r="Y1" s="1169"/>
      <c r="Z1" s="1170"/>
    </row>
    <row r="2" spans="1:26" ht="14.25">
      <c r="A2" s="1098" t="s">
        <v>238</v>
      </c>
      <c r="B2" s="1098"/>
      <c r="C2" s="1098"/>
      <c r="D2" s="1098"/>
      <c r="E2" s="1098"/>
      <c r="F2" s="1098"/>
      <c r="G2" s="1098"/>
      <c r="H2" s="1098"/>
      <c r="I2" s="1098"/>
      <c r="J2" s="1098"/>
      <c r="K2" s="1098"/>
      <c r="L2" s="1119"/>
      <c r="M2" s="1099" t="s">
        <v>239</v>
      </c>
      <c r="N2" s="1099"/>
      <c r="O2" s="1099"/>
      <c r="P2" s="1099"/>
      <c r="Q2" s="1099"/>
      <c r="R2" s="1099"/>
      <c r="S2" s="1099"/>
      <c r="T2" s="1099"/>
      <c r="U2" s="1101"/>
      <c r="V2" s="1099" t="s">
        <v>240</v>
      </c>
      <c r="W2" s="1099"/>
      <c r="X2" s="1099"/>
      <c r="Y2" s="1099"/>
      <c r="Z2" s="1099"/>
    </row>
    <row r="3" spans="1:26" ht="14.25">
      <c r="A3" s="1131" t="s">
        <v>241</v>
      </c>
      <c r="B3" s="1123"/>
      <c r="C3" s="1104" t="s">
        <v>705</v>
      </c>
      <c r="D3" s="1100" t="s">
        <v>242</v>
      </c>
      <c r="E3" s="1100"/>
      <c r="F3" s="1171" t="s">
        <v>981</v>
      </c>
      <c r="G3" s="1100"/>
      <c r="H3" s="1171" t="s">
        <v>982</v>
      </c>
      <c r="I3" s="1100"/>
      <c r="J3" s="1171" t="s">
        <v>983</v>
      </c>
      <c r="K3" s="1100"/>
      <c r="L3" s="1102"/>
      <c r="M3" s="1131" t="s">
        <v>241</v>
      </c>
      <c r="N3" s="1123"/>
      <c r="O3" s="1131" t="s">
        <v>243</v>
      </c>
      <c r="P3" s="1123"/>
      <c r="Q3" s="1131" t="s">
        <v>244</v>
      </c>
      <c r="R3" s="1123"/>
      <c r="S3" s="1116" t="s">
        <v>245</v>
      </c>
      <c r="T3" s="1116"/>
      <c r="U3" s="1102"/>
      <c r="V3" s="1131" t="s">
        <v>241</v>
      </c>
      <c r="W3" s="1123"/>
      <c r="X3" s="1112" t="s">
        <v>243</v>
      </c>
      <c r="Y3" s="1112" t="s">
        <v>244</v>
      </c>
      <c r="Z3" s="1112" t="s">
        <v>245</v>
      </c>
    </row>
    <row r="4" spans="1:26" ht="14.25">
      <c r="A4" s="1132"/>
      <c r="B4" s="1133"/>
      <c r="C4" s="1105"/>
      <c r="D4" s="1125" t="str">
        <f>'市（商业）'!D4:E4</f>
        <v>回龙观东大街1号楼</v>
      </c>
      <c r="E4" s="1107"/>
      <c r="F4" s="1176" t="str">
        <f>B40</f>
        <v>金色漫香苑</v>
      </c>
      <c r="G4" s="1177"/>
      <c r="H4" s="1125" t="str">
        <f>B42</f>
        <v>龙城花园 (推广名：龙邸)</v>
      </c>
      <c r="I4" s="1107"/>
      <c r="J4" s="1125" t="str">
        <f>B44</f>
        <v>海淀区白家疃欣麓园</v>
      </c>
      <c r="K4" s="1107"/>
      <c r="L4" s="1102"/>
      <c r="M4" s="1132"/>
      <c r="N4" s="1133"/>
      <c r="O4" s="1134"/>
      <c r="P4" s="1135"/>
      <c r="Q4" s="1132"/>
      <c r="R4" s="1133"/>
      <c r="S4" s="1116"/>
      <c r="T4" s="1116"/>
      <c r="U4" s="1102"/>
      <c r="V4" s="1132"/>
      <c r="W4" s="1133"/>
      <c r="X4" s="1113"/>
      <c r="Y4" s="1113"/>
      <c r="Z4" s="1113"/>
    </row>
    <row r="5" spans="1:26" ht="14.25">
      <c r="A5" s="1108" t="s">
        <v>250</v>
      </c>
      <c r="B5" s="1109"/>
      <c r="C5" s="196"/>
      <c r="D5" s="878" t="str">
        <f>'市（商业）'!D5</f>
        <v>2015.1</v>
      </c>
      <c r="E5" s="195">
        <v>100</v>
      </c>
      <c r="F5" s="877" t="s">
        <v>1031</v>
      </c>
      <c r="G5" s="919">
        <f>ROUND((100-100*F26*$B$34),0)</f>
        <v>101</v>
      </c>
      <c r="H5" s="877" t="s">
        <v>1032</v>
      </c>
      <c r="I5" s="919">
        <f>ROUND((100-100*H26*$B$34),0)</f>
        <v>102</v>
      </c>
      <c r="J5" s="877" t="s">
        <v>1032</v>
      </c>
      <c r="K5" s="919">
        <f>ROUND((100-100*J26*$B$34),0)</f>
        <v>102</v>
      </c>
      <c r="L5" s="1102"/>
      <c r="M5" s="1110" t="s">
        <v>250</v>
      </c>
      <c r="N5" s="1111"/>
      <c r="O5" s="217" t="s">
        <v>252</v>
      </c>
      <c r="P5" s="218">
        <f t="shared" ref="P5:T5" si="0">G5</f>
        <v>101</v>
      </c>
      <c r="Q5" s="217" t="s">
        <v>252</v>
      </c>
      <c r="R5" s="218">
        <f t="shared" si="0"/>
        <v>102</v>
      </c>
      <c r="S5" s="217" t="s">
        <v>252</v>
      </c>
      <c r="T5" s="218">
        <f t="shared" si="0"/>
        <v>102</v>
      </c>
      <c r="U5" s="1102"/>
      <c r="V5" s="1110" t="s">
        <v>250</v>
      </c>
      <c r="W5" s="1124"/>
      <c r="X5" s="224">
        <f t="shared" ref="X5:X25" si="1">E5/G5</f>
        <v>0.99009900990099009</v>
      </c>
      <c r="Y5" s="224">
        <f t="shared" ref="Y5:Y25" si="2">E5/I5</f>
        <v>0.98039215686274506</v>
      </c>
      <c r="Z5" s="224">
        <f t="shared" ref="Z5:Z25" si="3">E5/K5</f>
        <v>0.98039215686274506</v>
      </c>
    </row>
    <row r="6" spans="1:26" ht="14.25">
      <c r="A6" s="1108" t="s">
        <v>253</v>
      </c>
      <c r="B6" s="1123"/>
      <c r="C6" s="196">
        <v>2</v>
      </c>
      <c r="D6" s="197" t="s">
        <v>254</v>
      </c>
      <c r="E6" s="195">
        <v>100</v>
      </c>
      <c r="F6" s="197" t="s">
        <v>254</v>
      </c>
      <c r="G6" s="195">
        <v>100</v>
      </c>
      <c r="H6" s="197" t="s">
        <v>254</v>
      </c>
      <c r="I6" s="195">
        <v>100</v>
      </c>
      <c r="J6" s="197" t="s">
        <v>254</v>
      </c>
      <c r="K6" s="195">
        <v>100</v>
      </c>
      <c r="L6" s="1102"/>
      <c r="M6" s="1110" t="s">
        <v>253</v>
      </c>
      <c r="N6" s="1124"/>
      <c r="O6" s="217" t="s">
        <v>252</v>
      </c>
      <c r="P6" s="218">
        <f t="shared" ref="P6:T6" si="4">G6</f>
        <v>100</v>
      </c>
      <c r="Q6" s="217" t="s">
        <v>252</v>
      </c>
      <c r="R6" s="218">
        <f t="shared" si="4"/>
        <v>100</v>
      </c>
      <c r="S6" s="217" t="s">
        <v>252</v>
      </c>
      <c r="T6" s="218">
        <f t="shared" si="4"/>
        <v>100</v>
      </c>
      <c r="U6" s="1102"/>
      <c r="V6" s="1110" t="s">
        <v>253</v>
      </c>
      <c r="W6" s="1124"/>
      <c r="X6" s="224">
        <f t="shared" si="1"/>
        <v>1</v>
      </c>
      <c r="Y6" s="224">
        <f t="shared" si="2"/>
        <v>1</v>
      </c>
      <c r="Z6" s="224">
        <f t="shared" si="3"/>
        <v>1</v>
      </c>
    </row>
    <row r="7" spans="1:26" ht="14.25">
      <c r="A7" s="1103" t="s">
        <v>255</v>
      </c>
      <c r="B7" s="873" t="s">
        <v>976</v>
      </c>
      <c r="C7" s="196">
        <v>2</v>
      </c>
      <c r="D7" s="877" t="s">
        <v>977</v>
      </c>
      <c r="E7" s="195">
        <v>100</v>
      </c>
      <c r="F7" s="877" t="s">
        <v>977</v>
      </c>
      <c r="G7" s="195">
        <v>100</v>
      </c>
      <c r="H7" s="877" t="s">
        <v>977</v>
      </c>
      <c r="I7" s="195">
        <v>100</v>
      </c>
      <c r="J7" s="922" t="s">
        <v>1051</v>
      </c>
      <c r="K7" s="195">
        <v>100</v>
      </c>
      <c r="L7" s="1102"/>
      <c r="M7" s="1103" t="s">
        <v>255</v>
      </c>
      <c r="N7" s="219" t="str">
        <f t="shared" ref="N7:N25" si="5">B7</f>
        <v>用途</v>
      </c>
      <c r="O7" s="217" t="s">
        <v>252</v>
      </c>
      <c r="P7" s="218">
        <f t="shared" ref="P7:T7" si="6">G7</f>
        <v>100</v>
      </c>
      <c r="Q7" s="217" t="s">
        <v>252</v>
      </c>
      <c r="R7" s="218">
        <f t="shared" si="6"/>
        <v>100</v>
      </c>
      <c r="S7" s="217" t="s">
        <v>252</v>
      </c>
      <c r="T7" s="218">
        <f t="shared" si="6"/>
        <v>100</v>
      </c>
      <c r="U7" s="1102"/>
      <c r="V7" s="1103" t="s">
        <v>255</v>
      </c>
      <c r="W7" s="225" t="str">
        <f t="shared" ref="W7:W25" si="7">N7</f>
        <v>用途</v>
      </c>
      <c r="X7" s="224">
        <f t="shared" si="1"/>
        <v>1</v>
      </c>
      <c r="Y7" s="224">
        <f t="shared" si="2"/>
        <v>1</v>
      </c>
      <c r="Z7" s="224">
        <f t="shared" si="3"/>
        <v>1</v>
      </c>
    </row>
    <row r="8" spans="1:26" ht="14.25">
      <c r="A8" s="1103"/>
      <c r="B8" s="198" t="s">
        <v>258</v>
      </c>
      <c r="C8" s="196"/>
      <c r="D8" s="199">
        <f>'市（商业）'!D8+10</f>
        <v>44.27</v>
      </c>
      <c r="E8" s="195">
        <v>100</v>
      </c>
      <c r="F8" s="197" t="s">
        <v>1059</v>
      </c>
      <c r="G8" s="195">
        <v>101</v>
      </c>
      <c r="H8" s="197" t="s">
        <v>1059</v>
      </c>
      <c r="I8" s="195">
        <f>G8</f>
        <v>101</v>
      </c>
      <c r="J8" s="197" t="s">
        <v>1060</v>
      </c>
      <c r="K8" s="195">
        <v>100</v>
      </c>
      <c r="L8" s="1102"/>
      <c r="M8" s="1103"/>
      <c r="N8" s="219" t="str">
        <f t="shared" si="5"/>
        <v>土地使用年限</v>
      </c>
      <c r="O8" s="217" t="s">
        <v>252</v>
      </c>
      <c r="P8" s="218">
        <f t="shared" ref="P8:T8" si="8">G8</f>
        <v>101</v>
      </c>
      <c r="Q8" s="217" t="s">
        <v>252</v>
      </c>
      <c r="R8" s="218">
        <f t="shared" si="8"/>
        <v>101</v>
      </c>
      <c r="S8" s="217" t="s">
        <v>252</v>
      </c>
      <c r="T8" s="218">
        <f t="shared" si="8"/>
        <v>100</v>
      </c>
      <c r="U8" s="1102"/>
      <c r="V8" s="1103"/>
      <c r="W8" s="225" t="str">
        <f t="shared" si="7"/>
        <v>土地使用年限</v>
      </c>
      <c r="X8" s="224">
        <f t="shared" si="1"/>
        <v>0.99009900990099009</v>
      </c>
      <c r="Y8" s="224">
        <f t="shared" si="2"/>
        <v>0.99009900990099009</v>
      </c>
      <c r="Z8" s="224">
        <f t="shared" si="3"/>
        <v>1</v>
      </c>
    </row>
    <row r="9" spans="1:26" ht="14.25">
      <c r="A9" s="1103"/>
      <c r="B9" s="198" t="s">
        <v>74</v>
      </c>
      <c r="C9" s="196">
        <v>2</v>
      </c>
      <c r="D9" s="197"/>
      <c r="E9" s="195">
        <v>100</v>
      </c>
      <c r="F9" s="197"/>
      <c r="G9" s="195">
        <v>100</v>
      </c>
      <c r="H9" s="197"/>
      <c r="I9" s="195">
        <v>100</v>
      </c>
      <c r="J9" s="197"/>
      <c r="K9" s="195">
        <v>100</v>
      </c>
      <c r="L9" s="1102"/>
      <c r="M9" s="1103"/>
      <c r="N9" s="219" t="str">
        <f t="shared" si="5"/>
        <v>容积率</v>
      </c>
      <c r="O9" s="217" t="s">
        <v>252</v>
      </c>
      <c r="P9" s="218">
        <f t="shared" ref="P9:T9" si="9">G9</f>
        <v>100</v>
      </c>
      <c r="Q9" s="217" t="s">
        <v>252</v>
      </c>
      <c r="R9" s="218">
        <f t="shared" si="9"/>
        <v>100</v>
      </c>
      <c r="S9" s="217" t="s">
        <v>252</v>
      </c>
      <c r="T9" s="218">
        <f t="shared" si="9"/>
        <v>100</v>
      </c>
      <c r="U9" s="1102"/>
      <c r="V9" s="1103"/>
      <c r="W9" s="225" t="str">
        <f t="shared" si="7"/>
        <v>容积率</v>
      </c>
      <c r="X9" s="224">
        <f t="shared" si="1"/>
        <v>1</v>
      </c>
      <c r="Y9" s="224">
        <f t="shared" si="2"/>
        <v>1</v>
      </c>
      <c r="Z9" s="224">
        <f t="shared" si="3"/>
        <v>1</v>
      </c>
    </row>
    <row r="10" spans="1:26" ht="28.5">
      <c r="A10" s="1117" t="s">
        <v>261</v>
      </c>
      <c r="B10" s="873" t="s">
        <v>978</v>
      </c>
      <c r="C10" s="196">
        <v>2</v>
      </c>
      <c r="D10" s="199" t="str">
        <f>'市（商业）'!D10</f>
        <v>一般</v>
      </c>
      <c r="E10" s="195">
        <v>100</v>
      </c>
      <c r="F10" s="877" t="s">
        <v>1027</v>
      </c>
      <c r="G10" s="195">
        <v>100</v>
      </c>
      <c r="H10" s="877" t="s">
        <v>980</v>
      </c>
      <c r="I10" s="195">
        <v>102</v>
      </c>
      <c r="J10" s="877" t="s">
        <v>1027</v>
      </c>
      <c r="K10" s="195">
        <v>100</v>
      </c>
      <c r="L10" s="1102"/>
      <c r="M10" s="1117" t="s">
        <v>261</v>
      </c>
      <c r="N10" s="219" t="str">
        <f t="shared" si="5"/>
        <v>商业繁华度/居住社区成熟度</v>
      </c>
      <c r="O10" s="217" t="s">
        <v>252</v>
      </c>
      <c r="P10" s="218">
        <f t="shared" ref="P10:T10" si="10">G10</f>
        <v>100</v>
      </c>
      <c r="Q10" s="217" t="s">
        <v>252</v>
      </c>
      <c r="R10" s="218">
        <f t="shared" si="10"/>
        <v>102</v>
      </c>
      <c r="S10" s="217" t="s">
        <v>252</v>
      </c>
      <c r="T10" s="218">
        <f t="shared" si="10"/>
        <v>100</v>
      </c>
      <c r="U10" s="1102"/>
      <c r="V10" s="1117" t="s">
        <v>261</v>
      </c>
      <c r="W10" s="226" t="str">
        <f t="shared" si="7"/>
        <v>商业繁华度/居住社区成熟度</v>
      </c>
      <c r="X10" s="224">
        <f t="shared" si="1"/>
        <v>1</v>
      </c>
      <c r="Y10" s="224">
        <f t="shared" si="2"/>
        <v>0.98039215686274506</v>
      </c>
      <c r="Z10" s="224">
        <f t="shared" si="3"/>
        <v>1</v>
      </c>
    </row>
    <row r="11" spans="1:26" ht="14.25">
      <c r="A11" s="1120"/>
      <c r="B11" s="198" t="s">
        <v>266</v>
      </c>
      <c r="C11" s="196">
        <v>2</v>
      </c>
      <c r="D11" s="199" t="str">
        <f>'市（商业）'!D11</f>
        <v>较好</v>
      </c>
      <c r="E11" s="195">
        <v>100</v>
      </c>
      <c r="F11" s="877" t="s">
        <v>1027</v>
      </c>
      <c r="G11" s="195">
        <v>98</v>
      </c>
      <c r="H11" s="877" t="s">
        <v>980</v>
      </c>
      <c r="I11" s="195">
        <v>100</v>
      </c>
      <c r="J11" s="877" t="s">
        <v>1027</v>
      </c>
      <c r="K11" s="195">
        <f>G11</f>
        <v>98</v>
      </c>
      <c r="L11" s="1102"/>
      <c r="M11" s="1120"/>
      <c r="N11" s="219" t="str">
        <f t="shared" si="5"/>
        <v>交通便捷度</v>
      </c>
      <c r="O11" s="217" t="s">
        <v>252</v>
      </c>
      <c r="P11" s="218">
        <f t="shared" ref="P11:T11" si="11">G11</f>
        <v>98</v>
      </c>
      <c r="Q11" s="217" t="s">
        <v>252</v>
      </c>
      <c r="R11" s="218">
        <f t="shared" si="11"/>
        <v>100</v>
      </c>
      <c r="S11" s="217" t="s">
        <v>252</v>
      </c>
      <c r="T11" s="218">
        <f t="shared" si="11"/>
        <v>98</v>
      </c>
      <c r="U11" s="1102"/>
      <c r="V11" s="1120"/>
      <c r="W11" s="226" t="str">
        <f t="shared" si="7"/>
        <v>交通便捷度</v>
      </c>
      <c r="X11" s="224">
        <f t="shared" si="1"/>
        <v>1.0204081632653061</v>
      </c>
      <c r="Y11" s="224">
        <f t="shared" si="2"/>
        <v>1</v>
      </c>
      <c r="Z11" s="224">
        <f t="shared" si="3"/>
        <v>1.0204081632653061</v>
      </c>
    </row>
    <row r="12" spans="1:26" ht="14.25">
      <c r="A12" s="1120"/>
      <c r="B12" s="198" t="s">
        <v>707</v>
      </c>
      <c r="C12" s="196">
        <v>2</v>
      </c>
      <c r="D12" s="199" t="s">
        <v>708</v>
      </c>
      <c r="E12" s="195">
        <v>100</v>
      </c>
      <c r="F12" s="197" t="s">
        <v>708</v>
      </c>
      <c r="G12" s="195">
        <v>100</v>
      </c>
      <c r="H12" s="197" t="s">
        <v>708</v>
      </c>
      <c r="I12" s="195">
        <v>100</v>
      </c>
      <c r="J12" s="197" t="s">
        <v>708</v>
      </c>
      <c r="K12" s="195">
        <v>100</v>
      </c>
      <c r="L12" s="1102"/>
      <c r="M12" s="1120"/>
      <c r="N12" s="219" t="str">
        <f t="shared" si="5"/>
        <v>基础设施情况</v>
      </c>
      <c r="O12" s="217" t="s">
        <v>252</v>
      </c>
      <c r="P12" s="218">
        <f t="shared" ref="P12:T12" si="12">G12</f>
        <v>100</v>
      </c>
      <c r="Q12" s="217" t="s">
        <v>252</v>
      </c>
      <c r="R12" s="218">
        <f t="shared" si="12"/>
        <v>100</v>
      </c>
      <c r="S12" s="217" t="s">
        <v>252</v>
      </c>
      <c r="T12" s="218">
        <f t="shared" si="12"/>
        <v>100</v>
      </c>
      <c r="U12" s="1102"/>
      <c r="V12" s="1120"/>
      <c r="W12" s="226" t="str">
        <f t="shared" si="7"/>
        <v>基础设施情况</v>
      </c>
      <c r="X12" s="224">
        <f t="shared" si="1"/>
        <v>1</v>
      </c>
      <c r="Y12" s="224">
        <f t="shared" si="2"/>
        <v>1</v>
      </c>
      <c r="Z12" s="224">
        <f t="shared" si="3"/>
        <v>1</v>
      </c>
    </row>
    <row r="13" spans="1:26" ht="57">
      <c r="A13" s="1120"/>
      <c r="B13" s="198" t="s">
        <v>709</v>
      </c>
      <c r="C13" s="196">
        <v>2</v>
      </c>
      <c r="D13" s="893" t="str">
        <f>'市（商业）'!D20</f>
        <v>城市主干道-回龙观东大街</v>
      </c>
      <c r="E13" s="195">
        <v>100</v>
      </c>
      <c r="F13" s="873" t="s">
        <v>1028</v>
      </c>
      <c r="G13" s="195">
        <v>99</v>
      </c>
      <c r="H13" s="873" t="s">
        <v>1033</v>
      </c>
      <c r="I13" s="195">
        <v>98</v>
      </c>
      <c r="J13" s="873" t="s">
        <v>1036</v>
      </c>
      <c r="K13" s="195">
        <v>100</v>
      </c>
      <c r="L13" s="1102"/>
      <c r="M13" s="1120"/>
      <c r="N13" s="219" t="str">
        <f t="shared" si="5"/>
        <v>临街道路级别</v>
      </c>
      <c r="O13" s="217" t="s">
        <v>252</v>
      </c>
      <c r="P13" s="218">
        <f t="shared" ref="P13:T13" si="13">G13</f>
        <v>99</v>
      </c>
      <c r="Q13" s="217" t="s">
        <v>252</v>
      </c>
      <c r="R13" s="218">
        <f t="shared" si="13"/>
        <v>98</v>
      </c>
      <c r="S13" s="217" t="s">
        <v>252</v>
      </c>
      <c r="T13" s="218">
        <f t="shared" si="13"/>
        <v>100</v>
      </c>
      <c r="U13" s="1102"/>
      <c r="V13" s="1120"/>
      <c r="W13" s="226" t="str">
        <f t="shared" si="7"/>
        <v>临街道路级别</v>
      </c>
      <c r="X13" s="224">
        <f t="shared" si="1"/>
        <v>1.0101010101010102</v>
      </c>
      <c r="Y13" s="224">
        <f t="shared" si="2"/>
        <v>1.0204081632653061</v>
      </c>
      <c r="Z13" s="224">
        <f t="shared" si="3"/>
        <v>1</v>
      </c>
    </row>
    <row r="14" spans="1:26" ht="28.5">
      <c r="A14" s="1120"/>
      <c r="B14" s="198" t="s">
        <v>710</v>
      </c>
      <c r="C14" s="196">
        <v>2</v>
      </c>
      <c r="D14" s="199" t="str">
        <f>'市（商业）'!D14</f>
        <v>齐全</v>
      </c>
      <c r="E14" s="195">
        <v>100</v>
      </c>
      <c r="F14" s="877" t="s">
        <v>1027</v>
      </c>
      <c r="G14" s="195">
        <v>96</v>
      </c>
      <c r="H14" s="877" t="s">
        <v>1034</v>
      </c>
      <c r="I14" s="195">
        <v>98</v>
      </c>
      <c r="J14" s="877" t="s">
        <v>1029</v>
      </c>
      <c r="K14" s="195">
        <f>I14</f>
        <v>98</v>
      </c>
      <c r="L14" s="1102"/>
      <c r="M14" s="1120"/>
      <c r="N14" s="219" t="str">
        <f t="shared" si="5"/>
        <v>公共服务设施状况</v>
      </c>
      <c r="O14" s="217" t="s">
        <v>252</v>
      </c>
      <c r="P14" s="218">
        <f t="shared" ref="P14:T14" si="14">G14</f>
        <v>96</v>
      </c>
      <c r="Q14" s="217" t="s">
        <v>252</v>
      </c>
      <c r="R14" s="218">
        <f t="shared" si="14"/>
        <v>98</v>
      </c>
      <c r="S14" s="217" t="s">
        <v>252</v>
      </c>
      <c r="T14" s="218">
        <f t="shared" si="14"/>
        <v>98</v>
      </c>
      <c r="U14" s="1102"/>
      <c r="V14" s="1120"/>
      <c r="W14" s="226" t="str">
        <f t="shared" si="7"/>
        <v>公共服务设施状况</v>
      </c>
      <c r="X14" s="224">
        <f t="shared" si="1"/>
        <v>1.0416666666666667</v>
      </c>
      <c r="Y14" s="224">
        <f t="shared" si="2"/>
        <v>1.0204081632653061</v>
      </c>
      <c r="Z14" s="224">
        <f t="shared" si="3"/>
        <v>1.0204081632653061</v>
      </c>
    </row>
    <row r="15" spans="1:26" ht="14.25">
      <c r="A15" s="1120"/>
      <c r="B15" s="198" t="s">
        <v>712</v>
      </c>
      <c r="C15" s="196">
        <v>2</v>
      </c>
      <c r="D15" s="197"/>
      <c r="E15" s="195">
        <v>100</v>
      </c>
      <c r="F15" s="197"/>
      <c r="G15" s="195">
        <v>100</v>
      </c>
      <c r="H15" s="197"/>
      <c r="I15" s="195">
        <v>100</v>
      </c>
      <c r="J15" s="197"/>
      <c r="K15" s="195">
        <v>100</v>
      </c>
      <c r="L15" s="1102"/>
      <c r="M15" s="1120"/>
      <c r="N15" s="219" t="str">
        <f t="shared" si="5"/>
        <v>楼层</v>
      </c>
      <c r="O15" s="217" t="s">
        <v>252</v>
      </c>
      <c r="P15" s="218">
        <f t="shared" ref="P15:T15" si="15">G15</f>
        <v>100</v>
      </c>
      <c r="Q15" s="217" t="s">
        <v>252</v>
      </c>
      <c r="R15" s="218">
        <f t="shared" si="15"/>
        <v>100</v>
      </c>
      <c r="S15" s="217" t="s">
        <v>252</v>
      </c>
      <c r="T15" s="218">
        <f t="shared" si="15"/>
        <v>100</v>
      </c>
      <c r="U15" s="1102"/>
      <c r="V15" s="1120"/>
      <c r="W15" s="226" t="str">
        <f t="shared" si="7"/>
        <v>楼层</v>
      </c>
      <c r="X15" s="224">
        <f t="shared" si="1"/>
        <v>1</v>
      </c>
      <c r="Y15" s="224">
        <f t="shared" si="2"/>
        <v>1</v>
      </c>
      <c r="Z15" s="224">
        <f t="shared" si="3"/>
        <v>1</v>
      </c>
    </row>
    <row r="16" spans="1:26" ht="14.25">
      <c r="A16" s="1120"/>
      <c r="B16" s="198" t="s">
        <v>799</v>
      </c>
      <c r="C16" s="196"/>
      <c r="D16" s="197" t="s">
        <v>281</v>
      </c>
      <c r="E16" s="195">
        <v>100</v>
      </c>
      <c r="F16" s="197"/>
      <c r="G16" s="195">
        <v>100</v>
      </c>
      <c r="H16" s="197"/>
      <c r="I16" s="195">
        <v>100</v>
      </c>
      <c r="J16" s="197"/>
      <c r="K16" s="195">
        <v>100</v>
      </c>
      <c r="L16" s="1102"/>
      <c r="M16" s="1120"/>
      <c r="N16" s="219" t="str">
        <f t="shared" si="5"/>
        <v>所在楼层位置</v>
      </c>
      <c r="O16" s="217" t="s">
        <v>252</v>
      </c>
      <c r="P16" s="218">
        <f t="shared" ref="P16:T16" si="16">G16</f>
        <v>100</v>
      </c>
      <c r="Q16" s="217" t="s">
        <v>252</v>
      </c>
      <c r="R16" s="218">
        <f t="shared" si="16"/>
        <v>100</v>
      </c>
      <c r="S16" s="217" t="s">
        <v>252</v>
      </c>
      <c r="T16" s="218">
        <f t="shared" si="16"/>
        <v>100</v>
      </c>
      <c r="U16" s="1102"/>
      <c r="V16" s="1120"/>
      <c r="W16" s="226" t="str">
        <f t="shared" si="7"/>
        <v>所在楼层位置</v>
      </c>
      <c r="X16" s="224">
        <f t="shared" si="1"/>
        <v>1</v>
      </c>
      <c r="Y16" s="224">
        <f t="shared" si="2"/>
        <v>1</v>
      </c>
      <c r="Z16" s="224">
        <f t="shared" si="3"/>
        <v>1</v>
      </c>
    </row>
    <row r="17" spans="1:26" ht="28.5">
      <c r="A17" s="1121"/>
      <c r="B17" s="198" t="s">
        <v>800</v>
      </c>
      <c r="C17" s="196"/>
      <c r="D17" s="197" t="s">
        <v>801</v>
      </c>
      <c r="E17" s="195">
        <v>100</v>
      </c>
      <c r="F17" s="197" t="s">
        <v>801</v>
      </c>
      <c r="G17" s="195">
        <v>100</v>
      </c>
      <c r="H17" s="197" t="s">
        <v>801</v>
      </c>
      <c r="I17" s="195">
        <v>100</v>
      </c>
      <c r="J17" s="197" t="s">
        <v>801</v>
      </c>
      <c r="K17" s="195">
        <v>100</v>
      </c>
      <c r="L17" s="1102"/>
      <c r="M17" s="1121"/>
      <c r="N17" s="219" t="str">
        <f t="shared" si="5"/>
        <v>周边有无公共停车场</v>
      </c>
      <c r="O17" s="217" t="s">
        <v>252</v>
      </c>
      <c r="P17" s="218">
        <f t="shared" ref="P17:T17" si="17">G17</f>
        <v>100</v>
      </c>
      <c r="Q17" s="217" t="s">
        <v>252</v>
      </c>
      <c r="R17" s="218">
        <f t="shared" si="17"/>
        <v>100</v>
      </c>
      <c r="S17" s="217" t="s">
        <v>252</v>
      </c>
      <c r="T17" s="218">
        <f t="shared" si="17"/>
        <v>100</v>
      </c>
      <c r="U17" s="1102"/>
      <c r="V17" s="1121"/>
      <c r="W17" s="226" t="str">
        <f t="shared" si="7"/>
        <v>周边有无公共停车场</v>
      </c>
      <c r="X17" s="224">
        <f t="shared" si="1"/>
        <v>1</v>
      </c>
      <c r="Y17" s="224">
        <f t="shared" si="2"/>
        <v>1</v>
      </c>
      <c r="Z17" s="224">
        <f t="shared" si="3"/>
        <v>1</v>
      </c>
    </row>
    <row r="18" spans="1:26" ht="28.5">
      <c r="A18" s="1122" t="s">
        <v>272</v>
      </c>
      <c r="B18" s="198" t="s">
        <v>802</v>
      </c>
      <c r="C18" s="196">
        <v>3</v>
      </c>
      <c r="D18" s="880" t="s">
        <v>966</v>
      </c>
      <c r="E18" s="195">
        <v>100</v>
      </c>
      <c r="F18" s="880" t="s">
        <v>1030</v>
      </c>
      <c r="G18" s="195">
        <v>94</v>
      </c>
      <c r="H18" s="880" t="s">
        <v>1030</v>
      </c>
      <c r="I18" s="195">
        <f>G18</f>
        <v>94</v>
      </c>
      <c r="J18" s="880" t="s">
        <v>1030</v>
      </c>
      <c r="K18" s="195">
        <f>G18</f>
        <v>94</v>
      </c>
      <c r="L18" s="1102"/>
      <c r="M18" s="1122" t="s">
        <v>272</v>
      </c>
      <c r="N18" s="219" t="str">
        <f t="shared" si="5"/>
        <v>配套类型（地上主用途）</v>
      </c>
      <c r="O18" s="217" t="s">
        <v>252</v>
      </c>
      <c r="P18" s="218">
        <f t="shared" ref="P18:T18" si="18">G18</f>
        <v>94</v>
      </c>
      <c r="Q18" s="217" t="s">
        <v>252</v>
      </c>
      <c r="R18" s="218">
        <f t="shared" si="18"/>
        <v>94</v>
      </c>
      <c r="S18" s="217" t="s">
        <v>252</v>
      </c>
      <c r="T18" s="218">
        <f t="shared" si="18"/>
        <v>94</v>
      </c>
      <c r="U18" s="1102"/>
      <c r="V18" s="1122" t="s">
        <v>272</v>
      </c>
      <c r="W18" s="226" t="str">
        <f t="shared" si="7"/>
        <v>配套类型（地上主用途）</v>
      </c>
      <c r="X18" s="224">
        <f t="shared" si="1"/>
        <v>1.0638297872340425</v>
      </c>
      <c r="Y18" s="224">
        <f t="shared" si="2"/>
        <v>1.0638297872340425</v>
      </c>
      <c r="Z18" s="224">
        <f t="shared" si="3"/>
        <v>1.0638297872340425</v>
      </c>
    </row>
    <row r="19" spans="1:26" ht="42.75">
      <c r="A19" s="1122"/>
      <c r="B19" s="198" t="s">
        <v>803</v>
      </c>
      <c r="C19" s="196">
        <v>2</v>
      </c>
      <c r="D19" s="197" t="s">
        <v>281</v>
      </c>
      <c r="E19" s="195">
        <v>100</v>
      </c>
      <c r="F19" s="197"/>
      <c r="G19" s="195">
        <v>100</v>
      </c>
      <c r="H19" s="197"/>
      <c r="I19" s="195">
        <v>100</v>
      </c>
      <c r="J19" s="197"/>
      <c r="K19" s="195">
        <v>100</v>
      </c>
      <c r="L19" s="1102"/>
      <c r="M19" s="1122"/>
      <c r="N19" s="219" t="str">
        <f t="shared" si="5"/>
        <v>停车位面积（以单车位价格比较时暂不修正）</v>
      </c>
      <c r="O19" s="217" t="s">
        <v>252</v>
      </c>
      <c r="P19" s="218">
        <f t="shared" ref="P19:T19" si="19">G19</f>
        <v>100</v>
      </c>
      <c r="Q19" s="217" t="s">
        <v>252</v>
      </c>
      <c r="R19" s="218">
        <f t="shared" si="19"/>
        <v>100</v>
      </c>
      <c r="S19" s="217" t="s">
        <v>252</v>
      </c>
      <c r="T19" s="218">
        <f t="shared" si="19"/>
        <v>100</v>
      </c>
      <c r="U19" s="1102"/>
      <c r="V19" s="1122"/>
      <c r="W19" s="226" t="str">
        <f t="shared" si="7"/>
        <v>停车位面积（以单车位价格比较时暂不修正）</v>
      </c>
      <c r="X19" s="224">
        <f t="shared" si="1"/>
        <v>1</v>
      </c>
      <c r="Y19" s="224">
        <f t="shared" si="2"/>
        <v>1</v>
      </c>
      <c r="Z19" s="224">
        <f t="shared" si="3"/>
        <v>1</v>
      </c>
    </row>
    <row r="20" spans="1:26" ht="28.5">
      <c r="A20" s="1122"/>
      <c r="B20" s="198" t="s">
        <v>804</v>
      </c>
      <c r="C20" s="196">
        <v>2</v>
      </c>
      <c r="D20" s="200" t="s">
        <v>805</v>
      </c>
      <c r="E20" s="195">
        <v>100</v>
      </c>
      <c r="F20" s="200" t="s">
        <v>805</v>
      </c>
      <c r="G20" s="195">
        <v>100</v>
      </c>
      <c r="H20" s="200" t="s">
        <v>805</v>
      </c>
      <c r="I20" s="195">
        <v>100</v>
      </c>
      <c r="J20" s="200" t="s">
        <v>805</v>
      </c>
      <c r="K20" s="195">
        <v>100</v>
      </c>
      <c r="L20" s="1102"/>
      <c r="M20" s="1122"/>
      <c r="N20" s="219" t="str">
        <f t="shared" si="5"/>
        <v>车位类型（平面、立体）</v>
      </c>
      <c r="O20" s="217" t="s">
        <v>252</v>
      </c>
      <c r="P20" s="218">
        <f t="shared" ref="P20:T20" si="20">G20</f>
        <v>100</v>
      </c>
      <c r="Q20" s="217" t="s">
        <v>252</v>
      </c>
      <c r="R20" s="218">
        <f t="shared" si="20"/>
        <v>100</v>
      </c>
      <c r="S20" s="217" t="s">
        <v>252</v>
      </c>
      <c r="T20" s="218">
        <f t="shared" si="20"/>
        <v>100</v>
      </c>
      <c r="U20" s="1102"/>
      <c r="V20" s="1122"/>
      <c r="W20" s="226" t="str">
        <f t="shared" si="7"/>
        <v>车位类型（平面、立体）</v>
      </c>
      <c r="X20" s="224">
        <f t="shared" si="1"/>
        <v>1</v>
      </c>
      <c r="Y20" s="224">
        <f t="shared" si="2"/>
        <v>1</v>
      </c>
      <c r="Z20" s="224">
        <f t="shared" si="3"/>
        <v>1</v>
      </c>
    </row>
    <row r="21" spans="1:26" ht="14.25">
      <c r="A21" s="1122"/>
      <c r="B21" s="198" t="s">
        <v>806</v>
      </c>
      <c r="C21" s="196">
        <v>2</v>
      </c>
      <c r="D21" s="877" t="s">
        <v>979</v>
      </c>
      <c r="E21" s="195">
        <v>100</v>
      </c>
      <c r="F21" s="877" t="s">
        <v>1037</v>
      </c>
      <c r="G21" s="195">
        <v>101</v>
      </c>
      <c r="H21" s="877" t="s">
        <v>979</v>
      </c>
      <c r="I21" s="195">
        <v>100</v>
      </c>
      <c r="J21" s="877" t="s">
        <v>1037</v>
      </c>
      <c r="K21" s="195">
        <f>G21</f>
        <v>101</v>
      </c>
      <c r="L21" s="1102"/>
      <c r="M21" s="1122"/>
      <c r="N21" s="219" t="str">
        <f t="shared" si="5"/>
        <v>项目停车位配比</v>
      </c>
      <c r="O21" s="220" t="s">
        <v>252</v>
      </c>
      <c r="P21" s="221">
        <f t="shared" ref="P21:T21" si="21">G21</f>
        <v>101</v>
      </c>
      <c r="Q21" s="220" t="s">
        <v>252</v>
      </c>
      <c r="R21" s="221">
        <f t="shared" si="21"/>
        <v>100</v>
      </c>
      <c r="S21" s="220" t="s">
        <v>252</v>
      </c>
      <c r="T21" s="221">
        <f t="shared" si="21"/>
        <v>101</v>
      </c>
      <c r="U21" s="1102"/>
      <c r="V21" s="1122"/>
      <c r="W21" s="227" t="str">
        <f t="shared" si="7"/>
        <v>项目停车位配比</v>
      </c>
      <c r="X21" s="228">
        <f t="shared" si="1"/>
        <v>0.99009900990099009</v>
      </c>
      <c r="Y21" s="228">
        <f t="shared" si="2"/>
        <v>1</v>
      </c>
      <c r="Z21" s="228">
        <f t="shared" si="3"/>
        <v>0.99009900990099009</v>
      </c>
    </row>
    <row r="22" spans="1:26" ht="28.5">
      <c r="A22" s="1122"/>
      <c r="B22" s="198" t="s">
        <v>807</v>
      </c>
      <c r="C22" s="196">
        <v>2</v>
      </c>
      <c r="D22" s="894" t="s">
        <v>980</v>
      </c>
      <c r="E22" s="195">
        <v>100</v>
      </c>
      <c r="F22" s="877" t="s">
        <v>980</v>
      </c>
      <c r="G22" s="195">
        <v>100</v>
      </c>
      <c r="H22" s="877" t="s">
        <v>980</v>
      </c>
      <c r="I22" s="195">
        <v>100</v>
      </c>
      <c r="J22" s="877" t="s">
        <v>980</v>
      </c>
      <c r="K22" s="195">
        <v>100</v>
      </c>
      <c r="L22" s="1102"/>
      <c r="M22" s="1122"/>
      <c r="N22" s="219" t="str">
        <f t="shared" si="5"/>
        <v>停车安全设施设备</v>
      </c>
      <c r="O22" s="217" t="s">
        <v>252</v>
      </c>
      <c r="P22" s="218">
        <f t="shared" ref="P22:T22" si="22">G22</f>
        <v>100</v>
      </c>
      <c r="Q22" s="217" t="s">
        <v>252</v>
      </c>
      <c r="R22" s="218">
        <f t="shared" si="22"/>
        <v>100</v>
      </c>
      <c r="S22" s="217" t="s">
        <v>252</v>
      </c>
      <c r="T22" s="218">
        <f t="shared" si="22"/>
        <v>100</v>
      </c>
      <c r="U22" s="1102"/>
      <c r="V22" s="1122"/>
      <c r="W22" s="226" t="str">
        <f t="shared" si="7"/>
        <v>停车安全设施设备</v>
      </c>
      <c r="X22" s="224">
        <f t="shared" si="1"/>
        <v>1</v>
      </c>
      <c r="Y22" s="224">
        <f t="shared" si="2"/>
        <v>1</v>
      </c>
      <c r="Z22" s="224">
        <f t="shared" si="3"/>
        <v>1</v>
      </c>
    </row>
    <row r="23" spans="1:26" ht="14.25">
      <c r="A23" s="1122"/>
      <c r="C23" s="196">
        <v>2</v>
      </c>
      <c r="D23" s="201"/>
      <c r="E23" s="195">
        <v>100</v>
      </c>
      <c r="F23" s="197"/>
      <c r="G23" s="195">
        <v>100</v>
      </c>
      <c r="H23" s="197"/>
      <c r="I23" s="195">
        <v>100</v>
      </c>
      <c r="J23" s="197"/>
      <c r="K23" s="195">
        <v>100</v>
      </c>
      <c r="L23" s="1102"/>
      <c r="M23" s="1122"/>
      <c r="N23" s="219">
        <f t="shared" si="5"/>
        <v>0</v>
      </c>
      <c r="O23" s="217" t="s">
        <v>252</v>
      </c>
      <c r="P23" s="218">
        <f t="shared" ref="P23:T23" si="23">G23</f>
        <v>100</v>
      </c>
      <c r="Q23" s="217" t="s">
        <v>252</v>
      </c>
      <c r="R23" s="218">
        <f t="shared" si="23"/>
        <v>100</v>
      </c>
      <c r="S23" s="217" t="s">
        <v>252</v>
      </c>
      <c r="T23" s="218">
        <f t="shared" si="23"/>
        <v>100</v>
      </c>
      <c r="U23" s="1102"/>
      <c r="V23" s="1122"/>
      <c r="W23" s="226">
        <f t="shared" si="7"/>
        <v>0</v>
      </c>
      <c r="X23" s="224">
        <f t="shared" si="1"/>
        <v>1</v>
      </c>
      <c r="Y23" s="224">
        <f t="shared" si="2"/>
        <v>1</v>
      </c>
      <c r="Z23" s="224">
        <f t="shared" si="3"/>
        <v>1</v>
      </c>
    </row>
    <row r="24" spans="1:26" ht="14.25">
      <c r="A24" s="1122"/>
      <c r="B24" s="202"/>
      <c r="C24" s="196">
        <v>2</v>
      </c>
      <c r="D24" s="197"/>
      <c r="E24" s="195">
        <v>100</v>
      </c>
      <c r="F24" s="197"/>
      <c r="G24" s="195">
        <v>100</v>
      </c>
      <c r="H24" s="197"/>
      <c r="I24" s="195">
        <v>100</v>
      </c>
      <c r="J24" s="197"/>
      <c r="K24" s="195">
        <v>100</v>
      </c>
      <c r="L24" s="1102"/>
      <c r="M24" s="1122"/>
      <c r="N24" s="219">
        <f t="shared" si="5"/>
        <v>0</v>
      </c>
      <c r="O24" s="217" t="s">
        <v>252</v>
      </c>
      <c r="P24" s="218">
        <f t="shared" ref="P24:T24" si="24">G24</f>
        <v>100</v>
      </c>
      <c r="Q24" s="217" t="s">
        <v>252</v>
      </c>
      <c r="R24" s="218">
        <f t="shared" si="24"/>
        <v>100</v>
      </c>
      <c r="S24" s="217" t="s">
        <v>252</v>
      </c>
      <c r="T24" s="218">
        <f t="shared" si="24"/>
        <v>100</v>
      </c>
      <c r="U24" s="1102"/>
      <c r="V24" s="1122"/>
      <c r="W24" s="226">
        <f t="shared" si="7"/>
        <v>0</v>
      </c>
      <c r="X24" s="224">
        <f t="shared" si="1"/>
        <v>1</v>
      </c>
      <c r="Y24" s="224">
        <f t="shared" si="2"/>
        <v>1</v>
      </c>
      <c r="Z24" s="224">
        <f t="shared" si="3"/>
        <v>1</v>
      </c>
    </row>
    <row r="25" spans="1:26" ht="14.25">
      <c r="A25" s="1122"/>
      <c r="B25" s="203"/>
      <c r="C25" s="196"/>
      <c r="D25" s="197"/>
      <c r="E25" s="195">
        <v>100</v>
      </c>
      <c r="F25" s="197"/>
      <c r="G25" s="195">
        <v>100</v>
      </c>
      <c r="H25" s="197"/>
      <c r="I25" s="195">
        <v>100</v>
      </c>
      <c r="J25" s="197"/>
      <c r="K25" s="195">
        <v>100</v>
      </c>
      <c r="L25" s="1102"/>
      <c r="M25" s="1122"/>
      <c r="N25" s="219">
        <f t="shared" si="5"/>
        <v>0</v>
      </c>
      <c r="O25" s="217" t="s">
        <v>252</v>
      </c>
      <c r="P25" s="218">
        <f t="shared" ref="P25:T25" si="25">G25</f>
        <v>100</v>
      </c>
      <c r="Q25" s="217" t="s">
        <v>252</v>
      </c>
      <c r="R25" s="218">
        <f t="shared" si="25"/>
        <v>100</v>
      </c>
      <c r="S25" s="217" t="s">
        <v>252</v>
      </c>
      <c r="T25" s="218">
        <f t="shared" si="25"/>
        <v>100</v>
      </c>
      <c r="U25" s="1102"/>
      <c r="V25" s="1122"/>
      <c r="W25" s="226">
        <f t="shared" si="7"/>
        <v>0</v>
      </c>
      <c r="X25" s="224">
        <f t="shared" si="1"/>
        <v>1</v>
      </c>
      <c r="Y25" s="224">
        <f t="shared" si="2"/>
        <v>1</v>
      </c>
      <c r="Z25" s="224">
        <f t="shared" si="3"/>
        <v>1</v>
      </c>
    </row>
    <row r="26" spans="1:26" ht="14.25">
      <c r="A26" s="204"/>
      <c r="B26" s="204"/>
      <c r="C26" s="205"/>
      <c r="D26" s="204"/>
      <c r="E26" s="204"/>
      <c r="F26" s="917">
        <v>1</v>
      </c>
      <c r="G26" s="204"/>
      <c r="H26" s="204">
        <v>2</v>
      </c>
      <c r="I26" s="204"/>
      <c r="J26" s="222">
        <v>2</v>
      </c>
      <c r="K26" s="222"/>
      <c r="L26" s="223"/>
      <c r="M26" s="1114" t="s">
        <v>808</v>
      </c>
      <c r="N26" s="1115"/>
      <c r="O26" s="1172">
        <f t="shared" ref="O26:S26" si="26">E36</f>
        <v>90004.799999999988</v>
      </c>
      <c r="P26" s="1116"/>
      <c r="Q26" s="1172">
        <f t="shared" si="26"/>
        <v>114315.9312032</v>
      </c>
      <c r="R26" s="1116"/>
      <c r="S26" s="1172">
        <f t="shared" si="26"/>
        <v>110127.08087999999</v>
      </c>
      <c r="T26" s="1116"/>
      <c r="U26" s="223"/>
      <c r="V26" s="204"/>
      <c r="W26" s="204"/>
      <c r="X26" s="204"/>
      <c r="Y26" s="204"/>
      <c r="Z26" s="204"/>
    </row>
    <row r="27" spans="1:26" ht="14.25">
      <c r="A27" s="204"/>
      <c r="B27" s="205" t="s">
        <v>716</v>
      </c>
      <c r="C27" s="205"/>
      <c r="D27" s="205"/>
      <c r="E27" s="205"/>
      <c r="F27" s="205"/>
      <c r="G27" s="205"/>
      <c r="H27" s="205"/>
      <c r="I27" s="205"/>
      <c r="J27" s="222"/>
      <c r="K27" s="222"/>
      <c r="L27" s="223"/>
      <c r="M27" s="1114" t="s">
        <v>717</v>
      </c>
      <c r="N27" s="1115"/>
      <c r="O27" s="1126">
        <f>ROUND(O26*X5*X6*X7*X8*X9*X10*X11*X12*X13*X14*X15*X16*X17*X18*X19*X20*X21*X22*X23*X24*X25,0)</f>
        <v>99779</v>
      </c>
      <c r="P27" s="1126"/>
      <c r="Q27" s="1126">
        <f>ROUND(Q26*Y5*Y6*Y7*Y8*Y9*Y10*Y11*Y12*Y13*Y14*Y15*Y16*Y17*Y18*Y19*Y20*Y21*Y22*Y23*Y24*Y25,0)</f>
        <v>120505</v>
      </c>
      <c r="R27" s="1126"/>
      <c r="S27" s="1126">
        <f>ROUND(S26*Z5*Z6*Z7*Z8*Z9*Z10*Z11*Z12*Z13*Z14*Z15*Z16*Z17*Z18*Z19*Z20*Z21*Z22*Z23*Z24*Z25,0)</f>
        <v>118411</v>
      </c>
      <c r="T27" s="1126"/>
      <c r="U27" s="223"/>
      <c r="V27" s="204"/>
      <c r="W27" s="204"/>
      <c r="X27" s="204"/>
      <c r="Y27" s="204"/>
      <c r="Z27" s="204"/>
    </row>
    <row r="28" spans="1:26" ht="14.25">
      <c r="A28" s="204"/>
      <c r="B28" s="206" t="s">
        <v>250</v>
      </c>
      <c r="C28" s="206"/>
      <c r="D28" s="206" t="s">
        <v>70</v>
      </c>
      <c r="E28" s="206"/>
      <c r="F28" s="206" t="s">
        <v>258</v>
      </c>
      <c r="G28" s="206"/>
      <c r="H28" s="1175" t="s">
        <v>74</v>
      </c>
      <c r="I28" s="1175"/>
      <c r="J28" s="1127"/>
      <c r="K28" s="1127"/>
      <c r="L28" s="223"/>
      <c r="M28" s="1128" t="s">
        <v>718</v>
      </c>
      <c r="N28" s="1128"/>
      <c r="O28" s="1129">
        <f>ROUND(AVERAGE(O27:S27),0)</f>
        <v>112898</v>
      </c>
      <c r="P28" s="1129"/>
      <c r="Q28" s="1129"/>
      <c r="R28" s="1129"/>
      <c r="S28" s="1129"/>
      <c r="T28" s="1129"/>
      <c r="U28" s="223"/>
      <c r="V28" s="204"/>
      <c r="W28" s="204"/>
      <c r="X28" s="204"/>
      <c r="Y28" s="204"/>
      <c r="Z28" s="204"/>
    </row>
    <row r="29" spans="1:26" ht="14.25">
      <c r="A29" s="204"/>
      <c r="B29" s="205"/>
      <c r="C29" s="205"/>
      <c r="D29" s="205"/>
      <c r="E29" s="205"/>
      <c r="F29" s="207" t="s">
        <v>719</v>
      </c>
      <c r="G29" s="205"/>
      <c r="H29" s="208" t="s">
        <v>809</v>
      </c>
      <c r="I29" s="207">
        <v>102</v>
      </c>
      <c r="J29" s="222"/>
      <c r="K29" s="222"/>
      <c r="L29" s="223"/>
      <c r="M29" s="1174" t="s">
        <v>1044</v>
      </c>
      <c r="N29" s="1098"/>
      <c r="O29" s="1129">
        <v>160</v>
      </c>
      <c r="P29" s="1129"/>
      <c r="Q29" s="1129"/>
      <c r="R29" s="1129"/>
      <c r="S29" s="1129"/>
      <c r="T29" s="1129"/>
      <c r="U29" s="223"/>
      <c r="V29" s="204"/>
      <c r="W29" s="204"/>
      <c r="X29" s="204"/>
      <c r="Y29" s="204"/>
      <c r="Z29" s="204"/>
    </row>
    <row r="30" spans="1:26" ht="14.25">
      <c r="A30" s="204"/>
      <c r="B30" s="205"/>
      <c r="C30" s="205"/>
      <c r="D30" s="205"/>
      <c r="E30" s="205"/>
      <c r="F30" s="207" t="s">
        <v>720</v>
      </c>
      <c r="G30" s="205"/>
      <c r="H30" s="207" t="s">
        <v>810</v>
      </c>
      <c r="I30" s="207">
        <v>100</v>
      </c>
      <c r="J30" s="222"/>
      <c r="K30" s="222"/>
      <c r="L30" s="223"/>
      <c r="M30" s="1098" t="s">
        <v>721</v>
      </c>
      <c r="N30" s="1098"/>
      <c r="O30" s="1098">
        <f>ROUND(O28*O29/10000,0)</f>
        <v>1806</v>
      </c>
      <c r="P30" s="1098"/>
      <c r="Q30" s="1098"/>
      <c r="R30" s="1098"/>
      <c r="S30" s="1098"/>
      <c r="T30" s="1098"/>
      <c r="U30" s="223"/>
      <c r="V30" s="204"/>
      <c r="W30" s="204"/>
      <c r="X30" s="204"/>
      <c r="Y30" s="204"/>
      <c r="Z30" s="204"/>
    </row>
    <row r="31" spans="1:26" ht="14.25">
      <c r="A31" s="204"/>
      <c r="B31" s="205"/>
      <c r="C31" s="205"/>
      <c r="D31" s="205"/>
      <c r="E31" s="205"/>
      <c r="F31" s="207" t="s">
        <v>722</v>
      </c>
      <c r="G31" s="205"/>
      <c r="H31" s="207" t="s">
        <v>811</v>
      </c>
      <c r="I31" s="207">
        <v>98</v>
      </c>
      <c r="J31" s="222"/>
      <c r="K31" s="222"/>
      <c r="L31" s="223"/>
      <c r="M31" s="1099" t="s">
        <v>705</v>
      </c>
      <c r="N31" s="1099"/>
      <c r="O31" s="1130">
        <f>O27/O26-1</f>
        <v>0.10859643041260036</v>
      </c>
      <c r="P31" s="1130"/>
      <c r="Q31" s="1130">
        <f>Q27/Q26-1</f>
        <v>5.4140037452861556E-2</v>
      </c>
      <c r="R31" s="1130"/>
      <c r="S31" s="1130">
        <f>S27/S26-1</f>
        <v>7.5221453740579758E-2</v>
      </c>
      <c r="T31" s="1130"/>
      <c r="U31" s="223"/>
      <c r="V31" s="204"/>
      <c r="W31" s="204"/>
      <c r="X31" s="204"/>
      <c r="Y31" s="204"/>
      <c r="Z31" s="204"/>
    </row>
    <row r="32" spans="1:26" ht="14.25">
      <c r="A32" s="209"/>
      <c r="B32" s="209"/>
      <c r="C32" s="209"/>
      <c r="D32" s="209"/>
      <c r="E32" s="209"/>
      <c r="F32" s="209"/>
      <c r="G32" s="209"/>
      <c r="H32" s="209"/>
      <c r="I32" s="209"/>
      <c r="J32" s="209"/>
      <c r="K32" s="209"/>
      <c r="L32" s="209"/>
      <c r="M32" s="209"/>
      <c r="N32" s="209"/>
      <c r="O32" s="1130">
        <f>O26/O27-1</f>
        <v>-9.7958488259052623E-2</v>
      </c>
      <c r="P32" s="1130"/>
      <c r="Q32" s="1130">
        <f>Q26/Q27-1</f>
        <v>-5.1359435681507026E-2</v>
      </c>
      <c r="R32" s="1130"/>
      <c r="S32" s="1130">
        <f>S26/S27-1</f>
        <v>-6.9959033535735737E-2</v>
      </c>
      <c r="T32" s="1130"/>
      <c r="U32" s="209"/>
      <c r="V32" s="209"/>
      <c r="W32" s="209"/>
      <c r="X32" s="209"/>
      <c r="Y32" s="209"/>
      <c r="Z32" s="209"/>
    </row>
    <row r="33" spans="1:30" ht="14.25">
      <c r="A33" s="1173" t="s">
        <v>812</v>
      </c>
      <c r="B33" s="916" t="s">
        <v>1043</v>
      </c>
      <c r="C33" s="210"/>
      <c r="D33" s="210" t="s">
        <v>813</v>
      </c>
      <c r="E33" s="211">
        <f>R40</f>
        <v>2720</v>
      </c>
      <c r="F33" s="212"/>
      <c r="G33" s="211">
        <f>AA42</f>
        <v>3733.36</v>
      </c>
      <c r="H33" s="211"/>
      <c r="I33" s="211">
        <f>AA44</f>
        <v>2232</v>
      </c>
      <c r="J33" s="209"/>
      <c r="K33" s="209"/>
      <c r="L33" s="209"/>
      <c r="M33" s="209"/>
      <c r="N33" s="209"/>
      <c r="O33" s="1130">
        <f>1-Q26/O26</f>
        <v>-0.27010927420759789</v>
      </c>
      <c r="P33" s="1130"/>
      <c r="Q33" s="1130">
        <f>1-O26/Q26</f>
        <v>0.21266616951215878</v>
      </c>
      <c r="R33" s="1130"/>
      <c r="S33" s="1130">
        <f>1-O26/S26</f>
        <v>0.18271873474905098</v>
      </c>
      <c r="T33" s="1130"/>
      <c r="U33" s="209"/>
      <c r="V33" s="209"/>
      <c r="W33" s="209"/>
      <c r="X33" s="209"/>
      <c r="Y33" s="209"/>
      <c r="Z33" s="209"/>
    </row>
    <row r="34" spans="1:30" ht="14.25">
      <c r="A34" s="1173"/>
      <c r="B34" s="918">
        <v>-0.01</v>
      </c>
      <c r="C34" s="210"/>
      <c r="D34" s="210" t="s">
        <v>814</v>
      </c>
      <c r="E34" s="211">
        <f>Q40</f>
        <v>99.27</v>
      </c>
      <c r="F34" s="213"/>
      <c r="G34" s="211">
        <f>Z42</f>
        <v>30.62012</v>
      </c>
      <c r="H34" s="211"/>
      <c r="I34" s="211">
        <f>Z44</f>
        <v>49.340089999999996</v>
      </c>
      <c r="J34" s="209"/>
      <c r="K34" s="209"/>
      <c r="L34" s="209"/>
      <c r="M34" s="209"/>
      <c r="N34" s="209"/>
      <c r="O34" s="1130">
        <f>1-S26/O26</f>
        <v>-0.22356897498800077</v>
      </c>
      <c r="P34" s="1130"/>
      <c r="Q34" s="1130">
        <f>1-S26/Q26</f>
        <v>3.6642752056615824E-2</v>
      </c>
      <c r="R34" s="1130"/>
      <c r="S34" s="1130">
        <f>1-Q26/S26</f>
        <v>-3.803651463135016E-2</v>
      </c>
      <c r="T34" s="1130"/>
      <c r="U34" s="209"/>
      <c r="V34" s="209"/>
      <c r="W34" s="209"/>
      <c r="X34" s="209"/>
      <c r="Y34" s="209"/>
      <c r="Z34" s="209"/>
    </row>
    <row r="35" spans="1:30" ht="14.25">
      <c r="A35" s="1173"/>
      <c r="B35" s="214"/>
      <c r="C35" s="215"/>
      <c r="D35" s="210" t="s">
        <v>815</v>
      </c>
      <c r="E35" s="211">
        <f>P40</f>
        <v>3</v>
      </c>
      <c r="F35" s="213"/>
      <c r="G35" s="211">
        <f>Y42</f>
        <v>1</v>
      </c>
      <c r="H35" s="211"/>
      <c r="I35" s="211">
        <f>Y44</f>
        <v>1</v>
      </c>
      <c r="J35" s="209"/>
      <c r="K35" s="209"/>
      <c r="L35" s="209"/>
      <c r="M35" s="209"/>
      <c r="N35" s="209"/>
      <c r="O35" s="209"/>
      <c r="P35" s="209"/>
      <c r="Q35" s="209"/>
      <c r="R35" s="209"/>
      <c r="S35" s="209"/>
      <c r="T35" s="209"/>
      <c r="U35" s="209"/>
      <c r="V35" s="209"/>
      <c r="W35" s="209"/>
      <c r="X35" s="209"/>
      <c r="Y35" s="209"/>
      <c r="Z35" s="209"/>
    </row>
    <row r="36" spans="1:30" ht="14.25">
      <c r="A36" s="1173"/>
      <c r="B36" s="215"/>
      <c r="C36" s="210"/>
      <c r="D36" s="210" t="s">
        <v>816</v>
      </c>
      <c r="E36" s="216">
        <f t="shared" ref="E36:I36" si="27">E33*E34/E35</f>
        <v>90004.799999999988</v>
      </c>
      <c r="F36" s="216"/>
      <c r="G36" s="216">
        <f t="shared" si="27"/>
        <v>114315.9312032</v>
      </c>
      <c r="H36" s="216"/>
      <c r="I36" s="216">
        <f t="shared" si="27"/>
        <v>110127.08087999999</v>
      </c>
      <c r="J36" s="209"/>
      <c r="K36" s="209"/>
      <c r="L36" s="209"/>
      <c r="M36" s="209"/>
      <c r="N36" s="209"/>
      <c r="O36" s="209"/>
      <c r="P36" s="209"/>
      <c r="Q36" s="209"/>
      <c r="R36" s="209"/>
      <c r="S36" s="209"/>
      <c r="T36" s="209"/>
      <c r="U36" s="209"/>
      <c r="V36" s="209"/>
      <c r="W36" s="209"/>
      <c r="X36" s="209"/>
      <c r="Y36" s="209"/>
      <c r="Z36" s="209"/>
    </row>
    <row r="38" spans="1:30" ht="14.25" thickBot="1"/>
    <row r="39" spans="1:30" ht="54.75" customHeight="1" thickBot="1">
      <c r="A39" s="898" t="s">
        <v>1003</v>
      </c>
      <c r="B39" s="899" t="s">
        <v>748</v>
      </c>
      <c r="C39" s="899" t="s">
        <v>817</v>
      </c>
      <c r="D39" s="899" t="s">
        <v>256</v>
      </c>
      <c r="E39" s="899" t="s">
        <v>818</v>
      </c>
      <c r="F39" s="899" t="s">
        <v>819</v>
      </c>
      <c r="G39" s="899" t="s">
        <v>820</v>
      </c>
      <c r="H39" s="899" t="s">
        <v>821</v>
      </c>
      <c r="I39" s="899" t="s">
        <v>822</v>
      </c>
      <c r="J39" s="899" t="s">
        <v>988</v>
      </c>
      <c r="K39" s="899" t="s">
        <v>989</v>
      </c>
      <c r="L39" s="899" t="s">
        <v>990</v>
      </c>
      <c r="M39" s="899" t="s">
        <v>991</v>
      </c>
      <c r="N39" s="899" t="s">
        <v>992</v>
      </c>
      <c r="O39" s="899" t="s">
        <v>993</v>
      </c>
      <c r="P39" s="899" t="s">
        <v>994</v>
      </c>
      <c r="Q39" s="899" t="s">
        <v>995</v>
      </c>
      <c r="R39" s="899" t="s">
        <v>996</v>
      </c>
      <c r="S39" s="899" t="s">
        <v>997</v>
      </c>
      <c r="T39" s="899" t="s">
        <v>998</v>
      </c>
      <c r="U39" s="899" t="s">
        <v>999</v>
      </c>
      <c r="V39" s="899" t="s">
        <v>1004</v>
      </c>
      <c r="W39" s="899" t="s">
        <v>1005</v>
      </c>
      <c r="X39" s="899" t="s">
        <v>1006</v>
      </c>
      <c r="Y39" s="899" t="s">
        <v>1007</v>
      </c>
      <c r="Z39" s="899" t="s">
        <v>1008</v>
      </c>
      <c r="AA39" s="899" t="s">
        <v>1009</v>
      </c>
      <c r="AB39" s="899" t="s">
        <v>823</v>
      </c>
      <c r="AC39" s="899" t="s">
        <v>824</v>
      </c>
      <c r="AD39" s="900" t="s">
        <v>825</v>
      </c>
    </row>
    <row r="40" spans="1:30" s="906" customFormat="1" ht="41.25" thickBot="1">
      <c r="A40" s="903">
        <v>5924</v>
      </c>
      <c r="B40" s="904" t="s">
        <v>1026</v>
      </c>
      <c r="C40" s="904" t="s">
        <v>984</v>
      </c>
      <c r="D40" s="904" t="s">
        <v>827</v>
      </c>
      <c r="E40" s="904">
        <v>50</v>
      </c>
      <c r="F40" s="904" t="s">
        <v>985</v>
      </c>
      <c r="G40" s="904" t="s">
        <v>986</v>
      </c>
      <c r="H40" s="904" t="s">
        <v>987</v>
      </c>
      <c r="I40" s="904" t="s">
        <v>826</v>
      </c>
      <c r="J40" s="904">
        <v>1</v>
      </c>
      <c r="K40" s="904">
        <v>33.920009999999998</v>
      </c>
      <c r="L40" s="904">
        <v>1475.271</v>
      </c>
      <c r="M40" s="904">
        <v>0</v>
      </c>
      <c r="N40" s="904">
        <v>0</v>
      </c>
      <c r="O40" s="904">
        <v>0</v>
      </c>
      <c r="P40" s="904">
        <v>3</v>
      </c>
      <c r="Q40" s="904">
        <v>99.27</v>
      </c>
      <c r="R40" s="904">
        <v>2720</v>
      </c>
      <c r="S40" s="904">
        <v>0</v>
      </c>
      <c r="T40" s="904">
        <v>0</v>
      </c>
      <c r="U40" s="904">
        <v>0</v>
      </c>
      <c r="V40" s="904">
        <v>0</v>
      </c>
      <c r="W40" s="904">
        <v>0</v>
      </c>
      <c r="X40" s="904">
        <v>0</v>
      </c>
      <c r="Y40" s="904">
        <v>0</v>
      </c>
      <c r="Z40" s="904">
        <v>0</v>
      </c>
      <c r="AA40" s="904">
        <v>0</v>
      </c>
      <c r="AB40" s="904">
        <v>0</v>
      </c>
      <c r="AC40" s="904">
        <v>0</v>
      </c>
      <c r="AD40" s="905">
        <v>0</v>
      </c>
    </row>
    <row r="41" spans="1:30" ht="51" customHeight="1" thickBot="1">
      <c r="A41" s="895">
        <v>37</v>
      </c>
      <c r="B41" s="896" t="s">
        <v>1000</v>
      </c>
      <c r="C41" s="896" t="s">
        <v>984</v>
      </c>
      <c r="D41" s="896" t="s">
        <v>827</v>
      </c>
      <c r="E41" s="896">
        <v>50</v>
      </c>
      <c r="F41" s="896" t="s">
        <v>1001</v>
      </c>
      <c r="G41" s="896" t="s">
        <v>984</v>
      </c>
      <c r="H41" s="896" t="s">
        <v>1002</v>
      </c>
      <c r="I41" s="896" t="s">
        <v>826</v>
      </c>
      <c r="J41" s="896">
        <v>0</v>
      </c>
      <c r="K41" s="896">
        <v>0</v>
      </c>
      <c r="L41" s="896">
        <v>0</v>
      </c>
      <c r="M41" s="896">
        <v>0</v>
      </c>
      <c r="N41" s="896">
        <v>0</v>
      </c>
      <c r="O41" s="896">
        <v>0</v>
      </c>
      <c r="P41" s="896">
        <v>0</v>
      </c>
      <c r="Q41" s="896">
        <v>0</v>
      </c>
      <c r="R41" s="896">
        <v>0</v>
      </c>
      <c r="S41" s="896">
        <v>0</v>
      </c>
      <c r="T41" s="896">
        <v>0</v>
      </c>
      <c r="U41" s="896">
        <v>0</v>
      </c>
      <c r="V41" s="896">
        <v>0</v>
      </c>
      <c r="W41" s="896">
        <v>0</v>
      </c>
      <c r="X41" s="896">
        <v>0</v>
      </c>
      <c r="Y41" s="896">
        <v>0</v>
      </c>
      <c r="Z41" s="896">
        <v>0</v>
      </c>
      <c r="AA41" s="896">
        <v>0</v>
      </c>
      <c r="AB41" s="896">
        <v>1</v>
      </c>
      <c r="AC41" s="896">
        <v>38.429989999999997</v>
      </c>
      <c r="AD41" s="897">
        <v>3836.7429999999999</v>
      </c>
    </row>
    <row r="42" spans="1:30" s="906" customFormat="1" ht="68.25" thickBot="1">
      <c r="A42" s="903">
        <v>109</v>
      </c>
      <c r="B42" s="904" t="s">
        <v>1010</v>
      </c>
      <c r="C42" s="904" t="s">
        <v>984</v>
      </c>
      <c r="D42" s="904" t="s">
        <v>827</v>
      </c>
      <c r="E42" s="904">
        <v>50</v>
      </c>
      <c r="F42" s="904" t="s">
        <v>1011</v>
      </c>
      <c r="G42" s="904" t="s">
        <v>984</v>
      </c>
      <c r="H42" s="904" t="s">
        <v>1012</v>
      </c>
      <c r="I42" s="904" t="s">
        <v>826</v>
      </c>
      <c r="J42" s="904">
        <v>0</v>
      </c>
      <c r="K42" s="904">
        <v>0</v>
      </c>
      <c r="L42" s="904">
        <v>0</v>
      </c>
      <c r="M42" s="904">
        <v>0</v>
      </c>
      <c r="N42" s="904">
        <v>0</v>
      </c>
      <c r="O42" s="904">
        <v>0</v>
      </c>
      <c r="P42" s="904">
        <v>0</v>
      </c>
      <c r="Q42" s="904">
        <v>0</v>
      </c>
      <c r="R42" s="904">
        <v>0</v>
      </c>
      <c r="S42" s="904">
        <v>0</v>
      </c>
      <c r="T42" s="904">
        <v>0</v>
      </c>
      <c r="U42" s="904">
        <v>0</v>
      </c>
      <c r="V42" s="904">
        <v>0</v>
      </c>
      <c r="W42" s="904">
        <v>0</v>
      </c>
      <c r="X42" s="904">
        <v>0</v>
      </c>
      <c r="Y42" s="904">
        <v>1</v>
      </c>
      <c r="Z42" s="904">
        <v>30.62012</v>
      </c>
      <c r="AA42" s="904">
        <v>3733.36</v>
      </c>
      <c r="AB42" s="904">
        <v>0</v>
      </c>
      <c r="AC42" s="904">
        <v>0</v>
      </c>
      <c r="AD42" s="905">
        <v>0</v>
      </c>
    </row>
    <row r="43" spans="1:30" ht="54.75" thickBot="1">
      <c r="A43" s="895">
        <v>3342</v>
      </c>
      <c r="B43" s="896" t="s">
        <v>1013</v>
      </c>
      <c r="C43" s="896" t="s">
        <v>1014</v>
      </c>
      <c r="D43" s="896" t="s">
        <v>1015</v>
      </c>
      <c r="E43" s="896">
        <v>50</v>
      </c>
      <c r="F43" s="896" t="s">
        <v>1016</v>
      </c>
      <c r="G43" s="896" t="s">
        <v>1017</v>
      </c>
      <c r="H43" s="896" t="s">
        <v>1018</v>
      </c>
      <c r="I43" s="896" t="s">
        <v>826</v>
      </c>
      <c r="J43" s="896">
        <v>0</v>
      </c>
      <c r="K43" s="896">
        <v>0</v>
      </c>
      <c r="L43" s="896">
        <v>0</v>
      </c>
      <c r="M43" s="896">
        <v>0</v>
      </c>
      <c r="N43" s="896">
        <v>0</v>
      </c>
      <c r="O43" s="896">
        <v>0</v>
      </c>
      <c r="P43" s="896">
        <v>0</v>
      </c>
      <c r="Q43" s="896">
        <v>0</v>
      </c>
      <c r="R43" s="896">
        <v>0</v>
      </c>
      <c r="S43" s="896">
        <v>0</v>
      </c>
      <c r="T43" s="896">
        <v>0</v>
      </c>
      <c r="U43" s="896">
        <v>0</v>
      </c>
      <c r="V43" s="896">
        <v>0</v>
      </c>
      <c r="W43" s="896">
        <v>0</v>
      </c>
      <c r="X43" s="896">
        <v>0</v>
      </c>
      <c r="Y43" s="896">
        <v>1</v>
      </c>
      <c r="Z43" s="896">
        <v>61.63</v>
      </c>
      <c r="AA43" s="896">
        <v>2715.337</v>
      </c>
      <c r="AB43" s="896">
        <v>0</v>
      </c>
      <c r="AC43" s="896">
        <v>0</v>
      </c>
      <c r="AD43" s="897">
        <v>0</v>
      </c>
    </row>
    <row r="44" spans="1:30" s="906" customFormat="1" ht="41.25" thickBot="1">
      <c r="A44" s="903">
        <v>3366</v>
      </c>
      <c r="B44" s="904" t="s">
        <v>1035</v>
      </c>
      <c r="C44" s="904" t="s">
        <v>1014</v>
      </c>
      <c r="D44" s="904" t="s">
        <v>827</v>
      </c>
      <c r="E44" s="904">
        <v>50</v>
      </c>
      <c r="F44" s="904" t="s">
        <v>1019</v>
      </c>
      <c r="G44" s="904" t="s">
        <v>1020</v>
      </c>
      <c r="H44" s="904" t="s">
        <v>1021</v>
      </c>
      <c r="I44" s="904" t="s">
        <v>826</v>
      </c>
      <c r="J44" s="904">
        <v>0</v>
      </c>
      <c r="K44" s="904">
        <v>0</v>
      </c>
      <c r="L44" s="904">
        <v>0</v>
      </c>
      <c r="M44" s="904">
        <v>0</v>
      </c>
      <c r="N44" s="904">
        <v>0</v>
      </c>
      <c r="O44" s="904">
        <v>0</v>
      </c>
      <c r="P44" s="904">
        <v>0</v>
      </c>
      <c r="Q44" s="904">
        <v>0</v>
      </c>
      <c r="R44" s="904">
        <v>0</v>
      </c>
      <c r="S44" s="904">
        <v>0</v>
      </c>
      <c r="T44" s="904">
        <v>0</v>
      </c>
      <c r="U44" s="904">
        <v>0</v>
      </c>
      <c r="V44" s="904">
        <v>0</v>
      </c>
      <c r="W44" s="904">
        <v>0</v>
      </c>
      <c r="X44" s="904">
        <v>0</v>
      </c>
      <c r="Y44" s="904">
        <v>1</v>
      </c>
      <c r="Z44" s="904">
        <v>49.340089999999996</v>
      </c>
      <c r="AA44" s="904">
        <v>2232</v>
      </c>
      <c r="AB44" s="904">
        <v>0</v>
      </c>
      <c r="AC44" s="904">
        <v>0</v>
      </c>
      <c r="AD44" s="905">
        <v>0</v>
      </c>
    </row>
    <row r="45" spans="1:30" ht="54.75" thickBot="1">
      <c r="A45" s="895">
        <v>3403</v>
      </c>
      <c r="B45" s="896" t="s">
        <v>1022</v>
      </c>
      <c r="C45" s="896" t="s">
        <v>1014</v>
      </c>
      <c r="D45" s="896" t="s">
        <v>93</v>
      </c>
      <c r="E45" s="896">
        <v>50</v>
      </c>
      <c r="F45" s="896" t="s">
        <v>1023</v>
      </c>
      <c r="G45" s="896" t="s">
        <v>1024</v>
      </c>
      <c r="H45" s="896" t="s">
        <v>1025</v>
      </c>
      <c r="I45" s="896" t="s">
        <v>826</v>
      </c>
      <c r="J45" s="896">
        <v>0</v>
      </c>
      <c r="K45" s="896">
        <v>0</v>
      </c>
      <c r="L45" s="896">
        <v>0</v>
      </c>
      <c r="M45" s="896">
        <v>0</v>
      </c>
      <c r="N45" s="896">
        <v>0</v>
      </c>
      <c r="O45" s="896">
        <v>0</v>
      </c>
      <c r="P45" s="896">
        <v>0</v>
      </c>
      <c r="Q45" s="896">
        <v>0</v>
      </c>
      <c r="R45" s="896">
        <v>0</v>
      </c>
      <c r="S45" s="896">
        <v>0</v>
      </c>
      <c r="T45" s="896">
        <v>0</v>
      </c>
      <c r="U45" s="896">
        <v>0</v>
      </c>
      <c r="V45" s="896">
        <v>0</v>
      </c>
      <c r="W45" s="896">
        <v>0</v>
      </c>
      <c r="X45" s="896">
        <v>0</v>
      </c>
      <c r="Y45" s="896">
        <v>0</v>
      </c>
      <c r="Z45" s="896">
        <v>0</v>
      </c>
      <c r="AA45" s="896">
        <v>0</v>
      </c>
      <c r="AB45" s="896">
        <v>1</v>
      </c>
      <c r="AC45" s="896">
        <v>33.380130000000001</v>
      </c>
      <c r="AD45" s="897">
        <v>13458.77</v>
      </c>
    </row>
    <row r="49" spans="1:4">
      <c r="A49" s="907"/>
      <c r="B49" s="1178" t="s">
        <v>1038</v>
      </c>
      <c r="C49" s="1179"/>
      <c r="D49" s="1180"/>
    </row>
    <row r="50" spans="1:4" ht="24">
      <c r="A50" s="908" t="s">
        <v>1039</v>
      </c>
      <c r="B50" s="909" t="s">
        <v>1040</v>
      </c>
      <c r="C50" s="909" t="s">
        <v>1041</v>
      </c>
      <c r="D50" s="909" t="s">
        <v>1042</v>
      </c>
    </row>
    <row r="51" spans="1:4">
      <c r="A51" s="910">
        <v>41821</v>
      </c>
      <c r="B51" s="911">
        <v>5957</v>
      </c>
      <c r="C51" s="911">
        <v>-1.36</v>
      </c>
      <c r="D51" s="911">
        <v>2.11</v>
      </c>
    </row>
    <row r="52" spans="1:4">
      <c r="A52" s="912">
        <v>41791</v>
      </c>
      <c r="B52" s="913">
        <v>6039</v>
      </c>
      <c r="C52" s="913">
        <v>-2.0299999999999998</v>
      </c>
      <c r="D52" s="913">
        <v>5.28</v>
      </c>
    </row>
    <row r="53" spans="1:4">
      <c r="A53" s="912">
        <v>41760</v>
      </c>
      <c r="B53" s="913">
        <v>6164</v>
      </c>
      <c r="C53" s="913">
        <v>-1.85</v>
      </c>
      <c r="D53" s="913">
        <v>8.48</v>
      </c>
    </row>
    <row r="54" spans="1:4">
      <c r="A54" s="912">
        <v>41730</v>
      </c>
      <c r="B54" s="913">
        <v>6280</v>
      </c>
      <c r="C54" s="913">
        <v>-0.54</v>
      </c>
      <c r="D54" s="913">
        <v>12.04</v>
      </c>
    </row>
    <row r="55" spans="1:4">
      <c r="A55" s="912">
        <v>41699</v>
      </c>
      <c r="B55" s="913">
        <v>6314</v>
      </c>
      <c r="C55" s="913">
        <v>0.27</v>
      </c>
      <c r="D55" s="913">
        <v>15.39</v>
      </c>
    </row>
    <row r="56" spans="1:4">
      <c r="A56" s="912">
        <v>41671</v>
      </c>
      <c r="B56" s="913">
        <v>6297</v>
      </c>
      <c r="C56" s="913">
        <v>0.9</v>
      </c>
      <c r="D56" s="913">
        <v>18.34</v>
      </c>
    </row>
    <row r="57" spans="1:4">
      <c r="A57" s="912">
        <v>41640</v>
      </c>
      <c r="B57" s="913">
        <v>6241</v>
      </c>
      <c r="C57" s="913">
        <v>0.53</v>
      </c>
      <c r="D57" s="913">
        <v>19.72</v>
      </c>
    </row>
    <row r="58" spans="1:4">
      <c r="A58" s="912">
        <v>41609</v>
      </c>
      <c r="B58" s="913">
        <v>6208</v>
      </c>
      <c r="C58" s="913">
        <v>0.68</v>
      </c>
      <c r="D58" s="913">
        <v>21.73</v>
      </c>
    </row>
    <row r="59" spans="1:4">
      <c r="A59" s="912">
        <v>41579</v>
      </c>
      <c r="B59" s="913">
        <v>6166</v>
      </c>
      <c r="C59" s="913">
        <v>0.79</v>
      </c>
      <c r="D59" s="913">
        <v>22.98</v>
      </c>
    </row>
    <row r="60" spans="1:4">
      <c r="A60" s="912">
        <v>41548</v>
      </c>
      <c r="B60" s="913">
        <v>6118</v>
      </c>
      <c r="C60" s="913">
        <v>1.61</v>
      </c>
      <c r="D60" s="913">
        <v>23.9</v>
      </c>
    </row>
    <row r="61" spans="1:4">
      <c r="A61" s="912">
        <v>41518</v>
      </c>
      <c r="B61" s="913">
        <v>6021</v>
      </c>
      <c r="C61" s="913">
        <v>1.91</v>
      </c>
      <c r="D61" s="913">
        <v>24.02</v>
      </c>
    </row>
    <row r="62" spans="1:4">
      <c r="A62" s="912">
        <v>41487</v>
      </c>
      <c r="B62" s="913">
        <v>5908</v>
      </c>
      <c r="C62" s="913">
        <v>1.27</v>
      </c>
      <c r="D62" s="913">
        <v>23.91</v>
      </c>
    </row>
    <row r="63" spans="1:4">
      <c r="A63" s="912">
        <v>41456</v>
      </c>
      <c r="B63" s="913">
        <v>5834</v>
      </c>
      <c r="C63" s="913">
        <v>1.71</v>
      </c>
      <c r="D63" s="913">
        <v>24.34</v>
      </c>
    </row>
    <row r="64" spans="1:4">
      <c r="A64" s="914">
        <v>41426</v>
      </c>
      <c r="B64" s="915">
        <v>5736</v>
      </c>
      <c r="C64" s="915">
        <v>0.95</v>
      </c>
      <c r="D64" s="915">
        <v>24.29</v>
      </c>
    </row>
    <row r="65" spans="1:4">
      <c r="A65" s="912">
        <v>41395</v>
      </c>
      <c r="B65" s="909">
        <v>5682</v>
      </c>
      <c r="C65" s="909">
        <v>1.37</v>
      </c>
      <c r="D65" s="909">
        <v>23.44</v>
      </c>
    </row>
    <row r="66" spans="1:4">
      <c r="A66" s="912">
        <v>41365</v>
      </c>
      <c r="B66" s="909">
        <v>5605</v>
      </c>
      <c r="C66" s="909">
        <v>2.4300000000000002</v>
      </c>
      <c r="D66" s="909">
        <v>22.94</v>
      </c>
    </row>
    <row r="67" spans="1:4">
      <c r="A67" s="912">
        <v>41334</v>
      </c>
      <c r="B67" s="909">
        <v>5472</v>
      </c>
      <c r="C67" s="909">
        <v>2.84</v>
      </c>
      <c r="D67" s="909">
        <v>22.14</v>
      </c>
    </row>
    <row r="68" spans="1:4">
      <c r="A68" s="912">
        <v>41306</v>
      </c>
      <c r="B68" s="909">
        <v>5321</v>
      </c>
      <c r="C68" s="909">
        <v>2.0699999999999998</v>
      </c>
      <c r="D68" s="909">
        <v>21.1</v>
      </c>
    </row>
    <row r="69" spans="1:4">
      <c r="A69" s="912">
        <v>41275</v>
      </c>
      <c r="B69" s="909">
        <v>5213</v>
      </c>
      <c r="C69" s="909">
        <v>2.2200000000000002</v>
      </c>
      <c r="D69" s="909">
        <v>18.8</v>
      </c>
    </row>
  </sheetData>
  <mergeCells count="70">
    <mergeCell ref="O34:P34"/>
    <mergeCell ref="Q34:R34"/>
    <mergeCell ref="S34:T34"/>
    <mergeCell ref="B49:D49"/>
    <mergeCell ref="V3:W4"/>
    <mergeCell ref="O32:P32"/>
    <mergeCell ref="Q32:R32"/>
    <mergeCell ref="S32:T32"/>
    <mergeCell ref="O33:P33"/>
    <mergeCell ref="Q33:R33"/>
    <mergeCell ref="S33:T33"/>
    <mergeCell ref="V10:V17"/>
    <mergeCell ref="V18:V25"/>
    <mergeCell ref="O29:T29"/>
    <mergeCell ref="O30:T30"/>
    <mergeCell ref="O31:P31"/>
    <mergeCell ref="X3:X4"/>
    <mergeCell ref="Y3:Y4"/>
    <mergeCell ref="Z3:Z4"/>
    <mergeCell ref="A3:B4"/>
    <mergeCell ref="M3:N4"/>
    <mergeCell ref="O3:P4"/>
    <mergeCell ref="Q3:R4"/>
    <mergeCell ref="S3:T4"/>
    <mergeCell ref="A33:A36"/>
    <mergeCell ref="C3:C4"/>
    <mergeCell ref="L2:L25"/>
    <mergeCell ref="M7:M9"/>
    <mergeCell ref="M10:M17"/>
    <mergeCell ref="M18:M25"/>
    <mergeCell ref="M29:N29"/>
    <mergeCell ref="M30:N30"/>
    <mergeCell ref="M31:N31"/>
    <mergeCell ref="H28:I28"/>
    <mergeCell ref="J28:K28"/>
    <mergeCell ref="D4:E4"/>
    <mergeCell ref="F4:G4"/>
    <mergeCell ref="H4:I4"/>
    <mergeCell ref="J4:K4"/>
    <mergeCell ref="M26:N26"/>
    <mergeCell ref="Q31:R31"/>
    <mergeCell ref="S31:T31"/>
    <mergeCell ref="M27:N27"/>
    <mergeCell ref="O27:P27"/>
    <mergeCell ref="Q27:R27"/>
    <mergeCell ref="S27:T27"/>
    <mergeCell ref="M28:N28"/>
    <mergeCell ref="O28:T28"/>
    <mergeCell ref="O26:P26"/>
    <mergeCell ref="Q26:R26"/>
    <mergeCell ref="S26:T26"/>
    <mergeCell ref="A7:A9"/>
    <mergeCell ref="A10:A17"/>
    <mergeCell ref="A18:A25"/>
    <mergeCell ref="A1:Z1"/>
    <mergeCell ref="A2:K2"/>
    <mergeCell ref="M2:T2"/>
    <mergeCell ref="V2:Z2"/>
    <mergeCell ref="D3:E3"/>
    <mergeCell ref="F3:G3"/>
    <mergeCell ref="H3:I3"/>
    <mergeCell ref="J3:K3"/>
    <mergeCell ref="U2:U25"/>
    <mergeCell ref="V7:V9"/>
    <mergeCell ref="V5:W5"/>
    <mergeCell ref="A6:B6"/>
    <mergeCell ref="M6:N6"/>
    <mergeCell ref="V6:W6"/>
    <mergeCell ref="A5:B5"/>
    <mergeCell ref="M5:N5"/>
  </mergeCells>
  <phoneticPr fontId="97" type="noConversion"/>
  <pageMargins left="0.75" right="0.75" top="1" bottom="1" header="0.51111111111111107" footer="0.51111111111111107"/>
  <pageSetup paperSize="9" scale="44" orientation="portrait" r:id="rId1"/>
  <headerFooter alignWithMargins="0"/>
  <colBreaks count="1" manualBreakCount="1">
    <brk id="21"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
  <sheetViews>
    <sheetView view="pageBreakPreview" topLeftCell="A16" workbookViewId="0">
      <selection activeCell="E34" sqref="E34"/>
    </sheetView>
  </sheetViews>
  <sheetFormatPr defaultColWidth="9" defaultRowHeight="13.5"/>
  <cols>
    <col min="1" max="1" width="2.625" style="45" customWidth="1"/>
    <col min="2" max="2" width="6.125" style="46" customWidth="1"/>
    <col min="3" max="3" width="17.875" style="45" customWidth="1"/>
    <col min="4" max="4" width="15.375" style="45" customWidth="1"/>
    <col min="5" max="5" width="13.25" style="45" customWidth="1"/>
    <col min="6" max="6" width="11.75" style="45" customWidth="1"/>
    <col min="7" max="7" width="11.875" style="45" customWidth="1"/>
    <col min="8" max="8" width="25" style="45" bestFit="1" customWidth="1"/>
    <col min="9" max="9" width="9" style="45"/>
    <col min="10" max="10" width="10.625" style="45" bestFit="1" customWidth="1"/>
    <col min="11" max="11" width="9.125" style="45" bestFit="1" customWidth="1"/>
    <col min="12" max="16384" width="9" style="45"/>
  </cols>
  <sheetData>
    <row r="1" spans="2:9">
      <c r="B1" s="1077" t="s">
        <v>828</v>
      </c>
      <c r="C1" s="1078"/>
      <c r="D1" s="1078"/>
      <c r="E1" s="1078"/>
      <c r="F1" s="1078"/>
      <c r="G1" s="1078"/>
      <c r="H1" s="1079"/>
    </row>
    <row r="2" spans="2:9">
      <c r="B2" s="1138" t="s">
        <v>747</v>
      </c>
      <c r="C2" s="1139"/>
      <c r="D2" s="1139"/>
      <c r="E2" s="1139"/>
      <c r="F2" s="1139"/>
      <c r="G2" s="1139"/>
      <c r="H2" s="1140"/>
    </row>
    <row r="3" spans="2:9">
      <c r="B3" s="47" t="s">
        <v>69</v>
      </c>
      <c r="C3" s="48" t="s">
        <v>748</v>
      </c>
      <c r="D3" s="49" t="s">
        <v>82</v>
      </c>
      <c r="E3" s="50" t="s">
        <v>72</v>
      </c>
      <c r="F3" s="50"/>
      <c r="G3" s="50"/>
      <c r="H3" s="50" t="s">
        <v>829</v>
      </c>
    </row>
    <row r="4" spans="2:9">
      <c r="B4" s="47">
        <v>1</v>
      </c>
      <c r="C4" s="48" t="s">
        <v>150</v>
      </c>
      <c r="D4" s="49"/>
      <c r="E4" s="51">
        <v>550</v>
      </c>
      <c r="F4" s="52"/>
      <c r="G4" s="47"/>
      <c r="H4" s="47">
        <f>面积!B3</f>
        <v>5875.4099999999962</v>
      </c>
      <c r="I4" s="45" t="e">
        <f>#REF!/(E5+F5+G5)</f>
        <v>#REF!</v>
      </c>
    </row>
    <row r="5" spans="2:9">
      <c r="B5" s="47">
        <v>2</v>
      </c>
      <c r="C5" s="48" t="s">
        <v>348</v>
      </c>
      <c r="D5" s="49"/>
      <c r="E5" s="148">
        <f>'市（车）'!O29</f>
        <v>160</v>
      </c>
      <c r="F5" s="47"/>
      <c r="G5" s="47"/>
      <c r="H5" s="47"/>
    </row>
    <row r="6" spans="2:9">
      <c r="B6" s="47">
        <v>3</v>
      </c>
      <c r="C6" s="48" t="s">
        <v>749</v>
      </c>
      <c r="D6" s="48"/>
      <c r="E6" s="51">
        <v>12</v>
      </c>
      <c r="F6" s="51"/>
      <c r="G6" s="51"/>
      <c r="H6" s="51"/>
    </row>
    <row r="7" spans="2:9">
      <c r="B7" s="47">
        <v>4</v>
      </c>
      <c r="C7" s="48" t="s">
        <v>351</v>
      </c>
      <c r="D7" s="49"/>
      <c r="E7" s="54">
        <v>0.05</v>
      </c>
      <c r="F7" s="55"/>
      <c r="G7" s="55"/>
      <c r="H7" s="55" t="s">
        <v>830</v>
      </c>
    </row>
    <row r="8" spans="2:9">
      <c r="B8" s="47">
        <v>5</v>
      </c>
      <c r="C8" s="48" t="s">
        <v>751</v>
      </c>
      <c r="D8" s="56">
        <f>E8</f>
        <v>100</v>
      </c>
      <c r="E8" s="925">
        <f>ROUND(E4*E5*E6*(1-E7)/10000,0)</f>
        <v>100</v>
      </c>
      <c r="F8" s="51">
        <f t="shared" ref="F8" si="0">ROUND(F4*F5*F6*(1-F7)*(1-G7)/10000,0)</f>
        <v>0</v>
      </c>
      <c r="G8" s="51"/>
      <c r="H8" s="47">
        <v>160</v>
      </c>
    </row>
    <row r="9" spans="2:9">
      <c r="B9" s="1080" t="s">
        <v>400</v>
      </c>
      <c r="C9" s="1080"/>
      <c r="D9" s="1080"/>
      <c r="E9" s="1080"/>
      <c r="F9" s="1080"/>
      <c r="G9" s="1080"/>
      <c r="H9" s="1080"/>
    </row>
    <row r="10" spans="2:9" customFormat="1">
      <c r="B10" s="58" t="s">
        <v>69</v>
      </c>
      <c r="C10" s="59" t="s">
        <v>124</v>
      </c>
      <c r="D10" s="60" t="s">
        <v>82</v>
      </c>
      <c r="E10" s="61" t="s">
        <v>41</v>
      </c>
      <c r="F10" s="61" t="s">
        <v>401</v>
      </c>
      <c r="G10" s="61" t="s">
        <v>402</v>
      </c>
      <c r="H10" s="62"/>
    </row>
    <row r="11" spans="2:9" customFormat="1">
      <c r="B11" s="58">
        <v>1.1000000000000001</v>
      </c>
      <c r="C11" s="63" t="s">
        <v>403</v>
      </c>
      <c r="D11" s="60">
        <f>ROUND(E11*F11/10000,0)</f>
        <v>1293</v>
      </c>
      <c r="E11" s="64">
        <f>H4</f>
        <v>5875.4099999999962</v>
      </c>
      <c r="F11" s="61">
        <v>2200</v>
      </c>
      <c r="G11" s="65"/>
      <c r="H11" s="66"/>
    </row>
    <row r="12" spans="2:9" customFormat="1">
      <c r="B12" s="58">
        <v>1.2</v>
      </c>
      <c r="C12" s="63" t="s">
        <v>404</v>
      </c>
      <c r="D12" s="60">
        <f>ROUND(D11*G12,0)</f>
        <v>39</v>
      </c>
      <c r="E12" s="67"/>
      <c r="F12" s="67"/>
      <c r="G12" s="65">
        <f>'收益法 (商)'!G12</f>
        <v>0.03</v>
      </c>
      <c r="H12" s="66" t="s">
        <v>405</v>
      </c>
    </row>
    <row r="13" spans="2:9" customFormat="1">
      <c r="B13" s="58">
        <v>1.3</v>
      </c>
      <c r="C13" s="63" t="s">
        <v>406</v>
      </c>
      <c r="D13" s="60">
        <f>ROUND(D11*G13,0)</f>
        <v>0</v>
      </c>
      <c r="E13" s="67"/>
      <c r="F13" s="67"/>
      <c r="G13" s="65">
        <v>0</v>
      </c>
      <c r="H13" s="66" t="s">
        <v>407</v>
      </c>
    </row>
    <row r="14" spans="2:9" customFormat="1">
      <c r="B14" s="58">
        <v>1.4</v>
      </c>
      <c r="C14" s="63" t="s">
        <v>408</v>
      </c>
      <c r="D14" s="60">
        <f>ROUND(F14*E14/10000,0)</f>
        <v>118</v>
      </c>
      <c r="E14" s="64">
        <f>H4</f>
        <v>5875.4099999999962</v>
      </c>
      <c r="F14" s="61">
        <v>200</v>
      </c>
      <c r="G14" s="63"/>
      <c r="H14" s="66" t="s">
        <v>409</v>
      </c>
    </row>
    <row r="15" spans="2:9" customFormat="1">
      <c r="B15" s="58">
        <v>1.5</v>
      </c>
      <c r="C15" s="63" t="s">
        <v>410</v>
      </c>
      <c r="D15" s="60">
        <f>ROUND(D11*G15,0)</f>
        <v>19</v>
      </c>
      <c r="E15" s="67"/>
      <c r="F15" s="67"/>
      <c r="G15" s="68">
        <f>'建筑（住）'!G11</f>
        <v>1.4999999999999999E-2</v>
      </c>
      <c r="H15" s="66" t="s">
        <v>411</v>
      </c>
    </row>
    <row r="16" spans="2:9" customFormat="1">
      <c r="B16" s="58">
        <v>1</v>
      </c>
      <c r="C16" s="63" t="s">
        <v>412</v>
      </c>
      <c r="D16" s="60">
        <f>SUM(D11:D15)</f>
        <v>1469</v>
      </c>
      <c r="E16" s="63"/>
      <c r="F16" s="67"/>
      <c r="G16" s="67"/>
      <c r="H16" s="69" t="s">
        <v>413</v>
      </c>
    </row>
    <row r="17" spans="2:15" customFormat="1">
      <c r="B17" s="58">
        <v>2</v>
      </c>
      <c r="C17" s="63" t="s">
        <v>373</v>
      </c>
      <c r="D17" s="60">
        <f>ROUND(D16*G17,0)</f>
        <v>29</v>
      </c>
      <c r="E17" s="70"/>
      <c r="F17" s="70"/>
      <c r="G17" s="71">
        <f>'收益法 (商)'!G17</f>
        <v>0.02</v>
      </c>
      <c r="H17" s="66" t="s">
        <v>414</v>
      </c>
    </row>
    <row r="18" spans="2:15" customFormat="1">
      <c r="B18" s="58">
        <v>3</v>
      </c>
      <c r="C18" s="63" t="s">
        <v>415</v>
      </c>
      <c r="D18" s="60" t="s">
        <v>281</v>
      </c>
      <c r="E18" s="67"/>
      <c r="F18" s="67"/>
      <c r="G18" s="71">
        <f>'收益法 (商)'!G18</f>
        <v>0.02</v>
      </c>
      <c r="H18" s="66" t="s">
        <v>416</v>
      </c>
    </row>
    <row r="19" spans="2:15" customFormat="1">
      <c r="B19" s="58">
        <v>4</v>
      </c>
      <c r="C19" s="72" t="s">
        <v>417</v>
      </c>
      <c r="D19" s="1081"/>
      <c r="E19" s="1082"/>
      <c r="F19" s="1082"/>
      <c r="G19" s="1082"/>
      <c r="H19" s="1083"/>
    </row>
    <row r="20" spans="2:15" customFormat="1">
      <c r="B20" s="58">
        <v>4.0999999999999996</v>
      </c>
      <c r="C20" s="63" t="s">
        <v>420</v>
      </c>
      <c r="D20" s="60">
        <f>ROUND((D16+D17)*G20*G21/2,0)</f>
        <v>67</v>
      </c>
      <c r="E20" s="63"/>
      <c r="F20" s="67"/>
      <c r="G20" s="149">
        <f>'收益法 (商)'!G20</f>
        <v>0.06</v>
      </c>
      <c r="H20" s="67" t="s">
        <v>421</v>
      </c>
    </row>
    <row r="21" spans="2:15" customFormat="1">
      <c r="B21" s="58">
        <v>4.2</v>
      </c>
      <c r="C21" s="63" t="s">
        <v>423</v>
      </c>
      <c r="D21" s="74">
        <f>ROUND(G18*G21*G20/2,4)</f>
        <v>8.9999999999999998E-4</v>
      </c>
      <c r="E21" s="63"/>
      <c r="F21" s="67"/>
      <c r="G21" s="150">
        <f>'收益法 (商)'!G21</f>
        <v>1.5</v>
      </c>
      <c r="H21" s="67" t="s">
        <v>424</v>
      </c>
    </row>
    <row r="22" spans="2:15" customFormat="1">
      <c r="B22" s="58">
        <v>5</v>
      </c>
      <c r="C22" s="72" t="s">
        <v>426</v>
      </c>
      <c r="D22" s="1081"/>
      <c r="E22" s="1082"/>
      <c r="F22" s="1082"/>
      <c r="G22" s="1082"/>
      <c r="H22" s="1083"/>
    </row>
    <row r="23" spans="2:15" customFormat="1">
      <c r="B23" s="58">
        <v>5.0999999999999996</v>
      </c>
      <c r="C23" s="63" t="s">
        <v>428</v>
      </c>
      <c r="D23" s="60">
        <f>ROUND((D16+D17)*G23,0)</f>
        <v>150</v>
      </c>
      <c r="E23" s="63"/>
      <c r="F23" s="67"/>
      <c r="G23" s="1072">
        <v>0.1</v>
      </c>
      <c r="H23" s="67" t="s">
        <v>429</v>
      </c>
    </row>
    <row r="24" spans="2:15" customFormat="1">
      <c r="B24" s="58">
        <v>5.2</v>
      </c>
      <c r="C24" s="63" t="s">
        <v>430</v>
      </c>
      <c r="D24" s="74">
        <f>ROUND(G18*G23,4)</f>
        <v>2E-3</v>
      </c>
      <c r="E24" s="63"/>
      <c r="F24" s="67"/>
      <c r="G24" s="1073"/>
      <c r="H24" s="67" t="s">
        <v>431</v>
      </c>
    </row>
    <row r="25" spans="2:15" customFormat="1">
      <c r="B25" s="58">
        <v>6</v>
      </c>
      <c r="C25" s="72" t="s">
        <v>432</v>
      </c>
      <c r="D25" s="60" t="s">
        <v>281</v>
      </c>
      <c r="E25" s="59"/>
      <c r="F25" s="59"/>
      <c r="G25" s="71">
        <f>'收益法 (商)'!G25</f>
        <v>5.5E-2</v>
      </c>
      <c r="H25" s="66" t="s">
        <v>433</v>
      </c>
      <c r="J25" s="45"/>
      <c r="K25" s="45"/>
      <c r="L25" s="181" t="s">
        <v>391</v>
      </c>
      <c r="M25" s="182">
        <f>ROUND(D28*M26,0)</f>
        <v>141</v>
      </c>
      <c r="N25" s="183"/>
      <c r="O25" s="183"/>
    </row>
    <row r="26" spans="2:15" customFormat="1" ht="24">
      <c r="B26" s="58">
        <v>7</v>
      </c>
      <c r="C26" s="72" t="s">
        <v>434</v>
      </c>
      <c r="D26" s="60">
        <f>ROUND((D16+D17+D20+D23)/(1-G18-D21-D24-G25),0)</f>
        <v>1860</v>
      </c>
      <c r="E26" s="72"/>
      <c r="F26" s="72"/>
      <c r="G26" s="76"/>
      <c r="H26" s="66" t="s">
        <v>435</v>
      </c>
      <c r="J26" s="45"/>
      <c r="K26" s="45"/>
      <c r="L26" s="184" t="s">
        <v>392</v>
      </c>
      <c r="M26" s="185">
        <v>0.08</v>
      </c>
      <c r="N26" s="184" t="s">
        <v>393</v>
      </c>
      <c r="O26" s="185"/>
    </row>
    <row r="27" spans="2:15" customFormat="1" ht="13.5" customHeight="1">
      <c r="B27" s="58">
        <v>8</v>
      </c>
      <c r="C27" s="72" t="s">
        <v>436</v>
      </c>
      <c r="D27" s="60" t="s">
        <v>281</v>
      </c>
      <c r="E27" s="59"/>
      <c r="F27" s="59"/>
      <c r="G27" s="77">
        <f>'收益法 (商)'!G27</f>
        <v>0.95</v>
      </c>
      <c r="H27" s="66"/>
      <c r="J27" s="45"/>
      <c r="K27" s="45"/>
      <c r="L27" s="186" t="s">
        <v>394</v>
      </c>
      <c r="M27" s="187"/>
      <c r="N27" s="187"/>
      <c r="O27" s="188"/>
    </row>
    <row r="28" spans="2:15" customFormat="1">
      <c r="B28" s="58">
        <v>9</v>
      </c>
      <c r="C28" s="72" t="s">
        <v>103</v>
      </c>
      <c r="D28" s="60">
        <f>ROUND(D26*G27,0)</f>
        <v>1767</v>
      </c>
      <c r="E28" s="59"/>
      <c r="F28" s="59"/>
      <c r="G28" s="71"/>
      <c r="H28" s="66" t="s">
        <v>437</v>
      </c>
      <c r="J28" s="45"/>
      <c r="K28" s="45"/>
      <c r="L28" s="189" t="s">
        <v>395</v>
      </c>
      <c r="M28" s="189"/>
      <c r="N28" s="190" t="s">
        <v>396</v>
      </c>
      <c r="O28" s="191"/>
    </row>
    <row r="29" spans="2:15">
      <c r="B29" s="1138" t="s">
        <v>752</v>
      </c>
      <c r="C29" s="1139"/>
      <c r="D29" s="1139"/>
      <c r="E29" s="1139"/>
      <c r="F29" s="1139"/>
      <c r="G29" s="1139"/>
      <c r="H29" s="1140"/>
      <c r="L29" s="181" t="s">
        <v>397</v>
      </c>
      <c r="M29" s="192">
        <f>M25/D40</f>
        <v>1.8552631578947369</v>
      </c>
      <c r="N29" s="193" t="s">
        <v>778</v>
      </c>
      <c r="O29" s="192">
        <f>D55/D43</f>
        <v>0.88838612368024128</v>
      </c>
    </row>
    <row r="30" spans="2:15">
      <c r="B30" s="57" t="s">
        <v>69</v>
      </c>
      <c r="C30" s="57" t="s">
        <v>748</v>
      </c>
      <c r="D30" s="78" t="s">
        <v>82</v>
      </c>
      <c r="E30" s="57" t="s">
        <v>753</v>
      </c>
      <c r="F30" s="57" t="s">
        <v>401</v>
      </c>
      <c r="G30" s="57" t="s">
        <v>402</v>
      </c>
      <c r="H30" s="57" t="s">
        <v>754</v>
      </c>
      <c r="L30" s="181" t="s">
        <v>398</v>
      </c>
      <c r="M30" s="192">
        <f>1-M29</f>
        <v>-0.85526315789473695</v>
      </c>
      <c r="N30" s="193" t="s">
        <v>779</v>
      </c>
      <c r="O30" s="194">
        <f>1-O29</f>
        <v>0.11161387631975872</v>
      </c>
    </row>
    <row r="31" spans="2:15">
      <c r="B31" s="47">
        <v>1</v>
      </c>
      <c r="C31" s="48" t="s">
        <v>755</v>
      </c>
      <c r="D31" s="927">
        <f>SUM(D32:D34)</f>
        <v>20.209999999999997</v>
      </c>
      <c r="E31" s="48"/>
      <c r="F31" s="48"/>
      <c r="G31" s="79"/>
      <c r="H31" s="80" t="s">
        <v>756</v>
      </c>
      <c r="J31" s="45">
        <v>1999</v>
      </c>
    </row>
    <row r="32" spans="2:15">
      <c r="B32" s="47">
        <v>1.1000000000000001</v>
      </c>
      <c r="C32" s="48" t="s">
        <v>757</v>
      </c>
      <c r="D32" s="151">
        <f>ROUND(D8*G32,2)</f>
        <v>5.5</v>
      </c>
      <c r="E32" s="48"/>
      <c r="F32" s="48"/>
      <c r="G32" s="81">
        <f>G25</f>
        <v>5.5E-2</v>
      </c>
      <c r="H32" s="48" t="s">
        <v>758</v>
      </c>
    </row>
    <row r="33" spans="2:10">
      <c r="B33" s="47">
        <v>1.2</v>
      </c>
      <c r="C33" s="48" t="s">
        <v>358</v>
      </c>
      <c r="D33" s="151">
        <f>ROUND(E33*F33*G33,2)</f>
        <v>14.33</v>
      </c>
      <c r="E33" s="48">
        <f>ROUND(D26*(1-D24)-D23,2)</f>
        <v>1706.28</v>
      </c>
      <c r="F33" s="83">
        <v>0.7</v>
      </c>
      <c r="G33" s="81">
        <v>1.2E-2</v>
      </c>
      <c r="H33" s="48" t="s">
        <v>759</v>
      </c>
    </row>
    <row r="34" spans="2:10">
      <c r="B34" s="47">
        <v>1.3</v>
      </c>
      <c r="C34" s="48" t="s">
        <v>361</v>
      </c>
      <c r="D34" s="151">
        <f>ROUND(E34*F34/10000,2)</f>
        <v>0.38</v>
      </c>
      <c r="E34" s="48">
        <f>结果汇总!D14</f>
        <v>2526.5300000000002</v>
      </c>
      <c r="F34" s="84">
        <f>'收益法 (商)'!F34</f>
        <v>1.5</v>
      </c>
      <c r="G34" s="81"/>
      <c r="H34" s="48" t="s">
        <v>760</v>
      </c>
    </row>
    <row r="35" spans="2:10">
      <c r="B35" s="47">
        <v>2</v>
      </c>
      <c r="C35" s="48" t="s">
        <v>367</v>
      </c>
      <c r="D35" s="151">
        <f>ROUND(D26*G35,2)</f>
        <v>1.86</v>
      </c>
      <c r="E35" s="48"/>
      <c r="F35" s="48"/>
      <c r="G35" s="81">
        <v>1E-3</v>
      </c>
      <c r="H35" s="48" t="s">
        <v>761</v>
      </c>
    </row>
    <row r="36" spans="2:10">
      <c r="B36" s="47">
        <v>3</v>
      </c>
      <c r="C36" s="48" t="s">
        <v>370</v>
      </c>
      <c r="D36" s="151">
        <f>ROUND(D28*G36,2)</f>
        <v>0.44</v>
      </c>
      <c r="E36" s="48"/>
      <c r="F36" s="48"/>
      <c r="G36" s="85">
        <v>2.5000000000000001E-4</v>
      </c>
      <c r="H36" s="48" t="s">
        <v>762</v>
      </c>
      <c r="I36" s="110"/>
      <c r="J36" s="111"/>
    </row>
    <row r="37" spans="2:10">
      <c r="B37" s="47">
        <v>4</v>
      </c>
      <c r="C37" s="48" t="s">
        <v>373</v>
      </c>
      <c r="D37" s="151">
        <f>ROUND(D8*G37,2)</f>
        <v>1</v>
      </c>
      <c r="E37" s="48"/>
      <c r="F37" s="48"/>
      <c r="G37" s="81">
        <v>0.01</v>
      </c>
      <c r="H37" s="48" t="s">
        <v>356</v>
      </c>
      <c r="I37" s="110"/>
      <c r="J37" s="111"/>
    </row>
    <row r="38" spans="2:10">
      <c r="B38" s="47">
        <v>5</v>
      </c>
      <c r="C38" s="48" t="s">
        <v>763</v>
      </c>
      <c r="D38" s="926">
        <f>ROUND(D31+D35+D36+D37,0)</f>
        <v>24</v>
      </c>
      <c r="E38" s="48"/>
      <c r="F38" s="48"/>
      <c r="G38" s="48"/>
      <c r="H38" s="48"/>
      <c r="I38" s="110"/>
      <c r="J38" s="111"/>
    </row>
    <row r="39" spans="2:10">
      <c r="B39" s="1138" t="s">
        <v>764</v>
      </c>
      <c r="C39" s="1139"/>
      <c r="D39" s="1139"/>
      <c r="E39" s="1139"/>
      <c r="F39" s="1139"/>
      <c r="G39" s="1139"/>
      <c r="H39" s="1140"/>
      <c r="I39" s="110"/>
      <c r="J39" s="112"/>
    </row>
    <row r="40" spans="2:10">
      <c r="B40" s="47">
        <v>1</v>
      </c>
      <c r="C40" s="48" t="s">
        <v>765</v>
      </c>
      <c r="D40" s="86">
        <f>ROUND(D8-D38,0)</f>
        <v>76</v>
      </c>
      <c r="E40" s="48"/>
      <c r="F40" s="47" t="s">
        <v>766</v>
      </c>
      <c r="G40" s="87">
        <v>0.03</v>
      </c>
      <c r="H40" s="48"/>
      <c r="I40" s="110"/>
      <c r="J40" s="112"/>
    </row>
    <row r="41" spans="2:10">
      <c r="B41" s="47">
        <v>2</v>
      </c>
      <c r="C41" s="48" t="s">
        <v>767</v>
      </c>
      <c r="D41" s="88">
        <v>5.5E-2</v>
      </c>
      <c r="E41" s="48"/>
      <c r="F41" s="48"/>
      <c r="G41" s="48"/>
      <c r="H41" s="48"/>
    </row>
    <row r="42" spans="2:10">
      <c r="B42" s="47">
        <v>3</v>
      </c>
      <c r="C42" s="48" t="s">
        <v>327</v>
      </c>
      <c r="D42" s="89">
        <f>'收益法 (商)'!D42+10</f>
        <v>44.27</v>
      </c>
      <c r="E42" s="48"/>
      <c r="F42" s="48"/>
      <c r="G42" s="48"/>
      <c r="H42" s="921" t="s">
        <v>1046</v>
      </c>
      <c r="I42" s="113"/>
      <c r="J42" s="113"/>
    </row>
    <row r="43" spans="2:10">
      <c r="B43" s="47">
        <v>4</v>
      </c>
      <c r="C43" s="90" t="s">
        <v>104</v>
      </c>
      <c r="D43" s="86">
        <f>ROUND(D40/(D41-G40)*(1-POWER(((1+G40)/(1+D41)),D42)),0)</f>
        <v>1989</v>
      </c>
      <c r="E43" s="48"/>
      <c r="F43" s="91"/>
      <c r="G43" s="48"/>
      <c r="H43" s="921" t="s">
        <v>1047</v>
      </c>
      <c r="I43" s="113"/>
      <c r="J43" s="113"/>
    </row>
    <row r="44" spans="2:10">
      <c r="B44" s="47"/>
      <c r="C44" s="920" t="s">
        <v>1045</v>
      </c>
      <c r="D44" s="93">
        <f>ROUND(D43*10000/E5,0)</f>
        <v>124313</v>
      </c>
      <c r="E44" s="153"/>
      <c r="F44" s="94"/>
      <c r="G44" s="94"/>
      <c r="H44" s="94"/>
    </row>
    <row r="45" spans="2:10">
      <c r="B45" s="154"/>
      <c r="C45" s="155"/>
      <c r="D45" s="155"/>
    </row>
    <row r="46" spans="2:10">
      <c r="C46" s="156" t="s">
        <v>391</v>
      </c>
      <c r="D46" s="157">
        <f>ROUND(D28*D47,0)</f>
        <v>106</v>
      </c>
      <c r="E46" s="97"/>
      <c r="F46" s="97"/>
    </row>
    <row r="47" spans="2:10">
      <c r="C47" s="98" t="s">
        <v>392</v>
      </c>
      <c r="D47" s="99">
        <v>0.06</v>
      </c>
      <c r="E47" s="98" t="s">
        <v>393</v>
      </c>
      <c r="F47" s="99"/>
    </row>
    <row r="48" spans="2:10">
      <c r="C48" s="1063" t="s">
        <v>394</v>
      </c>
      <c r="D48" s="1064"/>
      <c r="E48" s="1064"/>
      <c r="F48" s="1065"/>
    </row>
    <row r="49" spans="1:9">
      <c r="C49" s="1066" t="s">
        <v>395</v>
      </c>
      <c r="D49" s="1066"/>
      <c r="E49" s="1067" t="s">
        <v>396</v>
      </c>
      <c r="F49" s="1068"/>
    </row>
    <row r="50" spans="1:9">
      <c r="C50" s="95" t="s">
        <v>397</v>
      </c>
      <c r="D50" s="100">
        <f>D46/D40</f>
        <v>1.3947368421052631</v>
      </c>
      <c r="E50" s="101"/>
      <c r="F50" s="100"/>
    </row>
    <row r="51" spans="1:9">
      <c r="C51" s="95" t="s">
        <v>398</v>
      </c>
      <c r="D51" s="100">
        <f>1-D50</f>
        <v>-0.39473684210526305</v>
      </c>
      <c r="E51" s="101"/>
      <c r="F51" s="102"/>
    </row>
    <row r="54" spans="1:9" s="142" customFormat="1">
      <c r="A54" s="1165" t="s">
        <v>785</v>
      </c>
      <c r="B54" s="1165"/>
      <c r="C54" s="1165"/>
      <c r="D54" s="1165"/>
      <c r="E54" s="1165"/>
      <c r="F54" s="1165"/>
      <c r="G54" s="1165"/>
      <c r="H54" s="1165"/>
      <c r="I54" s="1165"/>
    </row>
    <row r="55" spans="1:9" s="143" customFormat="1" ht="12">
      <c r="B55" s="158"/>
      <c r="C55" s="159" t="s">
        <v>103</v>
      </c>
      <c r="D55" s="160">
        <f>D28</f>
        <v>1767</v>
      </c>
      <c r="E55" s="161" t="s">
        <v>786</v>
      </c>
      <c r="F55" s="162">
        <f>D43-D55</f>
        <v>222</v>
      </c>
      <c r="G55" s="143" t="s">
        <v>787</v>
      </c>
    </row>
    <row r="56" spans="1:9" s="143" customFormat="1" ht="12">
      <c r="B56" s="158"/>
      <c r="C56" s="159" t="s">
        <v>788</v>
      </c>
      <c r="D56" s="160">
        <f>M25</f>
        <v>141</v>
      </c>
      <c r="E56" s="161" t="s">
        <v>789</v>
      </c>
      <c r="F56" s="162">
        <f>D40-D56</f>
        <v>-65</v>
      </c>
      <c r="G56" s="143" t="s">
        <v>790</v>
      </c>
    </row>
    <row r="57" spans="1:9" s="143" customFormat="1" ht="12">
      <c r="B57" s="158"/>
      <c r="C57" s="159" t="s">
        <v>778</v>
      </c>
      <c r="D57" s="163">
        <f>D55/D43</f>
        <v>0.88838612368024128</v>
      </c>
      <c r="E57" s="159" t="s">
        <v>779</v>
      </c>
      <c r="F57" s="163">
        <f>F55/D43</f>
        <v>0.11161387631975868</v>
      </c>
    </row>
    <row r="58" spans="1:9" s="143" customFormat="1" ht="12">
      <c r="B58" s="158"/>
      <c r="C58" s="164" t="s">
        <v>392</v>
      </c>
      <c r="D58" s="165" t="str">
        <f>N26</f>
        <v>范围8%-10%</v>
      </c>
      <c r="E58" s="161" t="s">
        <v>791</v>
      </c>
      <c r="F58" s="166">
        <f>F56/F55</f>
        <v>-0.2927927927927928</v>
      </c>
      <c r="G58" s="143" t="s">
        <v>792</v>
      </c>
    </row>
    <row r="59" spans="1:9" s="142" customFormat="1">
      <c r="B59" s="167"/>
    </row>
    <row r="60" spans="1:9" s="144" customFormat="1" ht="12">
      <c r="B60" s="168"/>
      <c r="C60" s="169" t="s">
        <v>793</v>
      </c>
      <c r="D60" s="170">
        <f>ROUND(D57*M26+F57*F58,4)</f>
        <v>3.8399999999999997E-2</v>
      </c>
      <c r="E60" s="171" t="s">
        <v>794</v>
      </c>
    </row>
    <row r="61" spans="1:9" s="145" customFormat="1">
      <c r="B61" s="172"/>
      <c r="C61" s="173"/>
      <c r="D61" s="174"/>
    </row>
    <row r="62" spans="1:9" s="146" customFormat="1" ht="12">
      <c r="B62" s="175"/>
      <c r="C62" s="176" t="s">
        <v>795</v>
      </c>
    </row>
    <row r="63" spans="1:9" s="147" customFormat="1" ht="12">
      <c r="B63" s="177"/>
      <c r="C63" s="178" t="s">
        <v>104</v>
      </c>
      <c r="D63" s="179">
        <f>D43</f>
        <v>1989</v>
      </c>
    </row>
    <row r="64" spans="1:9" s="147" customFormat="1" ht="12">
      <c r="B64" s="177"/>
      <c r="C64" s="178" t="s">
        <v>796</v>
      </c>
      <c r="D64" s="180">
        <f>D40/D63</f>
        <v>3.8210155857214684E-2</v>
      </c>
      <c r="E64" s="147" t="s">
        <v>797</v>
      </c>
    </row>
  </sheetData>
  <mergeCells count="12">
    <mergeCell ref="B39:H39"/>
    <mergeCell ref="C48:F48"/>
    <mergeCell ref="C49:D49"/>
    <mergeCell ref="E49:F49"/>
    <mergeCell ref="A54:I54"/>
    <mergeCell ref="B29:H29"/>
    <mergeCell ref="G23:G24"/>
    <mergeCell ref="B1:H1"/>
    <mergeCell ref="B2:H2"/>
    <mergeCell ref="B9:H9"/>
    <mergeCell ref="D19:H19"/>
    <mergeCell ref="D22:H22"/>
  </mergeCells>
  <phoneticPr fontId="97" type="noConversion"/>
  <pageMargins left="0.69861111111111107" right="0.69861111111111107" top="0.75" bottom="0.75" header="0.3" footer="0.3"/>
  <pageSetup paperSize="9" scale="6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workbookViewId="0">
      <selection activeCell="R28" sqref="R28"/>
    </sheetView>
  </sheetViews>
  <sheetFormatPr defaultColWidth="9" defaultRowHeight="13.5"/>
  <sheetData/>
  <phoneticPr fontId="97" type="noConversion"/>
  <pageMargins left="0.74803149606299213" right="0.74803149606299213" top="0.98425196850393704" bottom="0.98425196850393704" header="0.51181102362204722" footer="0.51181102362204722"/>
  <pageSetup paperSize="9" scale="75" orientation="landscape" r:id="rId1"/>
  <headerFooter alignWithMargins="0"/>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16" sqref="G16"/>
    </sheetView>
  </sheetViews>
  <sheetFormatPr defaultColWidth="14.625" defaultRowHeight="13.5"/>
  <cols>
    <col min="1" max="1" width="24.375" style="934" customWidth="1"/>
    <col min="2" max="16384" width="14.625" style="934"/>
  </cols>
  <sheetData>
    <row r="1" spans="1:9" ht="16.5">
      <c r="A1" s="932" t="s">
        <v>1061</v>
      </c>
      <c r="B1" s="932">
        <f>SUM(B14:B23)</f>
        <v>51136.03</v>
      </c>
      <c r="C1" s="933"/>
      <c r="D1" s="933"/>
      <c r="E1" s="933"/>
      <c r="F1" s="933"/>
    </row>
    <row r="2" spans="1:9" ht="16.5">
      <c r="A2" s="932" t="s">
        <v>1062</v>
      </c>
      <c r="B2" s="932">
        <f>SUM(C14:C23)</f>
        <v>21989.41</v>
      </c>
      <c r="C2" s="933"/>
      <c r="D2" s="933"/>
      <c r="E2" s="933"/>
      <c r="F2" s="933"/>
    </row>
    <row r="3" spans="1:9" ht="16.5">
      <c r="A3" s="932" t="s">
        <v>1063</v>
      </c>
      <c r="B3" s="935">
        <f>[1]项目基本情况!D3</f>
        <v>0</v>
      </c>
      <c r="C3" s="933"/>
      <c r="D3" s="933"/>
      <c r="E3" s="933"/>
      <c r="F3" s="933"/>
    </row>
    <row r="4" spans="1:9" ht="33">
      <c r="A4" s="932" t="s">
        <v>1064</v>
      </c>
      <c r="B4" s="932" t="s">
        <v>1065</v>
      </c>
      <c r="C4" s="932" t="s">
        <v>1066</v>
      </c>
      <c r="D4" s="932" t="s">
        <v>1067</v>
      </c>
      <c r="E4" s="933"/>
      <c r="F4" s="933"/>
    </row>
    <row r="5" spans="1:9" ht="16.5">
      <c r="A5" s="932" t="s">
        <v>1068</v>
      </c>
      <c r="B5" s="932">
        <f>SUM(D14:D23)</f>
        <v>78031</v>
      </c>
      <c r="C5" s="932">
        <f>ROUND(B5*10000/$B$1,0)</f>
        <v>15259</v>
      </c>
      <c r="D5" s="932">
        <f>ROUND(B5*10000/$B$2,0)</f>
        <v>35486</v>
      </c>
      <c r="E5" s="933"/>
      <c r="F5" s="933"/>
    </row>
    <row r="6" spans="1:9" ht="16.5">
      <c r="A6" s="932" t="s">
        <v>1069</v>
      </c>
      <c r="B6" s="932">
        <f>SUM(G14:G23)</f>
        <v>78031</v>
      </c>
      <c r="C6" s="932">
        <f t="shared" ref="C6:C8" si="0">ROUND(B6*10000/$B$1,0)</f>
        <v>15259</v>
      </c>
      <c r="D6" s="932">
        <f t="shared" ref="D6:D8" si="1">ROUND(B6*10000/$B$2,0)</f>
        <v>35486</v>
      </c>
      <c r="E6" s="933"/>
      <c r="F6" s="933"/>
    </row>
    <row r="7" spans="1:9" ht="16.5">
      <c r="A7" s="932" t="s">
        <v>1070</v>
      </c>
      <c r="B7" s="932">
        <f>SUM(H14:H23)</f>
        <v>0</v>
      </c>
      <c r="C7" s="932">
        <f t="shared" si="0"/>
        <v>0</v>
      </c>
      <c r="D7" s="932">
        <f t="shared" si="1"/>
        <v>0</v>
      </c>
      <c r="E7" s="933"/>
      <c r="F7" s="933"/>
    </row>
    <row r="8" spans="1:9" ht="16.5">
      <c r="A8" s="932" t="s">
        <v>1071</v>
      </c>
      <c r="B8" s="932">
        <f>SUM(I14:I23)</f>
        <v>0</v>
      </c>
      <c r="C8" s="932">
        <f t="shared" si="0"/>
        <v>0</v>
      </c>
      <c r="D8" s="932">
        <f t="shared" si="1"/>
        <v>0</v>
      </c>
      <c r="E8" s="933"/>
      <c r="F8" s="933"/>
    </row>
    <row r="9" spans="1:9" ht="16.5">
      <c r="A9" s="932" t="s">
        <v>1072</v>
      </c>
      <c r="B9" s="936"/>
      <c r="C9" s="933"/>
      <c r="D9" s="933"/>
      <c r="E9" s="933"/>
      <c r="F9" s="933"/>
    </row>
    <row r="10" spans="1:9" ht="16.5">
      <c r="A10" s="932" t="s">
        <v>1073</v>
      </c>
      <c r="B10" s="936"/>
      <c r="C10" s="933"/>
      <c r="D10" s="933"/>
      <c r="E10" s="933"/>
      <c r="F10" s="933"/>
    </row>
    <row r="11" spans="1:9" ht="16.5">
      <c r="A11" s="932" t="s">
        <v>1074</v>
      </c>
      <c r="B11" s="936"/>
      <c r="C11" s="933"/>
      <c r="D11" s="933"/>
      <c r="E11" s="933"/>
      <c r="F11" s="933"/>
    </row>
    <row r="12" spans="1:9" ht="16.5">
      <c r="A12" s="933"/>
      <c r="B12" s="933"/>
      <c r="C12" s="933"/>
      <c r="D12" s="933"/>
      <c r="E12" s="933"/>
      <c r="F12" s="933"/>
    </row>
    <row r="13" spans="1:9" ht="33">
      <c r="A13" s="937" t="s">
        <v>1075</v>
      </c>
      <c r="B13" s="938" t="s">
        <v>1061</v>
      </c>
      <c r="C13" s="938" t="s">
        <v>1062</v>
      </c>
      <c r="D13" s="938" t="s">
        <v>1076</v>
      </c>
      <c r="E13" s="932" t="s">
        <v>1077</v>
      </c>
      <c r="F13" s="932" t="s">
        <v>1067</v>
      </c>
      <c r="G13" s="938" t="s">
        <v>1078</v>
      </c>
      <c r="H13" s="938" t="s">
        <v>1079</v>
      </c>
      <c r="I13" s="938" t="s">
        <v>1080</v>
      </c>
    </row>
    <row r="14" spans="1:9" ht="16.5">
      <c r="A14" s="939" t="s">
        <v>1081</v>
      </c>
      <c r="B14" s="938">
        <f>结果汇总!C13</f>
        <v>45260.62</v>
      </c>
      <c r="C14" s="938">
        <f>结果汇总!D13</f>
        <v>19462.88</v>
      </c>
      <c r="D14" s="938">
        <f>结果汇总!I13</f>
        <v>76133</v>
      </c>
      <c r="E14" s="938">
        <f>ROUND(D14*10000/B14,0)</f>
        <v>16821</v>
      </c>
      <c r="F14" s="938">
        <f>ROUND(D14*10000/C14,0)</f>
        <v>39117</v>
      </c>
      <c r="G14" s="938">
        <f>D14</f>
        <v>76133</v>
      </c>
      <c r="H14" s="938" t="str">
        <f>[1]结果表!C45</f>
        <v>——</v>
      </c>
      <c r="I14" s="938" t="str">
        <f>[1]结果表!C46</f>
        <v>——</v>
      </c>
    </row>
    <row r="15" spans="1:9" ht="16.5">
      <c r="A15" s="939" t="s">
        <v>1082</v>
      </c>
      <c r="B15" s="940">
        <f>结果汇总!C14</f>
        <v>5875.4099999999962</v>
      </c>
      <c r="C15" s="940">
        <f>结果汇总!D14</f>
        <v>2526.5300000000002</v>
      </c>
      <c r="D15" s="940">
        <f>结果汇总!I14</f>
        <v>1898</v>
      </c>
      <c r="E15" s="938">
        <f t="shared" ref="E15:E23" si="2">ROUND(D15*10000/B15,0)</f>
        <v>3230</v>
      </c>
      <c r="F15" s="938">
        <f t="shared" ref="F15:F23" si="3">ROUND(D15*10000/C15,0)</f>
        <v>7512</v>
      </c>
      <c r="G15" s="941">
        <f>D15</f>
        <v>1898</v>
      </c>
      <c r="H15" s="941"/>
      <c r="I15" s="940"/>
    </row>
    <row r="16" spans="1:9" ht="16.5">
      <c r="A16" s="939" t="s">
        <v>1083</v>
      </c>
      <c r="B16" s="940"/>
      <c r="C16" s="940"/>
      <c r="D16" s="940"/>
      <c r="E16" s="938" t="e">
        <f t="shared" si="2"/>
        <v>#DIV/0!</v>
      </c>
      <c r="F16" s="938" t="e">
        <f t="shared" si="3"/>
        <v>#DIV/0!</v>
      </c>
      <c r="G16" s="941"/>
      <c r="H16" s="941"/>
      <c r="I16" s="940"/>
    </row>
    <row r="17" spans="1:9" ht="16.5">
      <c r="A17" s="939" t="s">
        <v>1084</v>
      </c>
      <c r="B17" s="940"/>
      <c r="C17" s="940"/>
      <c r="D17" s="940"/>
      <c r="E17" s="938" t="e">
        <f t="shared" si="2"/>
        <v>#DIV/0!</v>
      </c>
      <c r="F17" s="938" t="e">
        <f t="shared" si="3"/>
        <v>#DIV/0!</v>
      </c>
      <c r="G17" s="941"/>
      <c r="H17" s="941"/>
      <c r="I17" s="940"/>
    </row>
    <row r="18" spans="1:9" ht="16.5">
      <c r="A18" s="939" t="s">
        <v>1085</v>
      </c>
      <c r="B18" s="940"/>
      <c r="C18" s="940"/>
      <c r="D18" s="940"/>
      <c r="E18" s="938" t="e">
        <f t="shared" si="2"/>
        <v>#DIV/0!</v>
      </c>
      <c r="F18" s="938" t="e">
        <f t="shared" si="3"/>
        <v>#DIV/0!</v>
      </c>
      <c r="G18" s="940"/>
      <c r="H18" s="940"/>
      <c r="I18" s="940"/>
    </row>
    <row r="19" spans="1:9" ht="16.5">
      <c r="A19" s="939" t="s">
        <v>1086</v>
      </c>
      <c r="B19" s="940"/>
      <c r="C19" s="940"/>
      <c r="D19" s="940"/>
      <c r="E19" s="938" t="e">
        <f t="shared" si="2"/>
        <v>#DIV/0!</v>
      </c>
      <c r="F19" s="938" t="e">
        <f t="shared" si="3"/>
        <v>#DIV/0!</v>
      </c>
      <c r="G19" s="940"/>
      <c r="H19" s="940"/>
      <c r="I19" s="940"/>
    </row>
    <row r="20" spans="1:9" ht="16.5">
      <c r="A20" s="939" t="s">
        <v>1087</v>
      </c>
      <c r="B20" s="940"/>
      <c r="C20" s="940"/>
      <c r="D20" s="940"/>
      <c r="E20" s="938" t="e">
        <f t="shared" si="2"/>
        <v>#DIV/0!</v>
      </c>
      <c r="F20" s="938" t="e">
        <f t="shared" si="3"/>
        <v>#DIV/0!</v>
      </c>
      <c r="G20" s="940"/>
      <c r="H20" s="940"/>
      <c r="I20" s="940"/>
    </row>
    <row r="21" spans="1:9" ht="16.5">
      <c r="A21" s="939" t="s">
        <v>1088</v>
      </c>
      <c r="B21" s="940"/>
      <c r="C21" s="940"/>
      <c r="D21" s="940"/>
      <c r="E21" s="938" t="e">
        <f t="shared" si="2"/>
        <v>#DIV/0!</v>
      </c>
      <c r="F21" s="938" t="e">
        <f t="shared" si="3"/>
        <v>#DIV/0!</v>
      </c>
      <c r="G21" s="940"/>
      <c r="H21" s="940"/>
      <c r="I21" s="940"/>
    </row>
    <row r="22" spans="1:9" ht="16.5">
      <c r="A22" s="939" t="s">
        <v>1089</v>
      </c>
      <c r="B22" s="940"/>
      <c r="C22" s="940"/>
      <c r="D22" s="940"/>
      <c r="E22" s="938" t="e">
        <f t="shared" si="2"/>
        <v>#DIV/0!</v>
      </c>
      <c r="F22" s="938" t="e">
        <f t="shared" si="3"/>
        <v>#DIV/0!</v>
      </c>
      <c r="G22" s="940"/>
      <c r="H22" s="940"/>
      <c r="I22" s="940"/>
    </row>
    <row r="23" spans="1:9" ht="16.5">
      <c r="A23" s="939" t="s">
        <v>1090</v>
      </c>
      <c r="B23" s="940"/>
      <c r="C23" s="940"/>
      <c r="D23" s="940"/>
      <c r="E23" s="932" t="e">
        <f t="shared" si="2"/>
        <v>#DIV/0!</v>
      </c>
      <c r="F23" s="932" t="e">
        <f t="shared" si="3"/>
        <v>#DIV/0!</v>
      </c>
      <c r="G23" s="940"/>
      <c r="H23" s="940"/>
      <c r="I23" s="940"/>
    </row>
  </sheetData>
  <sheetProtection sheet="1" objects="1" scenarios="1" formatCells="0" formatColumns="0" formatRows="0"/>
  <phoneticPr fontId="93"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0"/>
  <sheetViews>
    <sheetView view="pageBreakPreview" zoomScale="115" workbookViewId="0">
      <selection activeCell="C23" sqref="C23"/>
    </sheetView>
  </sheetViews>
  <sheetFormatPr defaultColWidth="9" defaultRowHeight="13.5"/>
  <cols>
    <col min="1" max="1" width="4.5" customWidth="1"/>
    <col min="2" max="2" width="16.125" bestFit="1" customWidth="1"/>
    <col min="12" max="12" width="6.25" customWidth="1"/>
    <col min="21" max="21" width="4.25" customWidth="1"/>
  </cols>
  <sheetData>
    <row r="1" spans="1:25" ht="14.25">
      <c r="A1" s="1009" t="s">
        <v>831</v>
      </c>
      <c r="B1" s="1010"/>
      <c r="C1" s="1010"/>
      <c r="D1" s="1010"/>
      <c r="E1" s="1010"/>
      <c r="F1" s="1010"/>
      <c r="G1" s="1010"/>
      <c r="H1" s="1010"/>
      <c r="I1" s="1010"/>
      <c r="J1" s="1010"/>
      <c r="K1" s="1010"/>
      <c r="L1" s="1010"/>
      <c r="M1" s="1010"/>
      <c r="N1" s="1010"/>
      <c r="O1" s="1010"/>
      <c r="P1" s="1010"/>
      <c r="Q1" s="1010"/>
      <c r="R1" s="1010"/>
      <c r="S1" s="1010"/>
      <c r="T1" s="1010"/>
      <c r="U1" s="1010"/>
      <c r="V1" s="1010"/>
      <c r="W1" s="1010"/>
      <c r="X1" s="1010"/>
      <c r="Y1" s="1011"/>
    </row>
    <row r="2" spans="1:25">
      <c r="A2" s="1012" t="s">
        <v>238</v>
      </c>
      <c r="B2" s="1012"/>
      <c r="C2" s="1012"/>
      <c r="D2" s="1012"/>
      <c r="E2" s="1012"/>
      <c r="F2" s="1012"/>
      <c r="G2" s="1012"/>
      <c r="H2" s="1012"/>
      <c r="I2" s="1012"/>
      <c r="J2" s="1012"/>
      <c r="K2" s="1023"/>
      <c r="L2" s="1012" t="s">
        <v>239</v>
      </c>
      <c r="M2" s="1012"/>
      <c r="N2" s="1012"/>
      <c r="O2" s="1012"/>
      <c r="P2" s="1012"/>
      <c r="Q2" s="1012"/>
      <c r="R2" s="1012"/>
      <c r="S2" s="1012"/>
      <c r="T2" s="1023"/>
      <c r="U2" s="1013" t="s">
        <v>240</v>
      </c>
      <c r="V2" s="1012"/>
      <c r="W2" s="1012"/>
      <c r="X2" s="1012"/>
      <c r="Y2" s="1014"/>
    </row>
    <row r="3" spans="1:25">
      <c r="A3" s="1017" t="s">
        <v>241</v>
      </c>
      <c r="B3" s="1018"/>
      <c r="C3" s="1015" t="s">
        <v>242</v>
      </c>
      <c r="D3" s="1016"/>
      <c r="E3" s="1015" t="s">
        <v>832</v>
      </c>
      <c r="F3" s="1016"/>
      <c r="G3" s="1015" t="s">
        <v>833</v>
      </c>
      <c r="H3" s="1016"/>
      <c r="I3" s="1015" t="s">
        <v>834</v>
      </c>
      <c r="J3" s="1016"/>
      <c r="K3" s="1024"/>
      <c r="L3" s="1017" t="s">
        <v>241</v>
      </c>
      <c r="M3" s="1018"/>
      <c r="N3" s="1017" t="str">
        <f t="shared" ref="N3:R3" si="0">E3</f>
        <v>案例J</v>
      </c>
      <c r="O3" s="1018"/>
      <c r="P3" s="1017" t="str">
        <f t="shared" si="0"/>
        <v>案例K</v>
      </c>
      <c r="Q3" s="1018"/>
      <c r="R3" s="1017" t="str">
        <f t="shared" si="0"/>
        <v>案例L</v>
      </c>
      <c r="S3" s="1018"/>
      <c r="T3" s="1024"/>
      <c r="U3" s="1017" t="s">
        <v>241</v>
      </c>
      <c r="V3" s="1018"/>
      <c r="W3" s="1021" t="str">
        <f>N3</f>
        <v>案例J</v>
      </c>
      <c r="X3" s="1021" t="str">
        <f>P3</f>
        <v>案例K</v>
      </c>
      <c r="Y3" s="1021" t="str">
        <f>R3</f>
        <v>案例L</v>
      </c>
    </row>
    <row r="4" spans="1:25">
      <c r="A4" s="1019"/>
      <c r="B4" s="1020"/>
      <c r="C4" s="1015" t="s">
        <v>246</v>
      </c>
      <c r="D4" s="1016"/>
      <c r="E4" s="1015" t="s">
        <v>835</v>
      </c>
      <c r="F4" s="1016"/>
      <c r="G4" s="1015" t="s">
        <v>836</v>
      </c>
      <c r="H4" s="1016"/>
      <c r="I4" s="1015" t="s">
        <v>248</v>
      </c>
      <c r="J4" s="1016"/>
      <c r="K4" s="1024"/>
      <c r="L4" s="1019"/>
      <c r="M4" s="1020"/>
      <c r="N4" s="1029"/>
      <c r="O4" s="1030"/>
      <c r="P4" s="1019"/>
      <c r="Q4" s="1020"/>
      <c r="R4" s="1019"/>
      <c r="S4" s="1020"/>
      <c r="T4" s="1024"/>
      <c r="U4" s="1019"/>
      <c r="V4" s="1020"/>
      <c r="W4" s="1022"/>
      <c r="X4" s="1022"/>
      <c r="Y4" s="1022"/>
    </row>
    <row r="5" spans="1:25">
      <c r="A5" s="1007" t="s">
        <v>250</v>
      </c>
      <c r="B5" s="1036"/>
      <c r="C5" s="116" t="s">
        <v>251</v>
      </c>
      <c r="D5" s="117">
        <v>100</v>
      </c>
      <c r="E5" s="116" t="s">
        <v>251</v>
      </c>
      <c r="F5" s="117">
        <v>100</v>
      </c>
      <c r="G5" s="116" t="s">
        <v>251</v>
      </c>
      <c r="H5" s="117">
        <v>100</v>
      </c>
      <c r="I5" s="116" t="s">
        <v>251</v>
      </c>
      <c r="J5" s="117">
        <v>100</v>
      </c>
      <c r="K5" s="1024"/>
      <c r="L5" s="1007" t="str">
        <f t="shared" ref="L5:L7" si="1">A5</f>
        <v>交易时间</v>
      </c>
      <c r="M5" s="1008"/>
      <c r="N5" s="135" t="s">
        <v>252</v>
      </c>
      <c r="O5" s="136">
        <f t="shared" ref="O5:O7" si="2">F5</f>
        <v>100</v>
      </c>
      <c r="P5" s="135" t="s">
        <v>252</v>
      </c>
      <c r="Q5" s="136">
        <f t="shared" ref="Q5:Q20" si="3">H5</f>
        <v>100</v>
      </c>
      <c r="R5" s="135" t="s">
        <v>252</v>
      </c>
      <c r="S5" s="136">
        <f t="shared" ref="S5:S7" si="4">J5</f>
        <v>100</v>
      </c>
      <c r="T5" s="1024"/>
      <c r="U5" s="1007" t="str">
        <f t="shared" ref="U5:U7" si="5">L5</f>
        <v>交易时间</v>
      </c>
      <c r="V5" s="1036"/>
      <c r="W5" s="117">
        <f t="shared" ref="W5:W9" si="6">D5/F5</f>
        <v>1</v>
      </c>
      <c r="X5" s="117">
        <f t="shared" ref="X5:X9" si="7">D5/H5</f>
        <v>1</v>
      </c>
      <c r="Y5" s="117">
        <f t="shared" ref="Y5:Y9" si="8">D5/J5</f>
        <v>1</v>
      </c>
    </row>
    <row r="6" spans="1:25">
      <c r="A6" s="1007" t="s">
        <v>253</v>
      </c>
      <c r="B6" s="1036"/>
      <c r="C6" s="116" t="s">
        <v>254</v>
      </c>
      <c r="D6" s="117">
        <v>100</v>
      </c>
      <c r="E6" s="116" t="s">
        <v>254</v>
      </c>
      <c r="F6" s="117">
        <v>100</v>
      </c>
      <c r="G6" s="116" t="s">
        <v>254</v>
      </c>
      <c r="H6" s="117">
        <v>100</v>
      </c>
      <c r="I6" s="116" t="s">
        <v>254</v>
      </c>
      <c r="J6" s="117">
        <v>100</v>
      </c>
      <c r="K6" s="1024"/>
      <c r="L6" s="1007" t="str">
        <f t="shared" si="1"/>
        <v>交易情况</v>
      </c>
      <c r="M6" s="1008"/>
      <c r="N6" s="135" t="s">
        <v>252</v>
      </c>
      <c r="O6" s="136">
        <f t="shared" si="2"/>
        <v>100</v>
      </c>
      <c r="P6" s="135" t="s">
        <v>252</v>
      </c>
      <c r="Q6" s="136">
        <f t="shared" si="3"/>
        <v>100</v>
      </c>
      <c r="R6" s="135" t="s">
        <v>252</v>
      </c>
      <c r="S6" s="136">
        <f t="shared" si="4"/>
        <v>100</v>
      </c>
      <c r="T6" s="1024"/>
      <c r="U6" s="1007" t="str">
        <f t="shared" si="5"/>
        <v>交易情况</v>
      </c>
      <c r="V6" s="1036"/>
      <c r="W6" s="117">
        <f t="shared" si="6"/>
        <v>1</v>
      </c>
      <c r="X6" s="117">
        <f t="shared" si="7"/>
        <v>1</v>
      </c>
      <c r="Y6" s="117">
        <f t="shared" si="8"/>
        <v>1</v>
      </c>
    </row>
    <row r="7" spans="1:25">
      <c r="A7" s="1181" t="s">
        <v>255</v>
      </c>
      <c r="B7" s="118" t="s">
        <v>256</v>
      </c>
      <c r="C7" s="119" t="s">
        <v>72</v>
      </c>
      <c r="D7" s="117">
        <v>100</v>
      </c>
      <c r="E7" s="119" t="s">
        <v>72</v>
      </c>
      <c r="F7" s="117">
        <v>100</v>
      </c>
      <c r="G7" s="119" t="s">
        <v>72</v>
      </c>
      <c r="H7" s="117">
        <v>100</v>
      </c>
      <c r="I7" s="119" t="s">
        <v>72</v>
      </c>
      <c r="J7" s="117">
        <v>100</v>
      </c>
      <c r="K7" s="1024"/>
      <c r="L7" s="1181" t="str">
        <f t="shared" si="1"/>
        <v>权益状况</v>
      </c>
      <c r="M7" s="137" t="str">
        <f>B7</f>
        <v>土地用途</v>
      </c>
      <c r="N7" s="135" t="s">
        <v>252</v>
      </c>
      <c r="O7" s="136">
        <f t="shared" si="2"/>
        <v>100</v>
      </c>
      <c r="P7" s="135" t="s">
        <v>252</v>
      </c>
      <c r="Q7" s="136">
        <f t="shared" si="3"/>
        <v>100</v>
      </c>
      <c r="R7" s="135" t="s">
        <v>252</v>
      </c>
      <c r="S7" s="136">
        <f t="shared" si="4"/>
        <v>100</v>
      </c>
      <c r="T7" s="1024"/>
      <c r="U7" s="1181" t="str">
        <f t="shared" si="5"/>
        <v>权益状况</v>
      </c>
      <c r="V7" s="137" t="str">
        <f>M7</f>
        <v>土地用途</v>
      </c>
      <c r="W7" s="117">
        <f t="shared" si="6"/>
        <v>1</v>
      </c>
      <c r="X7" s="117">
        <f t="shared" si="7"/>
        <v>1</v>
      </c>
      <c r="Y7" s="117">
        <f t="shared" si="8"/>
        <v>1</v>
      </c>
    </row>
    <row r="8" spans="1:25" s="114" customFormat="1">
      <c r="A8" s="1182"/>
      <c r="B8" s="120" t="s">
        <v>258</v>
      </c>
      <c r="C8" s="121" t="s">
        <v>837</v>
      </c>
      <c r="D8" s="122">
        <v>100</v>
      </c>
      <c r="E8" s="121" t="s">
        <v>706</v>
      </c>
      <c r="F8" s="122">
        <v>102</v>
      </c>
      <c r="G8" s="121" t="s">
        <v>706</v>
      </c>
      <c r="H8" s="122">
        <v>102</v>
      </c>
      <c r="I8" s="121" t="s">
        <v>706</v>
      </c>
      <c r="J8" s="122">
        <v>102</v>
      </c>
      <c r="K8" s="1024"/>
      <c r="L8" s="1182"/>
      <c r="M8" s="138" t="str">
        <f t="shared" ref="M8:M20" si="9">B8</f>
        <v>土地使用年限</v>
      </c>
      <c r="N8" s="139" t="s">
        <v>252</v>
      </c>
      <c r="O8" s="140">
        <f t="shared" ref="O8:O20" si="10">F8</f>
        <v>102</v>
      </c>
      <c r="P8" s="139" t="s">
        <v>252</v>
      </c>
      <c r="Q8" s="140">
        <f t="shared" si="3"/>
        <v>102</v>
      </c>
      <c r="R8" s="139" t="s">
        <v>252</v>
      </c>
      <c r="S8" s="140">
        <f t="shared" ref="S8:S20" si="11">J8</f>
        <v>102</v>
      </c>
      <c r="T8" s="1025"/>
      <c r="U8" s="1182"/>
      <c r="V8" s="138" t="str">
        <f t="shared" ref="V8:V20" si="12">M8</f>
        <v>土地使用年限</v>
      </c>
      <c r="W8" s="122">
        <f t="shared" si="6"/>
        <v>0.98039215686274506</v>
      </c>
      <c r="X8" s="122">
        <f t="shared" si="7"/>
        <v>0.98039215686274506</v>
      </c>
      <c r="Y8" s="122">
        <f t="shared" si="8"/>
        <v>0.98039215686274506</v>
      </c>
    </row>
    <row r="9" spans="1:25" s="114" customFormat="1">
      <c r="A9" s="1183" t="s">
        <v>261</v>
      </c>
      <c r="B9" s="123" t="s">
        <v>262</v>
      </c>
      <c r="C9" s="121" t="s">
        <v>838</v>
      </c>
      <c r="D9" s="122">
        <v>100</v>
      </c>
      <c r="E9" s="121" t="s">
        <v>839</v>
      </c>
      <c r="F9" s="122">
        <v>102</v>
      </c>
      <c r="G9" s="121" t="s">
        <v>840</v>
      </c>
      <c r="H9" s="122">
        <v>98</v>
      </c>
      <c r="I9" s="121" t="s">
        <v>838</v>
      </c>
      <c r="J9" s="122">
        <v>100</v>
      </c>
      <c r="K9" s="1024"/>
      <c r="L9" s="1183" t="str">
        <f>A9</f>
        <v>区位状况</v>
      </c>
      <c r="M9" s="138" t="str">
        <f t="shared" si="9"/>
        <v>土地级别</v>
      </c>
      <c r="N9" s="139" t="s">
        <v>252</v>
      </c>
      <c r="O9" s="140">
        <f t="shared" si="10"/>
        <v>102</v>
      </c>
      <c r="P9" s="139" t="s">
        <v>252</v>
      </c>
      <c r="Q9" s="140">
        <f t="shared" si="3"/>
        <v>98</v>
      </c>
      <c r="R9" s="139" t="s">
        <v>252</v>
      </c>
      <c r="S9" s="140">
        <f t="shared" si="11"/>
        <v>100</v>
      </c>
      <c r="T9" s="1025"/>
      <c r="U9" s="1183" t="str">
        <f>L9</f>
        <v>区位状况</v>
      </c>
      <c r="V9" s="138" t="str">
        <f t="shared" si="12"/>
        <v>土地级别</v>
      </c>
      <c r="W9" s="122">
        <f t="shared" si="6"/>
        <v>0.98039215686274506</v>
      </c>
      <c r="X9" s="122">
        <f t="shared" si="7"/>
        <v>1.0204081632653061</v>
      </c>
      <c r="Y9" s="122">
        <f t="shared" si="8"/>
        <v>1</v>
      </c>
    </row>
    <row r="10" spans="1:25">
      <c r="A10" s="1183"/>
      <c r="B10" s="124" t="s">
        <v>266</v>
      </c>
      <c r="C10" s="119" t="s">
        <v>265</v>
      </c>
      <c r="D10" s="117">
        <v>100</v>
      </c>
      <c r="E10" s="119" t="s">
        <v>265</v>
      </c>
      <c r="F10" s="117">
        <v>100</v>
      </c>
      <c r="G10" s="119" t="s">
        <v>265</v>
      </c>
      <c r="H10" s="117">
        <v>100</v>
      </c>
      <c r="I10" s="119" t="s">
        <v>265</v>
      </c>
      <c r="J10" s="117">
        <v>100</v>
      </c>
      <c r="K10" s="1024"/>
      <c r="L10" s="1183"/>
      <c r="M10" s="137" t="str">
        <f t="shared" si="9"/>
        <v>交通便捷度</v>
      </c>
      <c r="N10" s="135" t="s">
        <v>252</v>
      </c>
      <c r="O10" s="136">
        <f t="shared" si="10"/>
        <v>100</v>
      </c>
      <c r="P10" s="135" t="s">
        <v>252</v>
      </c>
      <c r="Q10" s="136">
        <f t="shared" si="3"/>
        <v>100</v>
      </c>
      <c r="R10" s="135" t="s">
        <v>252</v>
      </c>
      <c r="S10" s="136">
        <f t="shared" si="11"/>
        <v>100</v>
      </c>
      <c r="T10" s="1025"/>
      <c r="U10" s="1183"/>
      <c r="V10" s="137" t="str">
        <f t="shared" si="12"/>
        <v>交通便捷度</v>
      </c>
      <c r="W10" s="117">
        <f t="shared" ref="W10:W20" si="13">D10/F10</f>
        <v>1</v>
      </c>
      <c r="X10" s="117">
        <f t="shared" ref="X10:X20" si="14">D10/H10</f>
        <v>1</v>
      </c>
      <c r="Y10" s="117">
        <f t="shared" ref="Y10:Y20" si="15">D10/J10</f>
        <v>1</v>
      </c>
    </row>
    <row r="11" spans="1:25" s="114" customFormat="1">
      <c r="A11" s="1183"/>
      <c r="B11" s="123" t="s">
        <v>267</v>
      </c>
      <c r="C11" s="125" t="s">
        <v>268</v>
      </c>
      <c r="D11" s="122">
        <v>100</v>
      </c>
      <c r="E11" s="125" t="s">
        <v>841</v>
      </c>
      <c r="F11" s="122">
        <v>100</v>
      </c>
      <c r="G11" s="125" t="s">
        <v>842</v>
      </c>
      <c r="H11" s="122">
        <v>100</v>
      </c>
      <c r="I11" s="125" t="s">
        <v>269</v>
      </c>
      <c r="J11" s="122">
        <v>102</v>
      </c>
      <c r="K11" s="1024"/>
      <c r="L11" s="1183"/>
      <c r="M11" s="138" t="str">
        <f t="shared" si="9"/>
        <v>临路状况</v>
      </c>
      <c r="N11" s="139" t="s">
        <v>252</v>
      </c>
      <c r="O11" s="140">
        <f t="shared" si="10"/>
        <v>100</v>
      </c>
      <c r="P11" s="139" t="s">
        <v>252</v>
      </c>
      <c r="Q11" s="140">
        <f t="shared" si="3"/>
        <v>100</v>
      </c>
      <c r="R11" s="139" t="s">
        <v>252</v>
      </c>
      <c r="S11" s="140">
        <f t="shared" si="11"/>
        <v>102</v>
      </c>
      <c r="T11" s="1025"/>
      <c r="U11" s="1183"/>
      <c r="V11" s="138" t="str">
        <f t="shared" si="12"/>
        <v>临路状况</v>
      </c>
      <c r="W11" s="122">
        <f t="shared" si="13"/>
        <v>1</v>
      </c>
      <c r="X11" s="122">
        <f t="shared" si="14"/>
        <v>1</v>
      </c>
      <c r="Y11" s="122">
        <f t="shared" si="15"/>
        <v>0.98039215686274506</v>
      </c>
    </row>
    <row r="12" spans="1:25">
      <c r="A12" s="1183"/>
      <c r="B12" s="124" t="s">
        <v>270</v>
      </c>
      <c r="C12" s="116" t="s">
        <v>265</v>
      </c>
      <c r="D12" s="117">
        <v>100</v>
      </c>
      <c r="E12" s="116" t="s">
        <v>265</v>
      </c>
      <c r="F12" s="117">
        <v>100</v>
      </c>
      <c r="G12" s="116" t="s">
        <v>265</v>
      </c>
      <c r="H12" s="117">
        <v>100</v>
      </c>
      <c r="I12" s="116" t="s">
        <v>265</v>
      </c>
      <c r="J12" s="117">
        <v>100</v>
      </c>
      <c r="K12" s="1024"/>
      <c r="L12" s="1183"/>
      <c r="M12" s="137" t="str">
        <f t="shared" si="9"/>
        <v>自然及人文环境</v>
      </c>
      <c r="N12" s="135" t="s">
        <v>252</v>
      </c>
      <c r="O12" s="136">
        <f t="shared" si="10"/>
        <v>100</v>
      </c>
      <c r="P12" s="135" t="s">
        <v>252</v>
      </c>
      <c r="Q12" s="136">
        <f t="shared" si="3"/>
        <v>100</v>
      </c>
      <c r="R12" s="135" t="s">
        <v>252</v>
      </c>
      <c r="S12" s="136">
        <f t="shared" si="11"/>
        <v>100</v>
      </c>
      <c r="T12" s="1025"/>
      <c r="U12" s="1183"/>
      <c r="V12" s="137" t="str">
        <f t="shared" si="12"/>
        <v>自然及人文环境</v>
      </c>
      <c r="W12" s="117">
        <f t="shared" si="13"/>
        <v>1</v>
      </c>
      <c r="X12" s="117">
        <f t="shared" si="14"/>
        <v>1</v>
      </c>
      <c r="Y12" s="117">
        <f t="shared" si="15"/>
        <v>1</v>
      </c>
    </row>
    <row r="13" spans="1:25">
      <c r="A13" s="1183"/>
      <c r="B13" s="124" t="s">
        <v>271</v>
      </c>
      <c r="C13" s="116" t="s">
        <v>265</v>
      </c>
      <c r="D13" s="117">
        <v>100</v>
      </c>
      <c r="E13" s="116" t="s">
        <v>265</v>
      </c>
      <c r="F13" s="117">
        <v>100</v>
      </c>
      <c r="G13" s="116" t="s">
        <v>265</v>
      </c>
      <c r="H13" s="117">
        <v>100</v>
      </c>
      <c r="I13" s="116" t="s">
        <v>265</v>
      </c>
      <c r="J13" s="117">
        <v>100</v>
      </c>
      <c r="K13" s="1024"/>
      <c r="L13" s="1183"/>
      <c r="M13" s="137" t="str">
        <f t="shared" si="9"/>
        <v>基础设施情况及公共服务设施状况</v>
      </c>
      <c r="N13" s="135" t="s">
        <v>252</v>
      </c>
      <c r="O13" s="136">
        <f t="shared" si="10"/>
        <v>100</v>
      </c>
      <c r="P13" s="135" t="s">
        <v>252</v>
      </c>
      <c r="Q13" s="136">
        <f t="shared" si="3"/>
        <v>100</v>
      </c>
      <c r="R13" s="135" t="s">
        <v>252</v>
      </c>
      <c r="S13" s="136">
        <f t="shared" si="11"/>
        <v>100</v>
      </c>
      <c r="T13" s="1025"/>
      <c r="U13" s="1183"/>
      <c r="V13" s="137" t="str">
        <f t="shared" si="12"/>
        <v>基础设施情况及公共服务设施状况</v>
      </c>
      <c r="W13" s="117">
        <f t="shared" si="13"/>
        <v>1</v>
      </c>
      <c r="X13" s="117">
        <f t="shared" si="14"/>
        <v>1</v>
      </c>
      <c r="Y13" s="117">
        <f t="shared" si="15"/>
        <v>1</v>
      </c>
    </row>
    <row r="14" spans="1:25" ht="14.25" customHeight="1">
      <c r="A14" s="1054" t="s">
        <v>843</v>
      </c>
      <c r="B14" s="126" t="s">
        <v>273</v>
      </c>
      <c r="C14" s="117" t="s">
        <v>274</v>
      </c>
      <c r="D14" s="117">
        <v>100</v>
      </c>
      <c r="E14" s="117" t="s">
        <v>274</v>
      </c>
      <c r="F14" s="117">
        <v>100</v>
      </c>
      <c r="G14" s="117" t="s">
        <v>274</v>
      </c>
      <c r="H14" s="117">
        <v>100</v>
      </c>
      <c r="I14" s="117" t="s">
        <v>274</v>
      </c>
      <c r="J14" s="117">
        <v>100</v>
      </c>
      <c r="K14" s="1025"/>
      <c r="L14" s="1034" t="str">
        <f>A14</f>
        <v>实体状况</v>
      </c>
      <c r="M14" s="137" t="str">
        <f t="shared" si="9"/>
        <v>建筑物结构</v>
      </c>
      <c r="N14" s="135" t="s">
        <v>252</v>
      </c>
      <c r="O14" s="136">
        <f t="shared" si="10"/>
        <v>100</v>
      </c>
      <c r="P14" s="135" t="s">
        <v>252</v>
      </c>
      <c r="Q14" s="136">
        <f t="shared" si="3"/>
        <v>100</v>
      </c>
      <c r="R14" s="135" t="s">
        <v>252</v>
      </c>
      <c r="S14" s="136">
        <f t="shared" si="11"/>
        <v>100</v>
      </c>
      <c r="T14" s="1025"/>
      <c r="U14" s="1034" t="str">
        <f>A14</f>
        <v>实体状况</v>
      </c>
      <c r="V14" s="137" t="str">
        <f t="shared" si="12"/>
        <v>建筑物结构</v>
      </c>
      <c r="W14" s="117">
        <f t="shared" si="13"/>
        <v>1</v>
      </c>
      <c r="X14" s="117">
        <f t="shared" si="14"/>
        <v>1</v>
      </c>
      <c r="Y14" s="117">
        <f t="shared" si="15"/>
        <v>1</v>
      </c>
    </row>
    <row r="15" spans="1:25" s="114" customFormat="1">
      <c r="A15" s="1055"/>
      <c r="B15" s="127" t="s">
        <v>844</v>
      </c>
      <c r="C15" s="125" t="s">
        <v>845</v>
      </c>
      <c r="D15" s="122">
        <v>100</v>
      </c>
      <c r="E15" s="125" t="s">
        <v>846</v>
      </c>
      <c r="F15" s="122">
        <v>98</v>
      </c>
      <c r="G15" s="125" t="s">
        <v>845</v>
      </c>
      <c r="H15" s="122">
        <v>100</v>
      </c>
      <c r="I15" s="125" t="s">
        <v>846</v>
      </c>
      <c r="J15" s="122">
        <v>98</v>
      </c>
      <c r="K15" s="1025"/>
      <c r="L15" s="1034"/>
      <c r="M15" s="138" t="str">
        <f t="shared" si="9"/>
        <v>配套类型</v>
      </c>
      <c r="N15" s="139" t="s">
        <v>252</v>
      </c>
      <c r="O15" s="140">
        <f t="shared" si="10"/>
        <v>98</v>
      </c>
      <c r="P15" s="139" t="s">
        <v>252</v>
      </c>
      <c r="Q15" s="140">
        <f t="shared" si="3"/>
        <v>100</v>
      </c>
      <c r="R15" s="139" t="s">
        <v>252</v>
      </c>
      <c r="S15" s="140">
        <f t="shared" si="11"/>
        <v>98</v>
      </c>
      <c r="T15" s="1025"/>
      <c r="U15" s="1034"/>
      <c r="V15" s="138" t="str">
        <f t="shared" si="12"/>
        <v>配套类型</v>
      </c>
      <c r="W15" s="122">
        <f t="shared" si="13"/>
        <v>1.0204081632653061</v>
      </c>
      <c r="X15" s="122">
        <f t="shared" si="14"/>
        <v>1</v>
      </c>
      <c r="Y15" s="122">
        <f t="shared" si="15"/>
        <v>1.0204081632653061</v>
      </c>
    </row>
    <row r="16" spans="1:25" s="114" customFormat="1">
      <c r="A16" s="1055"/>
      <c r="B16" s="127" t="s">
        <v>847</v>
      </c>
      <c r="C16" s="125" t="s">
        <v>40</v>
      </c>
      <c r="D16" s="122">
        <v>100</v>
      </c>
      <c r="E16" s="125" t="s">
        <v>72</v>
      </c>
      <c r="F16" s="122">
        <v>95</v>
      </c>
      <c r="G16" s="125" t="s">
        <v>72</v>
      </c>
      <c r="H16" s="122">
        <v>95</v>
      </c>
      <c r="I16" s="125" t="s">
        <v>72</v>
      </c>
      <c r="J16" s="122">
        <v>95</v>
      </c>
      <c r="K16" s="1025"/>
      <c r="L16" s="1034"/>
      <c r="M16" s="138" t="str">
        <f t="shared" si="9"/>
        <v>车位类型</v>
      </c>
      <c r="N16" s="139" t="s">
        <v>252</v>
      </c>
      <c r="O16" s="140">
        <f t="shared" si="10"/>
        <v>95</v>
      </c>
      <c r="P16" s="139" t="s">
        <v>252</v>
      </c>
      <c r="Q16" s="140">
        <f t="shared" si="3"/>
        <v>95</v>
      </c>
      <c r="R16" s="139" t="s">
        <v>252</v>
      </c>
      <c r="S16" s="140">
        <f t="shared" si="11"/>
        <v>95</v>
      </c>
      <c r="T16" s="1025"/>
      <c r="U16" s="1034"/>
      <c r="V16" s="138" t="str">
        <f t="shared" si="12"/>
        <v>车位类型</v>
      </c>
      <c r="W16" s="122">
        <f t="shared" si="13"/>
        <v>1.0526315789473684</v>
      </c>
      <c r="X16" s="122">
        <f t="shared" si="14"/>
        <v>1.0526315789473684</v>
      </c>
      <c r="Y16" s="122">
        <f t="shared" si="15"/>
        <v>1.0526315789473684</v>
      </c>
    </row>
    <row r="17" spans="1:25" s="114" customFormat="1">
      <c r="A17" s="1055"/>
      <c r="B17" s="127" t="s">
        <v>279</v>
      </c>
      <c r="C17" s="122">
        <v>1999</v>
      </c>
      <c r="D17" s="122">
        <v>100</v>
      </c>
      <c r="E17" s="122">
        <v>2008</v>
      </c>
      <c r="F17" s="122">
        <v>102.25</v>
      </c>
      <c r="G17" s="122">
        <v>2005</v>
      </c>
      <c r="H17" s="122">
        <v>101.5</v>
      </c>
      <c r="I17" s="122">
        <v>2005</v>
      </c>
      <c r="J17" s="122">
        <v>101.5</v>
      </c>
      <c r="K17" s="1025"/>
      <c r="L17" s="1034"/>
      <c r="M17" s="138" t="str">
        <f t="shared" si="9"/>
        <v>建成年代</v>
      </c>
      <c r="N17" s="139" t="s">
        <v>252</v>
      </c>
      <c r="O17" s="140">
        <f t="shared" si="10"/>
        <v>102.25</v>
      </c>
      <c r="P17" s="139" t="s">
        <v>252</v>
      </c>
      <c r="Q17" s="140">
        <f t="shared" si="3"/>
        <v>101.5</v>
      </c>
      <c r="R17" s="139" t="s">
        <v>252</v>
      </c>
      <c r="S17" s="140">
        <f t="shared" si="11"/>
        <v>101.5</v>
      </c>
      <c r="T17" s="1025"/>
      <c r="U17" s="1034"/>
      <c r="V17" s="138" t="str">
        <f t="shared" si="12"/>
        <v>建成年代</v>
      </c>
      <c r="W17" s="122">
        <f t="shared" si="13"/>
        <v>0.97799511002444983</v>
      </c>
      <c r="X17" s="122">
        <f t="shared" si="14"/>
        <v>0.98522167487684731</v>
      </c>
      <c r="Y17" s="122">
        <f t="shared" si="15"/>
        <v>0.98522167487684731</v>
      </c>
    </row>
    <row r="18" spans="1:25" s="114" customFormat="1">
      <c r="A18" s="1026"/>
      <c r="B18" s="127" t="s">
        <v>280</v>
      </c>
      <c r="C18" s="125" t="s">
        <v>848</v>
      </c>
      <c r="D18" s="122">
        <v>100</v>
      </c>
      <c r="E18" s="125" t="s">
        <v>849</v>
      </c>
      <c r="F18" s="122">
        <v>96</v>
      </c>
      <c r="G18" s="125" t="s">
        <v>850</v>
      </c>
      <c r="H18" s="122">
        <v>96</v>
      </c>
      <c r="I18" s="125" t="s">
        <v>851</v>
      </c>
      <c r="J18" s="122">
        <v>96</v>
      </c>
      <c r="K18" s="1026"/>
      <c r="L18" s="1035"/>
      <c r="M18" s="138" t="str">
        <f t="shared" si="9"/>
        <v>套均面积</v>
      </c>
      <c r="N18" s="139" t="s">
        <v>252</v>
      </c>
      <c r="O18" s="140">
        <f t="shared" si="10"/>
        <v>96</v>
      </c>
      <c r="P18" s="139" t="s">
        <v>252</v>
      </c>
      <c r="Q18" s="140">
        <f t="shared" si="3"/>
        <v>96</v>
      </c>
      <c r="R18" s="139" t="s">
        <v>252</v>
      </c>
      <c r="S18" s="140">
        <f t="shared" si="11"/>
        <v>96</v>
      </c>
      <c r="T18" s="1026"/>
      <c r="U18" s="1035"/>
      <c r="V18" s="138" t="str">
        <f t="shared" si="12"/>
        <v>套均面积</v>
      </c>
      <c r="W18" s="122">
        <f t="shared" si="13"/>
        <v>1.0416666666666667</v>
      </c>
      <c r="X18" s="122">
        <f t="shared" si="14"/>
        <v>1.0416666666666667</v>
      </c>
      <c r="Y18" s="122">
        <f t="shared" si="15"/>
        <v>1.0416666666666667</v>
      </c>
    </row>
    <row r="19" spans="1:25">
      <c r="A19" s="1055"/>
      <c r="B19" s="126" t="s">
        <v>282</v>
      </c>
      <c r="C19" s="115" t="s">
        <v>283</v>
      </c>
      <c r="D19" s="117">
        <v>100</v>
      </c>
      <c r="E19" s="115" t="s">
        <v>283</v>
      </c>
      <c r="F19" s="117">
        <v>100</v>
      </c>
      <c r="G19" s="115" t="s">
        <v>283</v>
      </c>
      <c r="H19" s="117">
        <v>100</v>
      </c>
      <c r="I19" s="115" t="s">
        <v>283</v>
      </c>
      <c r="J19" s="117">
        <v>100</v>
      </c>
      <c r="K19" s="1025"/>
      <c r="L19" s="1034"/>
      <c r="M19" s="137" t="str">
        <f t="shared" si="9"/>
        <v>公共部分装修</v>
      </c>
      <c r="N19" s="135" t="s">
        <v>252</v>
      </c>
      <c r="O19" s="136">
        <f t="shared" si="10"/>
        <v>100</v>
      </c>
      <c r="P19" s="135" t="s">
        <v>252</v>
      </c>
      <c r="Q19" s="136">
        <f t="shared" si="3"/>
        <v>100</v>
      </c>
      <c r="R19" s="135" t="s">
        <v>252</v>
      </c>
      <c r="S19" s="136">
        <f t="shared" si="11"/>
        <v>100</v>
      </c>
      <c r="T19" s="1025"/>
      <c r="U19" s="1034"/>
      <c r="V19" s="137" t="str">
        <f t="shared" si="12"/>
        <v>公共部分装修</v>
      </c>
      <c r="W19" s="117">
        <f t="shared" si="13"/>
        <v>1</v>
      </c>
      <c r="X19" s="117">
        <f t="shared" si="14"/>
        <v>1</v>
      </c>
      <c r="Y19" s="117">
        <f t="shared" si="15"/>
        <v>1</v>
      </c>
    </row>
    <row r="20" spans="1:25">
      <c r="A20" s="1056"/>
      <c r="B20" s="126" t="s">
        <v>285</v>
      </c>
      <c r="C20" s="119" t="s">
        <v>265</v>
      </c>
      <c r="D20" s="117">
        <v>100</v>
      </c>
      <c r="E20" s="119" t="s">
        <v>265</v>
      </c>
      <c r="F20" s="117">
        <v>100</v>
      </c>
      <c r="G20" s="119" t="s">
        <v>265</v>
      </c>
      <c r="H20" s="117">
        <v>100</v>
      </c>
      <c r="I20" s="119" t="s">
        <v>265</v>
      </c>
      <c r="J20" s="117">
        <v>100</v>
      </c>
      <c r="K20" s="1025"/>
      <c r="L20" s="1034"/>
      <c r="M20" s="137" t="str">
        <f t="shared" si="9"/>
        <v>物业服务条件</v>
      </c>
      <c r="N20" s="135" t="s">
        <v>252</v>
      </c>
      <c r="O20" s="136">
        <f t="shared" si="10"/>
        <v>100</v>
      </c>
      <c r="P20" s="135" t="s">
        <v>252</v>
      </c>
      <c r="Q20" s="136">
        <f t="shared" si="3"/>
        <v>100</v>
      </c>
      <c r="R20" s="135" t="s">
        <v>252</v>
      </c>
      <c r="S20" s="136">
        <f t="shared" si="11"/>
        <v>100</v>
      </c>
      <c r="T20" s="1025"/>
      <c r="U20" s="1034"/>
      <c r="V20" s="137" t="str">
        <f t="shared" si="12"/>
        <v>物业服务条件</v>
      </c>
      <c r="W20" s="117">
        <f t="shared" si="13"/>
        <v>1</v>
      </c>
      <c r="X20" s="117">
        <f t="shared" si="14"/>
        <v>1</v>
      </c>
      <c r="Y20" s="117">
        <f t="shared" si="15"/>
        <v>1</v>
      </c>
    </row>
    <row r="21" spans="1:25">
      <c r="A21" s="128"/>
      <c r="B21" s="128"/>
      <c r="C21" s="128"/>
      <c r="D21" s="128"/>
      <c r="E21" s="128"/>
      <c r="F21" s="128"/>
      <c r="G21" s="128"/>
      <c r="H21" s="128"/>
      <c r="I21" s="128"/>
      <c r="J21" s="128"/>
      <c r="K21" s="128"/>
      <c r="L21" s="1007" t="s">
        <v>286</v>
      </c>
      <c r="M21" s="1036"/>
      <c r="N21" s="1015">
        <v>8270</v>
      </c>
      <c r="O21" s="1016"/>
      <c r="P21" s="1015">
        <v>7838</v>
      </c>
      <c r="Q21" s="1016"/>
      <c r="R21" s="1015">
        <v>7088</v>
      </c>
      <c r="S21" s="1016"/>
      <c r="T21" s="128"/>
      <c r="U21" s="128"/>
      <c r="V21" s="128"/>
      <c r="W21" s="128"/>
      <c r="X21" s="128"/>
      <c r="Y21" s="128"/>
    </row>
    <row r="22" spans="1:25">
      <c r="A22" s="128"/>
      <c r="B22" s="128"/>
      <c r="C22" s="128" t="s">
        <v>848</v>
      </c>
      <c r="D22" s="128">
        <v>100</v>
      </c>
      <c r="E22" s="128"/>
      <c r="F22" s="128"/>
      <c r="G22" s="128"/>
      <c r="H22" s="128"/>
      <c r="I22" s="128"/>
      <c r="J22" s="128"/>
      <c r="K22" s="128"/>
      <c r="L22" s="1007" t="s">
        <v>288</v>
      </c>
      <c r="M22" s="1036"/>
      <c r="N22" s="1039">
        <f>ROUND(N21*W5*W6*W7*W8*W9*W10*W11*W12*W13*W14*W15*W16*W17*W18*W19*W20,0)</f>
        <v>8698</v>
      </c>
      <c r="O22" s="1040"/>
      <c r="P22" s="1039">
        <f>ROUND(P21*X5*X6*X7*X8*X9*X10*X11*X12*X13*X14*X15*X16*X17*X18*X19*X20,0)</f>
        <v>8471</v>
      </c>
      <c r="Q22" s="1040"/>
      <c r="R22" s="1039">
        <f>ROUND(R21*Y5*Y6*Y8*Y9*Y7*Y10*Y11*Y12*Y13*Y14*Y15*Y16*Y17*Y18*Y19*Y20,0)</f>
        <v>7510</v>
      </c>
      <c r="S22" s="1040"/>
      <c r="T22" s="128"/>
      <c r="U22" s="128"/>
      <c r="V22" s="128"/>
      <c r="W22" s="128"/>
      <c r="X22" s="128"/>
      <c r="Y22" s="128"/>
    </row>
    <row r="23" spans="1:25">
      <c r="A23" s="128"/>
      <c r="B23" s="128"/>
      <c r="C23" s="128" t="s">
        <v>852</v>
      </c>
      <c r="D23" s="129">
        <v>98</v>
      </c>
      <c r="E23" s="128"/>
      <c r="F23" s="128"/>
      <c r="G23" s="128"/>
      <c r="H23" s="128"/>
      <c r="I23" s="128"/>
      <c r="J23" s="128"/>
      <c r="K23" s="128"/>
      <c r="L23" s="1041" t="s">
        <v>292</v>
      </c>
      <c r="M23" s="1042"/>
      <c r="N23" s="1043">
        <f>ROUND(AVERAGE(N22:S22),0)</f>
        <v>8226</v>
      </c>
      <c r="O23" s="1044"/>
      <c r="P23" s="1044"/>
      <c r="Q23" s="1044"/>
      <c r="R23" s="1044"/>
      <c r="S23" s="1045"/>
      <c r="T23" s="128"/>
      <c r="U23" s="128"/>
      <c r="V23" s="128"/>
      <c r="W23" s="128"/>
      <c r="X23" s="128"/>
      <c r="Y23" s="128"/>
    </row>
    <row r="24" spans="1:25">
      <c r="A24" s="128"/>
      <c r="B24" s="128"/>
      <c r="C24" s="128" t="s">
        <v>853</v>
      </c>
      <c r="D24" s="128">
        <v>96</v>
      </c>
      <c r="E24" s="128"/>
      <c r="F24" s="128"/>
      <c r="G24" s="130"/>
      <c r="H24" s="130"/>
      <c r="I24" s="128"/>
      <c r="J24" s="128"/>
      <c r="K24" s="128"/>
      <c r="L24" s="1046" t="s">
        <v>295</v>
      </c>
      <c r="M24" s="1047"/>
      <c r="N24" s="1046" t="e">
        <f>ROUND(N23*#REF!/10000,0)</f>
        <v>#REF!</v>
      </c>
      <c r="O24" s="1048"/>
      <c r="P24" s="1048"/>
      <c r="Q24" s="1048"/>
      <c r="R24" s="1048"/>
      <c r="S24" s="1047"/>
      <c r="T24" s="128"/>
      <c r="U24" s="128"/>
      <c r="V24" s="128"/>
      <c r="W24" s="128"/>
      <c r="X24" s="128"/>
      <c r="Y24" s="128"/>
    </row>
    <row r="25" spans="1:25">
      <c r="A25" s="128"/>
      <c r="B25" s="128"/>
      <c r="C25" s="128" t="s">
        <v>854</v>
      </c>
      <c r="D25" s="128">
        <v>94</v>
      </c>
      <c r="E25" s="128"/>
      <c r="F25" s="128"/>
      <c r="G25" s="130"/>
      <c r="H25" s="130"/>
      <c r="I25" s="128"/>
      <c r="J25" s="128"/>
      <c r="K25" s="128"/>
      <c r="L25" s="128"/>
      <c r="M25" s="128"/>
      <c r="N25" s="128"/>
      <c r="O25" s="128"/>
      <c r="P25" s="128"/>
      <c r="Q25" s="141"/>
      <c r="R25" s="128"/>
      <c r="S25" s="128"/>
      <c r="T25" s="128"/>
      <c r="U25" s="128"/>
      <c r="V25" s="128"/>
      <c r="W25" s="128"/>
      <c r="X25" s="128"/>
      <c r="Y25" s="128"/>
    </row>
    <row r="26" spans="1:25">
      <c r="A26" s="128"/>
      <c r="B26" s="128"/>
      <c r="C26" s="128"/>
      <c r="D26" s="128"/>
      <c r="E26" s="128"/>
      <c r="F26" s="128"/>
      <c r="G26" s="130"/>
      <c r="H26" s="130"/>
      <c r="I26" s="128"/>
      <c r="J26" s="128"/>
      <c r="K26" s="128"/>
      <c r="L26" s="128"/>
      <c r="M26" s="128"/>
      <c r="N26" s="128"/>
      <c r="O26" s="128"/>
      <c r="P26" s="128"/>
      <c r="Q26" s="141"/>
      <c r="R26" s="128"/>
      <c r="S26" s="128"/>
      <c r="T26" s="128"/>
      <c r="U26" s="128"/>
      <c r="V26" s="128"/>
      <c r="W26" s="128"/>
      <c r="X26" s="128"/>
      <c r="Y26" s="128"/>
    </row>
    <row r="27" spans="1:25">
      <c r="A27" s="128"/>
      <c r="B27" s="128"/>
      <c r="C27" s="128"/>
      <c r="D27" s="128"/>
      <c r="E27" s="128"/>
      <c r="F27" s="128"/>
      <c r="G27" s="128"/>
      <c r="H27" s="128"/>
      <c r="I27" s="128"/>
      <c r="J27" s="128"/>
      <c r="K27" s="128"/>
      <c r="L27" s="128"/>
      <c r="M27" s="128"/>
      <c r="N27" s="128"/>
      <c r="O27" s="128"/>
      <c r="P27" s="128"/>
      <c r="Q27" s="141"/>
      <c r="R27" s="128"/>
      <c r="S27" s="128"/>
      <c r="T27" s="128"/>
      <c r="U27" s="128"/>
      <c r="V27" s="128"/>
      <c r="W27" s="128"/>
      <c r="X27" s="128"/>
      <c r="Y27" s="128"/>
    </row>
    <row r="28" spans="1:25">
      <c r="A28" s="128"/>
      <c r="B28" s="128"/>
      <c r="C28" s="128"/>
      <c r="D28" s="128"/>
      <c r="E28" s="128"/>
      <c r="F28" s="128"/>
      <c r="G28" s="128"/>
      <c r="H28" s="128"/>
      <c r="I28" s="128"/>
      <c r="J28" s="128"/>
      <c r="K28" s="128"/>
      <c r="L28" s="128"/>
      <c r="M28" s="128"/>
      <c r="N28" s="128"/>
      <c r="O28" s="128"/>
      <c r="P28" s="128"/>
      <c r="Q28" s="141"/>
      <c r="R28" s="128"/>
      <c r="S28" s="128"/>
      <c r="T28" s="128"/>
      <c r="U28" s="128"/>
      <c r="V28" s="128"/>
      <c r="W28" s="128"/>
      <c r="X28" s="128"/>
      <c r="Y28" s="128"/>
    </row>
    <row r="29" spans="1:25">
      <c r="A29" s="128"/>
      <c r="B29" s="128"/>
      <c r="C29" s="128"/>
      <c r="D29" s="128"/>
      <c r="E29" s="128"/>
      <c r="F29" s="128"/>
      <c r="G29" s="128"/>
      <c r="H29" s="128"/>
      <c r="I29" s="128"/>
      <c r="J29" s="128"/>
      <c r="K29" s="128"/>
      <c r="L29" s="128"/>
      <c r="M29" s="128"/>
      <c r="N29" s="128"/>
      <c r="O29" s="128"/>
      <c r="P29" s="128"/>
      <c r="Q29" s="141"/>
      <c r="R29" s="128"/>
      <c r="S29" s="128"/>
      <c r="T29" s="128"/>
      <c r="U29" s="128"/>
      <c r="V29" s="128"/>
      <c r="W29" s="128"/>
      <c r="X29" s="128"/>
      <c r="Y29" s="128"/>
    </row>
    <row r="30" spans="1:25">
      <c r="A30" s="128"/>
      <c r="B30" s="128"/>
      <c r="C30" s="128"/>
      <c r="D30" s="128"/>
      <c r="E30" s="131"/>
      <c r="F30" s="132"/>
      <c r="G30" s="131"/>
      <c r="H30" s="131"/>
      <c r="I30" s="131"/>
      <c r="J30" s="131"/>
      <c r="K30" s="132"/>
      <c r="L30" s="132"/>
      <c r="M30" s="128"/>
      <c r="N30" s="128"/>
      <c r="O30" s="128"/>
      <c r="P30" s="128"/>
      <c r="Q30" s="141"/>
      <c r="R30" s="128"/>
      <c r="S30" s="128"/>
      <c r="T30" s="128"/>
      <c r="U30" s="128"/>
      <c r="V30" s="128"/>
      <c r="W30" s="128"/>
      <c r="X30" s="128"/>
      <c r="Y30" s="128"/>
    </row>
    <row r="31" spans="1:25">
      <c r="A31" s="128"/>
      <c r="B31" s="128"/>
      <c r="C31" s="128"/>
      <c r="D31" s="128"/>
      <c r="E31" s="133"/>
      <c r="F31" s="134"/>
      <c r="G31" s="131"/>
      <c r="H31" s="131"/>
      <c r="I31" s="131"/>
      <c r="J31" s="131"/>
      <c r="K31" s="132"/>
      <c r="L31" s="131"/>
      <c r="M31" s="128"/>
      <c r="N31" s="128"/>
      <c r="O31" s="128"/>
      <c r="P31" s="128"/>
      <c r="Q31" s="141"/>
      <c r="R31" s="128"/>
      <c r="S31" s="128"/>
      <c r="T31" s="128"/>
      <c r="U31" s="128"/>
      <c r="V31" s="128"/>
      <c r="W31" s="128"/>
      <c r="X31" s="128"/>
      <c r="Y31" s="128"/>
    </row>
    <row r="32" spans="1:25">
      <c r="A32" s="128"/>
      <c r="B32" s="128"/>
      <c r="C32" s="128"/>
      <c r="D32" s="128"/>
      <c r="E32" s="128"/>
      <c r="F32" s="128"/>
      <c r="G32" s="128"/>
      <c r="H32" s="128"/>
      <c r="I32" s="128"/>
      <c r="J32" s="128"/>
      <c r="K32" s="128"/>
      <c r="L32" s="128"/>
      <c r="M32" s="128"/>
      <c r="N32" s="128"/>
      <c r="O32" s="128"/>
      <c r="P32" s="128"/>
      <c r="Q32" s="141"/>
      <c r="R32" s="128"/>
      <c r="S32" s="128"/>
      <c r="T32" s="128"/>
      <c r="U32" s="128"/>
      <c r="V32" s="128"/>
      <c r="W32" s="128"/>
      <c r="X32" s="128"/>
      <c r="Y32" s="128"/>
    </row>
    <row r="33" spans="1:25">
      <c r="A33" s="128"/>
      <c r="B33" s="128"/>
      <c r="C33" s="128"/>
      <c r="D33" s="128"/>
      <c r="E33" s="128"/>
      <c r="F33" s="128"/>
      <c r="G33" s="128"/>
      <c r="H33" s="128"/>
      <c r="I33" s="128"/>
      <c r="J33" s="128"/>
      <c r="K33" s="128"/>
      <c r="L33" s="128"/>
      <c r="M33" s="128"/>
      <c r="N33" s="128"/>
      <c r="O33" s="128"/>
      <c r="P33" s="128"/>
      <c r="Q33" s="141"/>
      <c r="R33" s="128"/>
      <c r="S33" s="128"/>
      <c r="T33" s="128"/>
      <c r="U33" s="128"/>
      <c r="V33" s="128"/>
      <c r="W33" s="128"/>
      <c r="X33" s="128"/>
      <c r="Y33" s="128"/>
    </row>
    <row r="34" spans="1:25">
      <c r="A34" s="128"/>
      <c r="B34" s="128"/>
      <c r="C34" s="128"/>
      <c r="D34" s="128"/>
      <c r="E34" s="128"/>
      <c r="F34" s="128"/>
      <c r="G34" s="128"/>
      <c r="H34" s="128"/>
      <c r="I34" s="128"/>
      <c r="J34" s="128"/>
      <c r="K34" s="128"/>
      <c r="L34" s="128"/>
      <c r="M34" s="128"/>
      <c r="N34" s="128"/>
      <c r="O34" s="128"/>
      <c r="P34" s="128"/>
      <c r="Q34" s="141"/>
      <c r="R34" s="128"/>
      <c r="S34" s="128"/>
      <c r="T34" s="128"/>
      <c r="U34" s="128"/>
      <c r="V34" s="128"/>
      <c r="W34" s="128"/>
      <c r="X34" s="128"/>
      <c r="Y34" s="128"/>
    </row>
    <row r="35" spans="1:25">
      <c r="A35" s="128"/>
      <c r="B35" s="128"/>
      <c r="C35" s="128"/>
      <c r="D35" s="128"/>
      <c r="E35" s="128"/>
      <c r="F35" s="128"/>
      <c r="G35" s="128"/>
      <c r="H35" s="128"/>
      <c r="I35" s="128"/>
      <c r="J35" s="128"/>
      <c r="K35" s="128"/>
      <c r="L35" s="128"/>
      <c r="M35" s="128"/>
      <c r="N35" s="128"/>
      <c r="O35" s="128"/>
      <c r="P35" s="128"/>
      <c r="Q35" s="141"/>
      <c r="R35" s="128"/>
      <c r="S35" s="128"/>
      <c r="T35" s="128"/>
      <c r="U35" s="128"/>
      <c r="V35" s="128"/>
      <c r="W35" s="128"/>
      <c r="X35" s="128"/>
      <c r="Y35" s="128"/>
    </row>
    <row r="36" spans="1:25">
      <c r="A36" s="128"/>
      <c r="B36" s="128"/>
      <c r="C36" s="128"/>
      <c r="D36" s="128"/>
      <c r="E36" s="128"/>
      <c r="F36" s="128"/>
      <c r="G36" s="128"/>
      <c r="H36" s="128"/>
      <c r="I36" s="128"/>
      <c r="J36" s="128"/>
      <c r="K36" s="128"/>
      <c r="L36" s="128"/>
      <c r="M36" s="128"/>
      <c r="N36" s="128"/>
      <c r="O36" s="128"/>
      <c r="P36" s="128"/>
      <c r="Q36" s="141"/>
      <c r="R36" s="128"/>
      <c r="S36" s="128"/>
      <c r="T36" s="128"/>
      <c r="U36" s="128"/>
      <c r="V36" s="128"/>
      <c r="W36" s="128"/>
      <c r="X36" s="128"/>
      <c r="Y36" s="128"/>
    </row>
    <row r="37" spans="1:25">
      <c r="A37" s="128"/>
      <c r="B37" s="128"/>
      <c r="C37" s="128"/>
      <c r="D37" s="128"/>
      <c r="E37" s="128"/>
      <c r="F37" s="128"/>
      <c r="G37" s="128"/>
      <c r="H37" s="128"/>
      <c r="I37" s="128"/>
      <c r="J37" s="128"/>
      <c r="K37" s="128"/>
      <c r="L37" s="128"/>
      <c r="M37" s="128"/>
      <c r="N37" s="128"/>
      <c r="O37" s="128"/>
      <c r="P37" s="128"/>
      <c r="Q37" s="141"/>
      <c r="R37" s="128"/>
      <c r="S37" s="128"/>
      <c r="T37" s="128"/>
      <c r="U37" s="128"/>
      <c r="V37" s="128"/>
      <c r="W37" s="128"/>
      <c r="X37" s="128"/>
      <c r="Y37" s="128"/>
    </row>
    <row r="38" spans="1:25">
      <c r="A38" s="128"/>
      <c r="B38" s="128"/>
      <c r="C38" s="128"/>
      <c r="D38" s="128"/>
      <c r="E38" s="128"/>
      <c r="F38" s="128"/>
      <c r="G38" s="128"/>
      <c r="H38" s="128"/>
      <c r="I38" s="128"/>
      <c r="J38" s="128"/>
      <c r="K38" s="128"/>
      <c r="L38" s="128"/>
      <c r="M38" s="128"/>
      <c r="N38" s="128"/>
      <c r="O38" s="128"/>
      <c r="P38" s="128"/>
      <c r="Q38" s="141"/>
      <c r="R38" s="128"/>
      <c r="S38" s="128"/>
      <c r="T38" s="128"/>
      <c r="U38" s="128"/>
      <c r="V38" s="128"/>
      <c r="W38" s="128"/>
      <c r="X38" s="128"/>
      <c r="Y38" s="128"/>
    </row>
    <row r="39" spans="1:25">
      <c r="A39" s="128"/>
      <c r="B39" s="128"/>
      <c r="C39" s="128"/>
      <c r="D39" s="128"/>
      <c r="E39" s="128"/>
      <c r="F39" s="128"/>
      <c r="G39" s="128"/>
      <c r="H39" s="128"/>
      <c r="I39" s="128"/>
      <c r="J39" s="128"/>
      <c r="K39" s="128"/>
      <c r="L39" s="128"/>
      <c r="M39" s="128"/>
      <c r="N39" s="128"/>
      <c r="O39" s="128"/>
      <c r="P39" s="128"/>
      <c r="Q39" s="141"/>
      <c r="R39" s="128"/>
      <c r="S39" s="128"/>
      <c r="T39" s="128"/>
      <c r="U39" s="128"/>
      <c r="V39" s="128"/>
      <c r="W39" s="128"/>
      <c r="X39" s="128"/>
      <c r="Y39" s="128"/>
    </row>
    <row r="40" spans="1:25">
      <c r="A40" s="128"/>
      <c r="B40" s="128"/>
      <c r="C40" s="128"/>
      <c r="D40" s="128"/>
      <c r="E40" s="128"/>
      <c r="F40" s="128"/>
      <c r="G40" s="128"/>
      <c r="H40" s="128"/>
      <c r="I40" s="128"/>
      <c r="J40" s="128"/>
      <c r="K40" s="128"/>
      <c r="L40" s="128"/>
      <c r="M40" s="128"/>
      <c r="N40" s="128"/>
      <c r="O40" s="128"/>
      <c r="P40" s="128"/>
      <c r="Q40" s="141"/>
      <c r="R40" s="128"/>
      <c r="S40" s="128"/>
      <c r="T40" s="128"/>
      <c r="U40" s="128"/>
      <c r="V40" s="128"/>
      <c r="W40" s="128"/>
      <c r="X40" s="128"/>
      <c r="Y40" s="128"/>
    </row>
  </sheetData>
  <mergeCells count="50">
    <mergeCell ref="U9:U13"/>
    <mergeCell ref="U14:U20"/>
    <mergeCell ref="W3:W4"/>
    <mergeCell ref="X3:X4"/>
    <mergeCell ref="Y3:Y4"/>
    <mergeCell ref="U5:V5"/>
    <mergeCell ref="L24:M24"/>
    <mergeCell ref="N24:S24"/>
    <mergeCell ref="A7:A8"/>
    <mergeCell ref="A9:A13"/>
    <mergeCell ref="A14:A20"/>
    <mergeCell ref="K2:K20"/>
    <mergeCell ref="L7:L8"/>
    <mergeCell ref="L9:L13"/>
    <mergeCell ref="L14:L20"/>
    <mergeCell ref="A3:B4"/>
    <mergeCell ref="L22:M22"/>
    <mergeCell ref="N22:O22"/>
    <mergeCell ref="P22:Q22"/>
    <mergeCell ref="R22:S22"/>
    <mergeCell ref="L23:M23"/>
    <mergeCell ref="N23:S23"/>
    <mergeCell ref="A6:B6"/>
    <mergeCell ref="L6:M6"/>
    <mergeCell ref="U6:V6"/>
    <mergeCell ref="L21:M21"/>
    <mergeCell ref="N21:O21"/>
    <mergeCell ref="P21:Q21"/>
    <mergeCell ref="R21:S21"/>
    <mergeCell ref="T2:T20"/>
    <mergeCell ref="U7:U8"/>
    <mergeCell ref="C4:D4"/>
    <mergeCell ref="E4:F4"/>
    <mergeCell ref="G4:H4"/>
    <mergeCell ref="I4:J4"/>
    <mergeCell ref="A5:B5"/>
    <mergeCell ref="L5:M5"/>
    <mergeCell ref="L3:M4"/>
    <mergeCell ref="A1:Y1"/>
    <mergeCell ref="A2:J2"/>
    <mergeCell ref="L2:S2"/>
    <mergeCell ref="U2:Y2"/>
    <mergeCell ref="C3:D3"/>
    <mergeCell ref="E3:F3"/>
    <mergeCell ref="G3:H3"/>
    <mergeCell ref="I3:J3"/>
    <mergeCell ref="N3:O4"/>
    <mergeCell ref="P3:Q4"/>
    <mergeCell ref="R3:S4"/>
    <mergeCell ref="U3:V4"/>
  </mergeCells>
  <phoneticPr fontId="97" type="noConversion"/>
  <pageMargins left="0.69861111111111107" right="0.69861111111111107" top="0.75" bottom="0.75" header="0.3" footer="0.3"/>
  <pageSetup paperSize="9" scale="60" orientation="landscape" r:id="rId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N54"/>
  <sheetViews>
    <sheetView view="pageBreakPreview" topLeftCell="A25" zoomScale="115" workbookViewId="0">
      <selection activeCell="F38" sqref="F38"/>
    </sheetView>
  </sheetViews>
  <sheetFormatPr defaultColWidth="9" defaultRowHeight="13.5"/>
  <cols>
    <col min="1" max="1" width="2.625" style="45" customWidth="1"/>
    <col min="2" max="2" width="6.125" style="46" customWidth="1"/>
    <col min="3" max="3" width="17.875" style="45" customWidth="1"/>
    <col min="4" max="4" width="9.75" style="45" bestFit="1" customWidth="1"/>
    <col min="5" max="5" width="13.25" style="45" customWidth="1"/>
    <col min="6" max="6" width="13" style="45" customWidth="1"/>
    <col min="7" max="7" width="11.875" style="45" customWidth="1"/>
    <col min="8" max="8" width="25" style="45" bestFit="1" customWidth="1"/>
    <col min="9" max="9" width="9" style="45"/>
    <col min="10" max="10" width="10.625" style="45" bestFit="1" customWidth="1"/>
    <col min="11" max="11" width="9.125" style="45" bestFit="1" customWidth="1"/>
    <col min="12" max="16384" width="9" style="45"/>
  </cols>
  <sheetData>
    <row r="1" spans="2:9">
      <c r="B1" s="1077" t="s">
        <v>855</v>
      </c>
      <c r="C1" s="1078"/>
      <c r="D1" s="1078"/>
      <c r="E1" s="1078"/>
      <c r="F1" s="1078"/>
      <c r="G1" s="1078"/>
      <c r="H1" s="1079"/>
    </row>
    <row r="2" spans="2:9">
      <c r="B2" s="1138" t="s">
        <v>747</v>
      </c>
      <c r="C2" s="1139"/>
      <c r="D2" s="1139"/>
      <c r="E2" s="1139"/>
      <c r="F2" s="1139"/>
      <c r="G2" s="1139"/>
      <c r="H2" s="1140"/>
    </row>
    <row r="3" spans="2:9">
      <c r="B3" s="47" t="s">
        <v>69</v>
      </c>
      <c r="C3" s="48" t="s">
        <v>748</v>
      </c>
      <c r="D3" s="49" t="s">
        <v>82</v>
      </c>
      <c r="E3" s="50" t="s">
        <v>40</v>
      </c>
      <c r="F3" s="50"/>
      <c r="G3" s="50"/>
      <c r="H3" s="50"/>
    </row>
    <row r="4" spans="2:9">
      <c r="B4" s="47">
        <v>1</v>
      </c>
      <c r="C4" s="48" t="s">
        <v>150</v>
      </c>
      <c r="D4" s="49"/>
      <c r="E4" s="51">
        <v>2</v>
      </c>
      <c r="F4" s="52"/>
      <c r="G4" s="47"/>
      <c r="H4" s="47"/>
    </row>
    <row r="5" spans="2:9">
      <c r="B5" s="47">
        <v>2</v>
      </c>
      <c r="C5" s="48" t="s">
        <v>348</v>
      </c>
      <c r="D5" s="49"/>
      <c r="E5" s="53" t="e">
        <f>#REF!</f>
        <v>#REF!</v>
      </c>
      <c r="F5" s="47"/>
      <c r="G5" s="47"/>
      <c r="H5" s="47"/>
      <c r="I5" s="45" t="e">
        <f>#REF!/40</f>
        <v>#REF!</v>
      </c>
    </row>
    <row r="6" spans="2:9">
      <c r="B6" s="47">
        <v>3</v>
      </c>
      <c r="C6" s="48" t="s">
        <v>749</v>
      </c>
      <c r="D6" s="48"/>
      <c r="E6" s="51">
        <v>365</v>
      </c>
      <c r="F6" s="47" t="s">
        <v>750</v>
      </c>
      <c r="G6" s="51"/>
      <c r="H6" s="51"/>
    </row>
    <row r="7" spans="2:9">
      <c r="B7" s="47">
        <v>4</v>
      </c>
      <c r="C7" s="48" t="s">
        <v>351</v>
      </c>
      <c r="D7" s="49"/>
      <c r="E7" s="54">
        <v>0.2</v>
      </c>
      <c r="F7" s="55">
        <v>0</v>
      </c>
      <c r="G7" s="55"/>
      <c r="H7" s="55"/>
    </row>
    <row r="8" spans="2:9">
      <c r="B8" s="47">
        <v>5</v>
      </c>
      <c r="C8" s="48" t="s">
        <v>751</v>
      </c>
      <c r="D8" s="56" t="e">
        <f>SUM(E8:H8)</f>
        <v>#REF!</v>
      </c>
      <c r="E8" s="51" t="e">
        <f>ROUND(E4*E5*E6*(1-E7)*(1-F7)/10000,0)</f>
        <v>#REF!</v>
      </c>
      <c r="F8" s="51"/>
      <c r="G8" s="47"/>
      <c r="H8" s="47"/>
    </row>
    <row r="9" spans="2:9">
      <c r="B9" s="1080" t="s">
        <v>400</v>
      </c>
      <c r="C9" s="1080"/>
      <c r="D9" s="1080"/>
      <c r="E9" s="1080"/>
      <c r="F9" s="1080"/>
      <c r="G9" s="1080"/>
      <c r="H9" s="1080"/>
    </row>
    <row r="10" spans="2:9" customFormat="1">
      <c r="B10" s="58" t="s">
        <v>69</v>
      </c>
      <c r="C10" s="59" t="s">
        <v>124</v>
      </c>
      <c r="D10" s="60" t="s">
        <v>82</v>
      </c>
      <c r="E10" s="61" t="s">
        <v>41</v>
      </c>
      <c r="F10" s="61" t="s">
        <v>401</v>
      </c>
      <c r="G10" s="61" t="s">
        <v>402</v>
      </c>
      <c r="H10" s="62"/>
    </row>
    <row r="11" spans="2:9" customFormat="1">
      <c r="B11" s="58">
        <v>1.1000000000000001</v>
      </c>
      <c r="C11" s="63" t="s">
        <v>403</v>
      </c>
      <c r="D11" s="60" t="e">
        <f>SUM(D12:D14)</f>
        <v>#REF!</v>
      </c>
      <c r="E11" s="64" t="e">
        <f>SUM(E12:E14)</f>
        <v>#REF!</v>
      </c>
      <c r="F11" s="61"/>
      <c r="G11" s="65"/>
      <c r="H11" s="66"/>
    </row>
    <row r="12" spans="2:9" customFormat="1">
      <c r="B12" s="58" t="str">
        <f>[3]成本法!B42</f>
        <v>1.1.1</v>
      </c>
      <c r="C12" s="66" t="s">
        <v>40</v>
      </c>
      <c r="D12" s="60" t="e">
        <f t="shared" ref="D12:D14" si="0">ROUND(F12*E12/10000,0)</f>
        <v>#REF!</v>
      </c>
      <c r="E12" s="64" t="e">
        <f>#REF!</f>
        <v>#REF!</v>
      </c>
      <c r="F12" s="64">
        <v>2800</v>
      </c>
      <c r="G12" s="65"/>
      <c r="H12" s="66"/>
    </row>
    <row r="13" spans="2:9" customFormat="1">
      <c r="B13" s="58" t="str">
        <f>[3]成本法!B43</f>
        <v>1.1.2</v>
      </c>
      <c r="C13" s="66" t="str">
        <f>[3]成本法!C43</f>
        <v>地下非配套公建</v>
      </c>
      <c r="D13" s="60">
        <f t="shared" si="0"/>
        <v>0</v>
      </c>
      <c r="E13" s="64">
        <f>[3]成本法!E43</f>
        <v>0</v>
      </c>
      <c r="F13" s="64">
        <f>[3]成本法!F43</f>
        <v>0</v>
      </c>
      <c r="G13" s="65"/>
      <c r="H13" s="66"/>
    </row>
    <row r="14" spans="2:9" customFormat="1">
      <c r="B14" s="58" t="str">
        <f>[3]成本法!B44</f>
        <v>1.1.3</v>
      </c>
      <c r="C14" s="66" t="str">
        <f>[3]成本法!C44</f>
        <v>地下车库及其他用房</v>
      </c>
      <c r="D14" s="60">
        <f t="shared" si="0"/>
        <v>0</v>
      </c>
      <c r="E14" s="64">
        <f>[3]成本法!E44</f>
        <v>0</v>
      </c>
      <c r="F14" s="64">
        <f>[3]成本法!F44</f>
        <v>0</v>
      </c>
      <c r="G14" s="65"/>
      <c r="H14" s="66"/>
    </row>
    <row r="15" spans="2:9" customFormat="1">
      <c r="B15" s="58">
        <v>1.2</v>
      </c>
      <c r="C15" s="63" t="s">
        <v>404</v>
      </c>
      <c r="D15" s="60" t="e">
        <f>ROUND(D11*G15,0)</f>
        <v>#REF!</v>
      </c>
      <c r="E15" s="67"/>
      <c r="F15" s="67"/>
      <c r="G15" s="65">
        <f>'建筑（住）'!G8</f>
        <v>0.05</v>
      </c>
      <c r="H15" s="66" t="s">
        <v>405</v>
      </c>
    </row>
    <row r="16" spans="2:9" customFormat="1">
      <c r="B16" s="58">
        <v>1.3</v>
      </c>
      <c r="C16" s="63" t="s">
        <v>406</v>
      </c>
      <c r="D16" s="60" t="e">
        <f>ROUND(D11*G16,0)</f>
        <v>#REF!</v>
      </c>
      <c r="E16" s="67"/>
      <c r="F16" s="67"/>
      <c r="G16" s="65">
        <v>0</v>
      </c>
      <c r="H16" s="66" t="s">
        <v>407</v>
      </c>
    </row>
    <row r="17" spans="2:14" customFormat="1">
      <c r="B17" s="58">
        <v>1.4</v>
      </c>
      <c r="C17" s="63" t="s">
        <v>408</v>
      </c>
      <c r="D17" s="60" t="e">
        <f>ROUND(F17*E17/10000,0)</f>
        <v>#REF!</v>
      </c>
      <c r="E17" s="64" t="e">
        <f>E11</f>
        <v>#REF!</v>
      </c>
      <c r="F17" s="61">
        <v>200</v>
      </c>
      <c r="G17" s="63"/>
      <c r="H17" s="66" t="s">
        <v>409</v>
      </c>
    </row>
    <row r="18" spans="2:14" customFormat="1">
      <c r="B18" s="58">
        <v>1.5</v>
      </c>
      <c r="C18" s="63" t="s">
        <v>410</v>
      </c>
      <c r="D18" s="60" t="e">
        <f>ROUND(D11*G18,0)</f>
        <v>#REF!</v>
      </c>
      <c r="E18" s="67"/>
      <c r="F18" s="67"/>
      <c r="G18" s="68">
        <f>'建筑（住）'!G11</f>
        <v>1.4999999999999999E-2</v>
      </c>
      <c r="H18" s="66" t="s">
        <v>411</v>
      </c>
    </row>
    <row r="19" spans="2:14" customFormat="1">
      <c r="B19" s="58">
        <v>1</v>
      </c>
      <c r="C19" s="63" t="s">
        <v>412</v>
      </c>
      <c r="D19" s="60" t="e">
        <f>SUM(D12:D18)</f>
        <v>#REF!</v>
      </c>
      <c r="E19" s="63"/>
      <c r="F19" s="67"/>
      <c r="G19" s="67"/>
      <c r="H19" s="69" t="s">
        <v>413</v>
      </c>
    </row>
    <row r="20" spans="2:14" customFormat="1">
      <c r="B20" s="58">
        <v>2</v>
      </c>
      <c r="C20" s="63" t="s">
        <v>373</v>
      </c>
      <c r="D20" s="60" t="e">
        <f>ROUND(D19*G20,0)</f>
        <v>#REF!</v>
      </c>
      <c r="E20" s="70"/>
      <c r="F20" s="70"/>
      <c r="G20" s="71">
        <f>'建筑（住）'!G13</f>
        <v>0.03</v>
      </c>
      <c r="H20" s="66" t="s">
        <v>414</v>
      </c>
    </row>
    <row r="21" spans="2:14" customFormat="1">
      <c r="B21" s="58">
        <v>3</v>
      </c>
      <c r="C21" s="63" t="s">
        <v>415</v>
      </c>
      <c r="D21" s="60" t="s">
        <v>281</v>
      </c>
      <c r="E21" s="67"/>
      <c r="F21" s="67"/>
      <c r="G21" s="71">
        <f>'建筑（住）'!G14</f>
        <v>0.03</v>
      </c>
      <c r="H21" s="66" t="s">
        <v>416</v>
      </c>
    </row>
    <row r="22" spans="2:14" customFormat="1">
      <c r="B22" s="58">
        <v>4</v>
      </c>
      <c r="C22" s="72" t="s">
        <v>417</v>
      </c>
      <c r="D22" s="1081"/>
      <c r="E22" s="1082"/>
      <c r="F22" s="1082"/>
      <c r="G22" s="1082"/>
      <c r="H22" s="1083"/>
    </row>
    <row r="23" spans="2:14" customFormat="1">
      <c r="B23" s="58">
        <v>4.0999999999999996</v>
      </c>
      <c r="C23" s="63" t="s">
        <v>420</v>
      </c>
      <c r="D23" s="60" t="e">
        <f>ROUND((D19+D20)*G23*G24/2,0)</f>
        <v>#REF!</v>
      </c>
      <c r="E23" s="63"/>
      <c r="F23" s="67"/>
      <c r="G23" s="73">
        <v>0.06</v>
      </c>
      <c r="H23" s="67" t="s">
        <v>421</v>
      </c>
    </row>
    <row r="24" spans="2:14" customFormat="1">
      <c r="B24" s="58">
        <v>4.2</v>
      </c>
      <c r="C24" s="63" t="s">
        <v>423</v>
      </c>
      <c r="D24" s="74">
        <f>ROUND(G21*G24*G23/2,4)</f>
        <v>8.9999999999999998E-4</v>
      </c>
      <c r="E24" s="63"/>
      <c r="F24" s="67"/>
      <c r="G24" s="75">
        <v>1</v>
      </c>
      <c r="H24" s="67" t="s">
        <v>424</v>
      </c>
    </row>
    <row r="25" spans="2:14" customFormat="1">
      <c r="B25" s="58">
        <v>5</v>
      </c>
      <c r="C25" s="72" t="s">
        <v>426</v>
      </c>
      <c r="D25" s="1081"/>
      <c r="E25" s="1082"/>
      <c r="F25" s="1082"/>
      <c r="G25" s="1082"/>
      <c r="H25" s="1083"/>
    </row>
    <row r="26" spans="2:14" customFormat="1">
      <c r="B26" s="58">
        <v>5.0999999999999996</v>
      </c>
      <c r="C26" s="63" t="s">
        <v>428</v>
      </c>
      <c r="D26" s="60" t="e">
        <f>ROUND((D19+D20)*G26,0)</f>
        <v>#REF!</v>
      </c>
      <c r="E26" s="63"/>
      <c r="F26" s="67"/>
      <c r="G26" s="1072">
        <v>0.15</v>
      </c>
      <c r="H26" s="67" t="s">
        <v>429</v>
      </c>
    </row>
    <row r="27" spans="2:14" customFormat="1">
      <c r="B27" s="58">
        <v>5.2</v>
      </c>
      <c r="C27" s="63" t="s">
        <v>430</v>
      </c>
      <c r="D27" s="74">
        <f>ROUND(G21*G26,4)</f>
        <v>4.4999999999999997E-3</v>
      </c>
      <c r="E27" s="63"/>
      <c r="F27" s="67"/>
      <c r="G27" s="1073"/>
      <c r="H27" s="67" t="s">
        <v>431</v>
      </c>
    </row>
    <row r="28" spans="2:14" customFormat="1">
      <c r="B28" s="58">
        <v>6</v>
      </c>
      <c r="C28" s="72" t="s">
        <v>432</v>
      </c>
      <c r="D28" s="60" t="s">
        <v>281</v>
      </c>
      <c r="E28" s="59"/>
      <c r="F28" s="59"/>
      <c r="G28" s="71">
        <f>'建筑（住）'!G21</f>
        <v>5.6000000000000001E-2</v>
      </c>
      <c r="H28" s="66" t="s">
        <v>433</v>
      </c>
    </row>
    <row r="29" spans="2:14" customFormat="1">
      <c r="B29" s="58">
        <v>7</v>
      </c>
      <c r="C29" s="72" t="s">
        <v>434</v>
      </c>
      <c r="D29" s="60" t="e">
        <f>ROUND((D19+D20+D23+D26)/(1-G21-D24-D27-G28),0)</f>
        <v>#REF!</v>
      </c>
      <c r="E29" s="72"/>
      <c r="F29" s="72"/>
      <c r="G29" s="76"/>
      <c r="H29" s="66" t="s">
        <v>435</v>
      </c>
    </row>
    <row r="30" spans="2:14" customFormat="1">
      <c r="B30" s="58">
        <v>8</v>
      </c>
      <c r="C30" s="72" t="s">
        <v>436</v>
      </c>
      <c r="D30" s="60" t="s">
        <v>281</v>
      </c>
      <c r="E30" s="59"/>
      <c r="F30" s="59"/>
      <c r="G30" s="77">
        <f>K33</f>
        <v>0.77</v>
      </c>
      <c r="H30" s="66"/>
      <c r="J30" s="103" t="s">
        <v>418</v>
      </c>
      <c r="K30" s="104">
        <v>0</v>
      </c>
      <c r="L30" s="1074" t="s">
        <v>419</v>
      </c>
      <c r="N30" s="105"/>
    </row>
    <row r="31" spans="2:14" customFormat="1" ht="24">
      <c r="B31" s="58">
        <v>9</v>
      </c>
      <c r="C31" s="72" t="s">
        <v>103</v>
      </c>
      <c r="D31" s="60" t="e">
        <f>ROUND(D29*G30,0)</f>
        <v>#REF!</v>
      </c>
      <c r="E31" s="59"/>
      <c r="F31" s="59"/>
      <c r="G31" s="71"/>
      <c r="H31" s="66" t="s">
        <v>437</v>
      </c>
      <c r="J31" s="103" t="s">
        <v>422</v>
      </c>
      <c r="K31" s="106">
        <v>14</v>
      </c>
      <c r="L31" s="1075"/>
      <c r="N31" s="107"/>
    </row>
    <row r="32" spans="2:14" ht="24">
      <c r="B32" s="1138" t="s">
        <v>752</v>
      </c>
      <c r="C32" s="1139"/>
      <c r="D32" s="1139"/>
      <c r="E32" s="1139"/>
      <c r="F32" s="1139"/>
      <c r="G32" s="1139"/>
      <c r="H32" s="1140"/>
      <c r="J32" s="103" t="s">
        <v>425</v>
      </c>
      <c r="K32" s="106">
        <v>60</v>
      </c>
      <c r="L32" s="1075"/>
    </row>
    <row r="33" spans="2:12">
      <c r="B33" s="57" t="s">
        <v>69</v>
      </c>
      <c r="C33" s="57" t="s">
        <v>748</v>
      </c>
      <c r="D33" s="78" t="s">
        <v>82</v>
      </c>
      <c r="E33" s="57" t="s">
        <v>753</v>
      </c>
      <c r="F33" s="57" t="s">
        <v>401</v>
      </c>
      <c r="G33" s="57" t="s">
        <v>402</v>
      </c>
      <c r="H33" s="57" t="s">
        <v>754</v>
      </c>
      <c r="J33" s="108" t="s">
        <v>427</v>
      </c>
      <c r="K33" s="109">
        <f>ROUND(1-(1-K30)*K31/K32,2)</f>
        <v>0.77</v>
      </c>
      <c r="L33" s="1076"/>
    </row>
    <row r="34" spans="2:12">
      <c r="B34" s="47">
        <v>1</v>
      </c>
      <c r="C34" s="48" t="s">
        <v>755</v>
      </c>
      <c r="D34" s="49" t="e">
        <f>SUM(D35:D37)</f>
        <v>#REF!</v>
      </c>
      <c r="E34" s="48"/>
      <c r="F34" s="48"/>
      <c r="G34" s="79"/>
      <c r="H34" s="80" t="s">
        <v>756</v>
      </c>
      <c r="J34" s="45">
        <v>1999</v>
      </c>
    </row>
    <row r="35" spans="2:12">
      <c r="B35" s="47">
        <v>1.1000000000000001</v>
      </c>
      <c r="C35" s="48" t="s">
        <v>757</v>
      </c>
      <c r="D35" s="49" t="e">
        <f>ROUND(D8*G35,0)</f>
        <v>#REF!</v>
      </c>
      <c r="E35" s="48"/>
      <c r="F35" s="48"/>
      <c r="G35" s="81">
        <f>G28</f>
        <v>5.6000000000000001E-2</v>
      </c>
      <c r="H35" s="48" t="s">
        <v>758</v>
      </c>
    </row>
    <row r="36" spans="2:12">
      <c r="B36" s="47">
        <v>1.2</v>
      </c>
      <c r="C36" s="48" t="s">
        <v>358</v>
      </c>
      <c r="D36" s="82" t="e">
        <f>ROUND(G36*F36*E36,0)</f>
        <v>#REF!</v>
      </c>
      <c r="E36" s="48" t="e">
        <f>ROUND(D29*(1-D27)-D26,2)</f>
        <v>#REF!</v>
      </c>
      <c r="F36" s="83">
        <v>0.7</v>
      </c>
      <c r="G36" s="81">
        <v>1.2E-2</v>
      </c>
      <c r="H36" s="48" t="s">
        <v>759</v>
      </c>
    </row>
    <row r="37" spans="2:12">
      <c r="B37" s="47">
        <v>1.3</v>
      </c>
      <c r="C37" s="48" t="s">
        <v>361</v>
      </c>
      <c r="D37" s="49">
        <f>ROUND(E37*F37/10000,0)</f>
        <v>7</v>
      </c>
      <c r="E37" s="48">
        <f>权属依据!H10</f>
        <v>3026.76</v>
      </c>
      <c r="F37" s="84">
        <v>24</v>
      </c>
      <c r="G37" s="81"/>
      <c r="H37" s="48" t="s">
        <v>760</v>
      </c>
    </row>
    <row r="38" spans="2:12">
      <c r="B38" s="47">
        <v>2</v>
      </c>
      <c r="C38" s="48" t="s">
        <v>367</v>
      </c>
      <c r="D38" s="49" t="e">
        <f>ROUND(D29*G38,0)</f>
        <v>#REF!</v>
      </c>
      <c r="E38" s="48"/>
      <c r="F38" s="48"/>
      <c r="G38" s="81">
        <v>2E-3</v>
      </c>
      <c r="H38" s="48" t="s">
        <v>761</v>
      </c>
    </row>
    <row r="39" spans="2:12">
      <c r="B39" s="47">
        <v>3</v>
      </c>
      <c r="C39" s="48" t="s">
        <v>370</v>
      </c>
      <c r="D39" s="49" t="e">
        <f>ROUND(D31*G39,0)</f>
        <v>#REF!</v>
      </c>
      <c r="E39" s="48"/>
      <c r="F39" s="48"/>
      <c r="G39" s="85">
        <v>2.5000000000000001E-4</v>
      </c>
      <c r="H39" s="48" t="s">
        <v>762</v>
      </c>
      <c r="I39" s="110"/>
      <c r="J39" s="111"/>
    </row>
    <row r="40" spans="2:12">
      <c r="B40" s="47">
        <v>4</v>
      </c>
      <c r="C40" s="48" t="s">
        <v>373</v>
      </c>
      <c r="D40" s="49" t="e">
        <f>ROUND(D8*G40,0)</f>
        <v>#REF!</v>
      </c>
      <c r="E40" s="48"/>
      <c r="F40" s="48"/>
      <c r="G40" s="81">
        <v>0.02</v>
      </c>
      <c r="H40" s="48" t="s">
        <v>356</v>
      </c>
      <c r="I40" s="110"/>
      <c r="J40" s="111"/>
    </row>
    <row r="41" spans="2:12">
      <c r="B41" s="47">
        <v>5</v>
      </c>
      <c r="C41" s="48" t="s">
        <v>763</v>
      </c>
      <c r="D41" s="49" t="e">
        <f>ROUND(SUM(D35:D40),0)</f>
        <v>#REF!</v>
      </c>
      <c r="E41" s="48"/>
      <c r="F41" s="48"/>
      <c r="G41" s="48"/>
      <c r="H41" s="48"/>
      <c r="I41" s="110"/>
      <c r="J41" s="111"/>
    </row>
    <row r="42" spans="2:12">
      <c r="B42" s="1138" t="s">
        <v>764</v>
      </c>
      <c r="C42" s="1139"/>
      <c r="D42" s="1139"/>
      <c r="E42" s="1139"/>
      <c r="F42" s="1139"/>
      <c r="G42" s="1139"/>
      <c r="H42" s="1140"/>
      <c r="I42" s="110"/>
      <c r="J42" s="112"/>
    </row>
    <row r="43" spans="2:12">
      <c r="B43" s="47">
        <v>1</v>
      </c>
      <c r="C43" s="48" t="s">
        <v>765</v>
      </c>
      <c r="D43" s="86" t="e">
        <f>D8-D41</f>
        <v>#REF!</v>
      </c>
      <c r="E43" s="48"/>
      <c r="F43" s="47" t="s">
        <v>766</v>
      </c>
      <c r="G43" s="87">
        <f>'收（车）'!G40</f>
        <v>0.03</v>
      </c>
      <c r="H43" s="48"/>
      <c r="I43" s="110"/>
      <c r="J43" s="112"/>
    </row>
    <row r="44" spans="2:12">
      <c r="B44" s="47">
        <v>2</v>
      </c>
      <c r="C44" s="48" t="s">
        <v>767</v>
      </c>
      <c r="D44" s="88">
        <f>'收（车）'!D41</f>
        <v>5.5E-2</v>
      </c>
      <c r="E44" s="48"/>
      <c r="F44" s="48"/>
      <c r="G44" s="48"/>
      <c r="H44" s="48"/>
    </row>
    <row r="45" spans="2:12">
      <c r="B45" s="47">
        <v>3</v>
      </c>
      <c r="C45" s="48" t="s">
        <v>327</v>
      </c>
      <c r="D45" s="89">
        <v>34.56</v>
      </c>
      <c r="E45" s="48"/>
      <c r="F45" s="48"/>
      <c r="G45" s="48"/>
      <c r="H45" s="48" t="s">
        <v>22</v>
      </c>
      <c r="I45" s="113"/>
      <c r="J45" s="113"/>
    </row>
    <row r="46" spans="2:12">
      <c r="B46" s="47">
        <v>4</v>
      </c>
      <c r="C46" s="90" t="s">
        <v>104</v>
      </c>
      <c r="D46" s="86" t="e">
        <f>ROUND(D43/(D44-G43)*(1-POWER(((1+G43)/(1+D44)),D45)),0)</f>
        <v>#REF!</v>
      </c>
      <c r="E46" s="48"/>
      <c r="F46" s="91"/>
      <c r="G46" s="48"/>
      <c r="H46" s="48" t="s">
        <v>769</v>
      </c>
      <c r="I46" s="113"/>
      <c r="J46" s="113"/>
    </row>
    <row r="47" spans="2:12">
      <c r="B47" s="47"/>
      <c r="C47" s="92" t="s">
        <v>83</v>
      </c>
      <c r="D47" s="93" t="e">
        <f>ROUND(D46*10000/#REF!,0)</f>
        <v>#REF!</v>
      </c>
      <c r="E47" s="94"/>
      <c r="F47" s="94"/>
      <c r="G47" s="94"/>
      <c r="H47" s="94"/>
    </row>
    <row r="49" spans="3:6">
      <c r="C49" s="95" t="s">
        <v>391</v>
      </c>
      <c r="D49" s="96" t="e">
        <f>ROUND(D31*D50,0)</f>
        <v>#REF!</v>
      </c>
      <c r="E49" s="97"/>
      <c r="F49" s="97"/>
    </row>
    <row r="50" spans="3:6">
      <c r="C50" s="98" t="s">
        <v>392</v>
      </c>
      <c r="D50" s="99">
        <v>0.08</v>
      </c>
      <c r="E50" s="98" t="s">
        <v>393</v>
      </c>
      <c r="F50" s="99"/>
    </row>
    <row r="51" spans="3:6">
      <c r="C51" s="1063" t="s">
        <v>394</v>
      </c>
      <c r="D51" s="1064"/>
      <c r="E51" s="1064"/>
      <c r="F51" s="1065"/>
    </row>
    <row r="52" spans="3:6">
      <c r="C52" s="1066" t="s">
        <v>395</v>
      </c>
      <c r="D52" s="1066"/>
      <c r="E52" s="1067" t="s">
        <v>396</v>
      </c>
      <c r="F52" s="1068"/>
    </row>
    <row r="53" spans="3:6">
      <c r="C53" s="95" t="s">
        <v>397</v>
      </c>
      <c r="D53" s="100" t="e">
        <f>D49/D43</f>
        <v>#REF!</v>
      </c>
      <c r="E53" s="101"/>
      <c r="F53" s="100"/>
    </row>
    <row r="54" spans="3:6">
      <c r="C54" s="95" t="s">
        <v>398</v>
      </c>
      <c r="D54" s="100" t="e">
        <f>1-D53</f>
        <v>#REF!</v>
      </c>
      <c r="E54" s="101"/>
      <c r="F54" s="102"/>
    </row>
  </sheetData>
  <mergeCells count="12">
    <mergeCell ref="B42:H42"/>
    <mergeCell ref="C51:F51"/>
    <mergeCell ref="C52:D52"/>
    <mergeCell ref="E52:F52"/>
    <mergeCell ref="G26:G27"/>
    <mergeCell ref="L30:L33"/>
    <mergeCell ref="B1:H1"/>
    <mergeCell ref="B2:H2"/>
    <mergeCell ref="B9:H9"/>
    <mergeCell ref="D22:H22"/>
    <mergeCell ref="D25:H25"/>
    <mergeCell ref="B32:H32"/>
  </mergeCells>
  <phoneticPr fontId="97" type="noConversion"/>
  <pageMargins left="0.69861111111111107" right="0.69861111111111107" top="0.75" bottom="0.75" header="0.3" footer="0.3"/>
  <pageSetup paperSize="9" scale="65" orientation="portrait"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5"/>
  <sheetViews>
    <sheetView view="pageBreakPreview" topLeftCell="A23" workbookViewId="0">
      <selection activeCell="H13" sqref="H13:H14"/>
    </sheetView>
  </sheetViews>
  <sheetFormatPr defaultColWidth="9" defaultRowHeight="14.25"/>
  <cols>
    <col min="1" max="2" width="9" style="2"/>
    <col min="3" max="3" width="13.75" style="2" customWidth="1"/>
    <col min="4" max="5" width="9" style="2"/>
    <col min="6" max="6" width="12.875" style="2" bestFit="1" customWidth="1"/>
    <col min="7" max="7" width="9.625" style="2" bestFit="1" customWidth="1"/>
    <col min="8" max="8" width="11.25" style="2" customWidth="1"/>
    <col min="9" max="9" width="9.5" style="2" customWidth="1"/>
    <col min="10" max="10" width="11.75" style="2" bestFit="1" customWidth="1"/>
    <col min="11" max="11" width="9" style="2"/>
    <col min="12" max="12" width="11.25" style="2" customWidth="1"/>
    <col min="13" max="16384" width="9" style="2"/>
  </cols>
  <sheetData>
    <row r="1" spans="1:13" hidden="1">
      <c r="A1" s="1184" t="s">
        <v>856</v>
      </c>
      <c r="B1" s="1184"/>
      <c r="C1" s="1184"/>
      <c r="D1" s="1184"/>
      <c r="E1" s="1184"/>
      <c r="F1" s="1184"/>
      <c r="G1" s="1184"/>
      <c r="H1" s="1184"/>
      <c r="I1" s="1184"/>
      <c r="J1" s="1184"/>
      <c r="K1" s="1184"/>
      <c r="L1" s="1184"/>
      <c r="M1" s="1184"/>
    </row>
    <row r="2" spans="1:13" hidden="1">
      <c r="A2" s="1185" t="s">
        <v>69</v>
      </c>
      <c r="B2" s="1223" t="s">
        <v>857</v>
      </c>
      <c r="C2" s="1223" t="s">
        <v>41</v>
      </c>
      <c r="D2" s="1185" t="s">
        <v>401</v>
      </c>
      <c r="E2" s="1185" t="s">
        <v>858</v>
      </c>
      <c r="F2" s="1187" t="s">
        <v>859</v>
      </c>
      <c r="G2" s="1185" t="s">
        <v>860</v>
      </c>
      <c r="H2" s="1185" t="s">
        <v>786</v>
      </c>
      <c r="I2" s="1185"/>
      <c r="J2" s="1185" t="s">
        <v>103</v>
      </c>
      <c r="K2" s="1185"/>
      <c r="L2" s="1185" t="s">
        <v>104</v>
      </c>
      <c r="M2" s="1185"/>
    </row>
    <row r="3" spans="1:13" hidden="1">
      <c r="A3" s="1185"/>
      <c r="B3" s="1223"/>
      <c r="C3" s="1223"/>
      <c r="D3" s="1185"/>
      <c r="E3" s="1185"/>
      <c r="F3" s="1187"/>
      <c r="G3" s="1185"/>
      <c r="H3" s="3" t="s">
        <v>85</v>
      </c>
      <c r="I3" s="3" t="s">
        <v>83</v>
      </c>
      <c r="J3" s="3" t="s">
        <v>85</v>
      </c>
      <c r="K3" s="3" t="s">
        <v>83</v>
      </c>
      <c r="L3" s="3" t="s">
        <v>85</v>
      </c>
      <c r="M3" s="3" t="s">
        <v>83</v>
      </c>
    </row>
    <row r="4" spans="1:13" hidden="1">
      <c r="A4" s="3"/>
      <c r="B4" s="4">
        <v>-1</v>
      </c>
      <c r="C4" s="4">
        <f>[4]面积明细表!D5</f>
        <v>12609.27</v>
      </c>
      <c r="D4" s="3">
        <f>D5</f>
        <v>58446</v>
      </c>
      <c r="E4" s="3">
        <v>0.6</v>
      </c>
      <c r="F4" s="5">
        <v>1</v>
      </c>
      <c r="G4" s="3">
        <f t="shared" ref="G4:G7" si="0">ROUND(D4*E4*F4,0)</f>
        <v>35068</v>
      </c>
      <c r="H4" s="6">
        <f>L4-J4</f>
        <v>39802</v>
      </c>
      <c r="I4" s="7">
        <f>M4-K4</f>
        <v>31566</v>
      </c>
      <c r="J4" s="6">
        <f>'[4]收益（商业）'!G49</f>
        <v>4416</v>
      </c>
      <c r="K4" s="7">
        <f>ROUND(J4*10000/C4,0)</f>
        <v>3502</v>
      </c>
      <c r="L4" s="6">
        <f t="shared" ref="L4:L7" si="1">ROUND(G4*C4/10000,0)</f>
        <v>44218</v>
      </c>
      <c r="M4" s="3">
        <f t="shared" ref="M4:M7" si="2">G4</f>
        <v>35068</v>
      </c>
    </row>
    <row r="5" spans="1:13" hidden="1">
      <c r="A5" s="3">
        <v>1</v>
      </c>
      <c r="B5" s="7" t="e">
        <f>[5]面积明细表!B6</f>
        <v>#REF!</v>
      </c>
      <c r="C5" s="4">
        <f>[4]面积明细表!D6</f>
        <v>9144.66</v>
      </c>
      <c r="D5" s="3">
        <f>'[4]收益（商业）'!D49</f>
        <v>58446</v>
      </c>
      <c r="E5" s="3">
        <f>'[4]市场（商业）'!E33</f>
        <v>1</v>
      </c>
      <c r="F5" s="3">
        <v>1</v>
      </c>
      <c r="G5" s="3">
        <f t="shared" si="0"/>
        <v>58446</v>
      </c>
      <c r="H5" s="6">
        <f t="shared" ref="H5:I7" si="3">L5-J5</f>
        <v>49409</v>
      </c>
      <c r="I5" s="7">
        <f t="shared" si="3"/>
        <v>54030</v>
      </c>
      <c r="J5" s="6">
        <f>'[4]收益（商业）'!G50</f>
        <v>4038</v>
      </c>
      <c r="K5" s="7">
        <f>ROUND(J5*10000/C5,0)</f>
        <v>4416</v>
      </c>
      <c r="L5" s="6">
        <f t="shared" si="1"/>
        <v>53447</v>
      </c>
      <c r="M5" s="3">
        <f t="shared" si="2"/>
        <v>58446</v>
      </c>
    </row>
    <row r="6" spans="1:13" hidden="1">
      <c r="A6" s="3">
        <v>2</v>
      </c>
      <c r="B6" s="7" t="e">
        <f>[5]面积明细表!B7</f>
        <v>#REF!</v>
      </c>
      <c r="C6" s="4">
        <f>[4]面积明细表!D8</f>
        <v>12002.22</v>
      </c>
      <c r="D6" s="3">
        <f>$D$5</f>
        <v>58446</v>
      </c>
      <c r="E6" s="3">
        <v>0.8</v>
      </c>
      <c r="F6" s="3">
        <v>1</v>
      </c>
      <c r="G6" s="3">
        <f t="shared" si="0"/>
        <v>46757</v>
      </c>
      <c r="H6" s="6">
        <f t="shared" si="3"/>
        <v>50819</v>
      </c>
      <c r="I6" s="37">
        <f t="shared" si="3"/>
        <v>42341</v>
      </c>
      <c r="J6" s="6">
        <f>ROUND(K6*C6/10000,0)</f>
        <v>5300</v>
      </c>
      <c r="K6" s="37">
        <f>K5</f>
        <v>4416</v>
      </c>
      <c r="L6" s="6">
        <f t="shared" si="1"/>
        <v>56119</v>
      </c>
      <c r="M6" s="3">
        <f t="shared" si="2"/>
        <v>46757</v>
      </c>
    </row>
    <row r="7" spans="1:13" hidden="1">
      <c r="A7" s="3">
        <v>3</v>
      </c>
      <c r="B7" s="7" t="e">
        <f>[5]面积明细表!B8</f>
        <v>#REF!</v>
      </c>
      <c r="C7" s="4">
        <f>[4]面积明细表!D10</f>
        <v>12210.2</v>
      </c>
      <c r="D7" s="3">
        <f>$D$5</f>
        <v>58446</v>
      </c>
      <c r="E7" s="3">
        <v>0.7</v>
      </c>
      <c r="F7" s="3">
        <v>1</v>
      </c>
      <c r="G7" s="3">
        <f t="shared" si="0"/>
        <v>40912</v>
      </c>
      <c r="H7" s="6">
        <f t="shared" si="3"/>
        <v>44562</v>
      </c>
      <c r="I7" s="37">
        <f t="shared" si="3"/>
        <v>36496</v>
      </c>
      <c r="J7" s="6">
        <f>ROUND(K7*C7/10000,0)</f>
        <v>5392</v>
      </c>
      <c r="K7" s="37">
        <f>K6</f>
        <v>4416</v>
      </c>
      <c r="L7" s="6">
        <f t="shared" si="1"/>
        <v>49954</v>
      </c>
      <c r="M7" s="3">
        <f t="shared" si="2"/>
        <v>40912</v>
      </c>
    </row>
    <row r="8" spans="1:13" hidden="1">
      <c r="A8" s="3" t="s">
        <v>112</v>
      </c>
      <c r="B8" s="4" t="s">
        <v>281</v>
      </c>
      <c r="C8" s="4">
        <f>SUM(C4:C7)</f>
        <v>45966.350000000006</v>
      </c>
      <c r="D8" s="3" t="s">
        <v>281</v>
      </c>
      <c r="E8" s="3" t="s">
        <v>281</v>
      </c>
      <c r="F8" s="3" t="s">
        <v>281</v>
      </c>
      <c r="G8" s="3" t="s">
        <v>281</v>
      </c>
      <c r="H8" s="1186">
        <f>ROUND(H5+H6+H7+H4,0)</f>
        <v>184592</v>
      </c>
      <c r="I8" s="1186"/>
      <c r="J8" s="1186">
        <f>ROUND(J5+J6+J7+J4,0)</f>
        <v>19146</v>
      </c>
      <c r="K8" s="1186"/>
      <c r="L8" s="6">
        <f>SUM(L4:L7)</f>
        <v>203738</v>
      </c>
      <c r="M8" s="37">
        <f>ROUND(L8*10000/C8,1)</f>
        <v>44323.3</v>
      </c>
    </row>
    <row r="9" spans="1:13" hidden="1">
      <c r="A9" s="1189" t="s">
        <v>861</v>
      </c>
      <c r="B9" s="1190"/>
      <c r="C9" s="1190"/>
      <c r="D9" s="1190"/>
      <c r="E9" s="1190"/>
      <c r="F9" s="1190"/>
      <c r="G9" s="1191"/>
      <c r="H9" s="1192">
        <f t="shared" ref="H9:L9" si="4">H8</f>
        <v>184592</v>
      </c>
      <c r="I9" s="1192"/>
      <c r="J9" s="1192">
        <f t="shared" si="4"/>
        <v>19146</v>
      </c>
      <c r="K9" s="1192"/>
      <c r="L9" s="1192">
        <f t="shared" si="4"/>
        <v>203738</v>
      </c>
      <c r="M9" s="1192"/>
    </row>
    <row r="10" spans="1:13" hidden="1">
      <c r="A10" s="1185" t="s">
        <v>862</v>
      </c>
      <c r="B10" s="1185"/>
      <c r="C10" s="1185"/>
      <c r="D10" s="1185"/>
      <c r="E10" s="1185"/>
      <c r="F10" s="1185"/>
      <c r="G10" s="1185"/>
      <c r="H10" s="1193">
        <v>0</v>
      </c>
      <c r="I10" s="1193"/>
      <c r="J10" s="1193"/>
      <c r="K10" s="1193"/>
      <c r="L10" s="1193"/>
      <c r="M10" s="1194"/>
    </row>
    <row r="11" spans="1:13" hidden="1">
      <c r="A11" s="1195" t="s">
        <v>863</v>
      </c>
      <c r="B11" s="1195"/>
      <c r="C11" s="1195"/>
      <c r="D11" s="1195"/>
      <c r="E11" s="1195"/>
      <c r="F11" s="1195"/>
      <c r="G11" s="1195"/>
      <c r="H11" s="1196">
        <f>L8-H10</f>
        <v>203738</v>
      </c>
      <c r="I11" s="1197"/>
      <c r="J11" s="1197"/>
      <c r="K11" s="1197"/>
      <c r="L11" s="1197"/>
      <c r="M11" s="1198"/>
    </row>
    <row r="12" spans="1:13" hidden="1">
      <c r="A12" s="1189" t="s">
        <v>861</v>
      </c>
      <c r="B12" s="1190"/>
      <c r="C12" s="1190"/>
      <c r="D12" s="1190"/>
      <c r="E12" s="1190"/>
      <c r="F12" s="1190"/>
      <c r="G12" s="1191"/>
      <c r="H12" s="1199">
        <f>H11</f>
        <v>203738</v>
      </c>
      <c r="I12" s="1199"/>
      <c r="J12" s="1199"/>
      <c r="K12" s="1199"/>
      <c r="L12" s="1199"/>
      <c r="M12" s="1200"/>
    </row>
    <row r="13" spans="1:13" hidden="1">
      <c r="M13" s="38" t="s">
        <v>864</v>
      </c>
    </row>
    <row r="14" spans="1:13">
      <c r="M14" s="38" t="s">
        <v>864</v>
      </c>
    </row>
    <row r="15" spans="1:13">
      <c r="D15" s="1188" t="s">
        <v>865</v>
      </c>
      <c r="E15" s="1188"/>
      <c r="F15" s="1188"/>
      <c r="G15" s="1188"/>
      <c r="H15" s="1188"/>
      <c r="I15" s="1188"/>
      <c r="J15" s="39"/>
    </row>
    <row r="16" spans="1:13" ht="28.5">
      <c r="D16" s="8" t="s">
        <v>69</v>
      </c>
      <c r="E16" s="1188" t="s">
        <v>866</v>
      </c>
      <c r="F16" s="1188"/>
      <c r="G16" s="8" t="s">
        <v>867</v>
      </c>
      <c r="H16" s="8" t="s">
        <v>868</v>
      </c>
      <c r="I16" s="8" t="s">
        <v>869</v>
      </c>
      <c r="J16" s="40" t="s">
        <v>870</v>
      </c>
      <c r="K16" s="41" t="e">
        <f>H11-G23</f>
        <v>#REF!</v>
      </c>
    </row>
    <row r="17" spans="4:11" ht="14.25" customHeight="1">
      <c r="D17" s="9">
        <v>1</v>
      </c>
      <c r="E17" s="1204" t="s">
        <v>871</v>
      </c>
      <c r="F17" s="1204"/>
      <c r="G17" s="9" t="e">
        <f>ROUND(J17*I17,0)</f>
        <v>#REF!</v>
      </c>
      <c r="H17" s="9" t="s">
        <v>872</v>
      </c>
      <c r="I17" s="42">
        <v>5.6000000000000001E-2</v>
      </c>
      <c r="J17" s="43" t="e">
        <f>F33</f>
        <v>#REF!</v>
      </c>
    </row>
    <row r="18" spans="4:11" ht="14.25" customHeight="1">
      <c r="D18" s="9">
        <v>2</v>
      </c>
      <c r="E18" s="1204" t="s">
        <v>873</v>
      </c>
      <c r="F18" s="1204"/>
      <c r="G18" s="9" t="e">
        <f>ROUND(J18*I18,0)</f>
        <v>#REF!</v>
      </c>
      <c r="H18" s="9" t="s">
        <v>874</v>
      </c>
      <c r="I18" s="42">
        <v>5.0000000000000001E-4</v>
      </c>
      <c r="J18" s="43" t="e">
        <f>J17</f>
        <v>#REF!</v>
      </c>
    </row>
    <row r="19" spans="4:11" ht="14.25" customHeight="1">
      <c r="D19" s="1204">
        <v>3</v>
      </c>
      <c r="E19" s="1204" t="s">
        <v>875</v>
      </c>
      <c r="F19" s="1204"/>
      <c r="G19" s="1204" t="e">
        <f>F45</f>
        <v>#REF!</v>
      </c>
      <c r="H19" s="1204" t="s">
        <v>874</v>
      </c>
      <c r="I19" s="1207">
        <v>0</v>
      </c>
      <c r="J19" s="1208"/>
    </row>
    <row r="20" spans="4:11" ht="14.25" customHeight="1">
      <c r="D20" s="1204"/>
      <c r="E20" s="1204"/>
      <c r="F20" s="1204"/>
      <c r="G20" s="1204"/>
      <c r="H20" s="1204"/>
      <c r="I20" s="1207"/>
      <c r="J20" s="1208"/>
    </row>
    <row r="21" spans="4:11" ht="14.25" customHeight="1">
      <c r="D21" s="1204">
        <v>4</v>
      </c>
      <c r="E21" s="1204" t="s">
        <v>876</v>
      </c>
      <c r="F21" s="1204"/>
      <c r="G21" s="1204">
        <v>0</v>
      </c>
      <c r="H21" s="1204" t="s">
        <v>874</v>
      </c>
      <c r="I21" s="1207">
        <v>0</v>
      </c>
      <c r="J21" s="1209"/>
    </row>
    <row r="22" spans="4:11" ht="14.25" customHeight="1">
      <c r="D22" s="1204"/>
      <c r="E22" s="1204"/>
      <c r="F22" s="1204"/>
      <c r="G22" s="1204" t="e">
        <f>ROUND(E18*I22,0)</f>
        <v>#VALUE!</v>
      </c>
      <c r="H22" s="1204"/>
      <c r="I22" s="1207"/>
      <c r="J22" s="1208"/>
      <c r="K22" s="2" t="e">
        <f>G21+G19+G18+G17</f>
        <v>#REF!</v>
      </c>
    </row>
    <row r="23" spans="4:11" ht="14.25" customHeight="1">
      <c r="D23" s="1204">
        <v>6</v>
      </c>
      <c r="E23" s="1204" t="s">
        <v>877</v>
      </c>
      <c r="F23" s="9" t="s">
        <v>878</v>
      </c>
      <c r="G23" s="1204" t="e">
        <f>SUM(G17:G21)</f>
        <v>#REF!</v>
      </c>
      <c r="H23" s="1204"/>
      <c r="I23" s="1204"/>
      <c r="J23" s="39"/>
    </row>
    <row r="24" spans="4:11" ht="28.5" customHeight="1">
      <c r="D24" s="1204"/>
      <c r="E24" s="1204"/>
      <c r="F24" s="9" t="s">
        <v>879</v>
      </c>
      <c r="G24" s="1205" t="e">
        <f>G23*10000</f>
        <v>#REF!</v>
      </c>
      <c r="H24" s="1205"/>
      <c r="I24" s="1205"/>
      <c r="J24" s="39"/>
    </row>
    <row r="25" spans="4:11">
      <c r="D25" s="10"/>
      <c r="E25" s="10"/>
      <c r="F25" s="10"/>
      <c r="G25" s="10"/>
      <c r="H25" s="10"/>
      <c r="I25" s="10"/>
      <c r="J25" s="10"/>
    </row>
    <row r="26" spans="4:11">
      <c r="D26" s="10"/>
      <c r="E26" s="10"/>
      <c r="F26" s="10"/>
      <c r="G26" s="10"/>
      <c r="H26" s="10"/>
      <c r="I26" s="10"/>
      <c r="J26" s="10"/>
    </row>
    <row r="27" spans="4:11">
      <c r="D27" s="10"/>
      <c r="E27" s="10"/>
      <c r="F27" s="10"/>
      <c r="G27" s="10"/>
      <c r="H27" s="10"/>
      <c r="I27" s="10"/>
      <c r="J27" s="10"/>
    </row>
    <row r="28" spans="4:11">
      <c r="D28" s="10"/>
      <c r="E28" s="10"/>
      <c r="F28" s="10"/>
      <c r="G28" s="10"/>
      <c r="H28" s="10"/>
      <c r="I28" s="10"/>
      <c r="J28" s="10"/>
    </row>
    <row r="29" spans="4:11" ht="14.25" customHeight="1">
      <c r="D29" s="10"/>
      <c r="E29" s="10"/>
      <c r="F29" s="10"/>
      <c r="G29" s="10"/>
      <c r="H29" s="10"/>
      <c r="I29" s="10"/>
      <c r="J29" s="10"/>
    </row>
    <row r="30" spans="4:11">
      <c r="D30" s="1206" t="s">
        <v>880</v>
      </c>
      <c r="E30" s="1206"/>
      <c r="F30" s="1206"/>
      <c r="G30" s="1206"/>
      <c r="H30" s="1206"/>
      <c r="I30" s="1206"/>
      <c r="J30" s="1206"/>
    </row>
    <row r="31" spans="4:11" ht="14.25" customHeight="1">
      <c r="D31" s="1201" t="s">
        <v>875</v>
      </c>
      <c r="E31" s="1202"/>
      <c r="F31" s="1202"/>
      <c r="G31" s="1202"/>
      <c r="H31" s="1202"/>
      <c r="I31" s="1202"/>
      <c r="J31" s="1203"/>
    </row>
    <row r="32" spans="4:11">
      <c r="D32" s="1215" t="s">
        <v>124</v>
      </c>
      <c r="E32" s="1216"/>
      <c r="F32" s="11"/>
      <c r="G32" s="11" t="s">
        <v>881</v>
      </c>
      <c r="H32" s="1217" t="s">
        <v>754</v>
      </c>
      <c r="I32" s="1217"/>
      <c r="J32" s="1218"/>
    </row>
    <row r="33" spans="3:10" ht="14.25" customHeight="1">
      <c r="C33" s="2" t="e">
        <f>F33/'[6]收益法（地上商业）'!D5</f>
        <v>#REF!</v>
      </c>
      <c r="D33" s="12">
        <v>1</v>
      </c>
      <c r="E33" s="13" t="s">
        <v>882</v>
      </c>
      <c r="F33" s="14" t="e">
        <f>结果汇总!#REF!*0.6</f>
        <v>#REF!</v>
      </c>
      <c r="G33" s="15" t="s">
        <v>281</v>
      </c>
      <c r="H33" s="1219" t="s">
        <v>883</v>
      </c>
      <c r="I33" s="1219"/>
      <c r="J33" s="1220"/>
    </row>
    <row r="34" spans="3:10" ht="36.75" customHeight="1">
      <c r="D34" s="16">
        <v>2</v>
      </c>
      <c r="E34" s="17" t="s">
        <v>884</v>
      </c>
      <c r="F34" s="18" t="e">
        <f>F35+F38+F39+F40+F41+F42</f>
        <v>#REF!</v>
      </c>
      <c r="G34" s="15"/>
      <c r="H34" s="1219"/>
      <c r="I34" s="1219"/>
      <c r="J34" s="1220"/>
    </row>
    <row r="35" spans="3:10" ht="36.75" customHeight="1">
      <c r="D35" s="19" t="s">
        <v>885</v>
      </c>
      <c r="E35" s="20" t="s">
        <v>886</v>
      </c>
      <c r="F35" s="15">
        <f>F36+F37</f>
        <v>16488</v>
      </c>
      <c r="G35" s="15" t="s">
        <v>281</v>
      </c>
      <c r="H35" s="1219" t="s">
        <v>887</v>
      </c>
      <c r="I35" s="1219"/>
      <c r="J35" s="1220"/>
    </row>
    <row r="36" spans="3:10" ht="14.25" customHeight="1">
      <c r="D36" s="19" t="s">
        <v>888</v>
      </c>
      <c r="E36" s="21" t="s">
        <v>889</v>
      </c>
      <c r="F36" s="22">
        <v>16000</v>
      </c>
      <c r="G36" s="23"/>
      <c r="H36" s="1219" t="s">
        <v>890</v>
      </c>
      <c r="I36" s="1219"/>
      <c r="J36" s="1220"/>
    </row>
    <row r="37" spans="3:10">
      <c r="D37" s="19" t="s">
        <v>891</v>
      </c>
      <c r="E37" s="21" t="s">
        <v>410</v>
      </c>
      <c r="F37" s="15">
        <f>ROUND(F36*G37,0)</f>
        <v>488</v>
      </c>
      <c r="G37" s="23">
        <v>3.0499999999999999E-2</v>
      </c>
      <c r="H37" s="1219" t="s">
        <v>892</v>
      </c>
      <c r="I37" s="1219"/>
      <c r="J37" s="1220"/>
    </row>
    <row r="38" spans="3:10" s="1" customFormat="1" ht="42.75" customHeight="1">
      <c r="D38" s="24" t="s">
        <v>893</v>
      </c>
      <c r="E38" s="25" t="s">
        <v>894</v>
      </c>
      <c r="F38" s="22"/>
      <c r="G38" s="22"/>
      <c r="H38" s="1224" t="s">
        <v>895</v>
      </c>
      <c r="I38" s="1225"/>
      <c r="J38" s="1226"/>
    </row>
    <row r="39" spans="3:10" ht="36">
      <c r="D39" s="19" t="s">
        <v>893</v>
      </c>
      <c r="E39" s="20" t="s">
        <v>412</v>
      </c>
      <c r="F39" s="26" t="e">
        <f>#REF!+'收益法 (商)'!D16+'收（车）'!D16</f>
        <v>#REF!</v>
      </c>
      <c r="G39" s="15" t="s">
        <v>896</v>
      </c>
      <c r="H39" s="1219" t="s">
        <v>897</v>
      </c>
      <c r="I39" s="1219"/>
      <c r="J39" s="1220"/>
    </row>
    <row r="40" spans="3:10" ht="24">
      <c r="D40" s="19" t="s">
        <v>898</v>
      </c>
      <c r="E40" s="20" t="s">
        <v>899</v>
      </c>
      <c r="F40" s="15" t="e">
        <f>ROUND((F35+F38+F39)*G40,0)</f>
        <v>#REF!</v>
      </c>
      <c r="G40" s="27">
        <v>0.05</v>
      </c>
      <c r="H40" s="1219" t="s">
        <v>900</v>
      </c>
      <c r="I40" s="1219"/>
      <c r="J40" s="1220"/>
    </row>
    <row r="41" spans="3:10" ht="36">
      <c r="D41" s="19" t="s">
        <v>901</v>
      </c>
      <c r="E41" s="20" t="s">
        <v>902</v>
      </c>
      <c r="F41" s="28" t="e">
        <f>ROUND(F33*G41,0)</f>
        <v>#REF!</v>
      </c>
      <c r="G41" s="29">
        <f>H41+I41</f>
        <v>5.5500000000000001E-2</v>
      </c>
      <c r="H41" s="30">
        <v>5.5E-2</v>
      </c>
      <c r="I41" s="29">
        <v>5.0000000000000001E-4</v>
      </c>
      <c r="J41" s="44" t="s">
        <v>903</v>
      </c>
    </row>
    <row r="42" spans="3:10" ht="24">
      <c r="D42" s="19" t="s">
        <v>904</v>
      </c>
      <c r="E42" s="20" t="s">
        <v>905</v>
      </c>
      <c r="F42" s="15" t="e">
        <f>ROUND((F38+F39)*G42,0)</f>
        <v>#REF!</v>
      </c>
      <c r="G42" s="27">
        <v>0.2</v>
      </c>
      <c r="H42" s="1210" t="s">
        <v>906</v>
      </c>
      <c r="I42" s="1211"/>
      <c r="J42" s="1212"/>
    </row>
    <row r="43" spans="3:10">
      <c r="D43" s="31" t="s">
        <v>376</v>
      </c>
      <c r="E43" s="13" t="s">
        <v>907</v>
      </c>
      <c r="F43" s="18" t="e">
        <f>ROUND(F33-F34,0)</f>
        <v>#REF!</v>
      </c>
      <c r="G43" s="15"/>
      <c r="H43" s="1213"/>
      <c r="I43" s="1213"/>
      <c r="J43" s="1214"/>
    </row>
    <row r="44" spans="3:10" ht="36">
      <c r="D44" s="31" t="s">
        <v>378</v>
      </c>
      <c r="E44" s="13" t="s">
        <v>908</v>
      </c>
      <c r="F44" s="32" t="e">
        <f>F43/F34</f>
        <v>#REF!</v>
      </c>
      <c r="G44" s="15"/>
      <c r="H44" s="1213"/>
      <c r="I44" s="1213"/>
      <c r="J44" s="1214"/>
    </row>
    <row r="45" spans="3:10" ht="24">
      <c r="D45" s="33" t="s">
        <v>381</v>
      </c>
      <c r="E45" s="34" t="s">
        <v>909</v>
      </c>
      <c r="F45" s="35" t="e">
        <f>ROUND(IF(F44&gt;=200%,F43*60%-F34*35%,IF(F44&gt;=100%,F43*50%-F34*15%,IF(F44&gt;=50%,F43*40%-F34*5%,IF(F44&lt;50%,F43*30%)))),0)</f>
        <v>#REF!</v>
      </c>
      <c r="G45" s="36"/>
      <c r="H45" s="1221"/>
      <c r="I45" s="1221"/>
      <c r="J45" s="1222"/>
    </row>
  </sheetData>
  <mergeCells count="59">
    <mergeCell ref="H44:J44"/>
    <mergeCell ref="H45:J45"/>
    <mergeCell ref="A2:A3"/>
    <mergeCell ref="B2:B3"/>
    <mergeCell ref="C2:C3"/>
    <mergeCell ref="D2:D3"/>
    <mergeCell ref="D19:D20"/>
    <mergeCell ref="D21:D22"/>
    <mergeCell ref="D23:D24"/>
    <mergeCell ref="E2:E3"/>
    <mergeCell ref="H37:J37"/>
    <mergeCell ref="H38:J38"/>
    <mergeCell ref="H39:J39"/>
    <mergeCell ref="H40:J40"/>
    <mergeCell ref="H21:H22"/>
    <mergeCell ref="I19:I20"/>
    <mergeCell ref="H42:J42"/>
    <mergeCell ref="H43:J43"/>
    <mergeCell ref="D32:E32"/>
    <mergeCell ref="H32:J32"/>
    <mergeCell ref="H33:J33"/>
    <mergeCell ref="H34:J34"/>
    <mergeCell ref="H35:J35"/>
    <mergeCell ref="H36:J36"/>
    <mergeCell ref="E17:F17"/>
    <mergeCell ref="E18:F18"/>
    <mergeCell ref="G23:I23"/>
    <mergeCell ref="G24:I24"/>
    <mergeCell ref="D30:J30"/>
    <mergeCell ref="E19:F20"/>
    <mergeCell ref="E21:F22"/>
    <mergeCell ref="I21:I22"/>
    <mergeCell ref="J19:J20"/>
    <mergeCell ref="J21:J22"/>
    <mergeCell ref="D31:J31"/>
    <mergeCell ref="E23:E24"/>
    <mergeCell ref="G19:G20"/>
    <mergeCell ref="G21:G22"/>
    <mergeCell ref="H19:H20"/>
    <mergeCell ref="E16:F16"/>
    <mergeCell ref="A9:G9"/>
    <mergeCell ref="H9:I9"/>
    <mergeCell ref="J9:K9"/>
    <mergeCell ref="L9:M9"/>
    <mergeCell ref="A10:G10"/>
    <mergeCell ref="H10:M10"/>
    <mergeCell ref="A11:G11"/>
    <mergeCell ref="H11:M11"/>
    <mergeCell ref="A12:G12"/>
    <mergeCell ref="H12:M12"/>
    <mergeCell ref="D15:I15"/>
    <mergeCell ref="A1:M1"/>
    <mergeCell ref="H2:I2"/>
    <mergeCell ref="J2:K2"/>
    <mergeCell ref="L2:M2"/>
    <mergeCell ref="H8:I8"/>
    <mergeCell ref="J8:K8"/>
    <mergeCell ref="F2:F3"/>
    <mergeCell ref="G2:G3"/>
  </mergeCells>
  <phoneticPr fontId="97" type="noConversion"/>
  <pageMargins left="0.70833333333333337" right="0.70833333333333337" top="0.74791666666666667" bottom="0.74791666666666667" header="0.31458333333333333" footer="0.31458333333333333"/>
  <pageSetup paperSize="9" scale="85" orientation="portrait" r:id="rId1"/>
  <headerFooter alignWithMargins="0"/>
  <colBreaks count="1" manualBreakCount="1">
    <brk id="10" min="14" max="44"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view="pageBreakPreview" zoomScaleSheetLayoutView="100" workbookViewId="0">
      <selection activeCell="B6" sqref="B6"/>
    </sheetView>
  </sheetViews>
  <sheetFormatPr defaultRowHeight="13.5"/>
  <sheetData>
    <row r="1" spans="1:3">
      <c r="A1" t="s">
        <v>910</v>
      </c>
      <c r="B1" t="s">
        <v>913</v>
      </c>
      <c r="C1" t="s">
        <v>914</v>
      </c>
    </row>
    <row r="2" spans="1:3">
      <c r="A2" t="s">
        <v>911</v>
      </c>
      <c r="B2">
        <v>45260.62</v>
      </c>
      <c r="C2" t="s">
        <v>916</v>
      </c>
    </row>
    <row r="3" spans="1:3">
      <c r="A3" t="s">
        <v>912</v>
      </c>
      <c r="B3">
        <f>B4-B2</f>
        <v>5875.4099999999962</v>
      </c>
      <c r="C3" t="s">
        <v>917</v>
      </c>
    </row>
    <row r="4" spans="1:3">
      <c r="A4" t="s">
        <v>915</v>
      </c>
      <c r="B4">
        <v>51136.03</v>
      </c>
    </row>
    <row r="6" spans="1:3">
      <c r="A6" t="s">
        <v>918</v>
      </c>
      <c r="B6">
        <v>21989.41</v>
      </c>
    </row>
    <row r="7" spans="1:3">
      <c r="A7" t="s">
        <v>919</v>
      </c>
      <c r="B7">
        <f>ROUND(B2/B6,2)</f>
        <v>2.06</v>
      </c>
    </row>
  </sheetData>
  <phoneticPr fontId="9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3"/>
  <sheetViews>
    <sheetView tabSelected="1" view="pageBreakPreview" topLeftCell="D1" workbookViewId="0">
      <selection activeCell="J6" sqref="J6"/>
    </sheetView>
  </sheetViews>
  <sheetFormatPr defaultColWidth="12.625" defaultRowHeight="13.5"/>
  <cols>
    <col min="1" max="1" width="4.5" customWidth="1"/>
    <col min="7" max="7" width="10" customWidth="1"/>
    <col min="8" max="8" width="13.25" customWidth="1"/>
    <col min="13" max="13" width="9.75" customWidth="1"/>
    <col min="14" max="14" width="65" customWidth="1"/>
    <col min="15" max="15" width="9.5" customWidth="1"/>
    <col min="16" max="16" width="10" customWidth="1"/>
  </cols>
  <sheetData>
    <row r="1" spans="2:16" ht="20.25" customHeight="1">
      <c r="L1" s="948" t="s">
        <v>75</v>
      </c>
      <c r="M1" s="948"/>
      <c r="N1" s="948"/>
      <c r="O1" s="948"/>
      <c r="P1" s="948"/>
    </row>
    <row r="2" spans="2:16" ht="20.25" customHeight="1">
      <c r="B2" s="949" t="s">
        <v>76</v>
      </c>
      <c r="C2" s="949"/>
      <c r="D2" s="949"/>
      <c r="E2" s="949"/>
      <c r="F2" s="949"/>
      <c r="G2" s="949"/>
      <c r="H2" s="949"/>
      <c r="L2" s="948" t="s">
        <v>77</v>
      </c>
      <c r="M2" s="948" t="s">
        <v>78</v>
      </c>
      <c r="N2" s="948" t="s">
        <v>79</v>
      </c>
      <c r="O2" s="948" t="s">
        <v>80</v>
      </c>
      <c r="P2" s="948"/>
    </row>
    <row r="3" spans="2:16" ht="20.25" customHeight="1">
      <c r="B3" s="979" t="s">
        <v>911</v>
      </c>
      <c r="C3" s="838" t="s">
        <v>81</v>
      </c>
      <c r="D3" s="838" t="s">
        <v>82</v>
      </c>
      <c r="E3" s="838" t="s">
        <v>83</v>
      </c>
      <c r="F3" s="838" t="s">
        <v>84</v>
      </c>
      <c r="G3" s="838" t="s">
        <v>85</v>
      </c>
      <c r="H3" s="839" t="s">
        <v>83</v>
      </c>
      <c r="L3" s="958"/>
      <c r="M3" s="958"/>
      <c r="N3" s="948"/>
      <c r="O3" s="854" t="s">
        <v>86</v>
      </c>
      <c r="P3" s="854" t="s">
        <v>87</v>
      </c>
    </row>
    <row r="4" spans="2:16" ht="20.25" customHeight="1">
      <c r="B4" s="980"/>
      <c r="C4" s="840" t="s">
        <v>920</v>
      </c>
      <c r="D4" s="840">
        <f>'市（商业）'!O30</f>
        <v>79842</v>
      </c>
      <c r="E4" s="840">
        <f>ROUND(D4/C13*10000,0)</f>
        <v>17641</v>
      </c>
      <c r="F4" s="841">
        <v>0.5</v>
      </c>
      <c r="G4" s="952">
        <f>ROUND(F4*D4+D5*F5,0)</f>
        <v>76133</v>
      </c>
      <c r="H4" s="954">
        <f>G4/C13*10000</f>
        <v>16821.024546283279</v>
      </c>
      <c r="L4" s="959" t="s">
        <v>89</v>
      </c>
      <c r="M4" s="948">
        <v>25</v>
      </c>
      <c r="N4" s="854" t="s">
        <v>90</v>
      </c>
      <c r="O4" s="948">
        <v>20</v>
      </c>
      <c r="P4" s="948">
        <v>20</v>
      </c>
    </row>
    <row r="5" spans="2:16" ht="20.25" customHeight="1">
      <c r="B5" s="981"/>
      <c r="C5" s="842" t="s">
        <v>91</v>
      </c>
      <c r="D5" s="843">
        <f>'收益法 (商)'!D43</f>
        <v>72424</v>
      </c>
      <c r="E5" s="844">
        <f>ROUND(D5*10000/C13,0)</f>
        <v>16002</v>
      </c>
      <c r="F5" s="842">
        <f>1-F4</f>
        <v>0.5</v>
      </c>
      <c r="G5" s="953"/>
      <c r="H5" s="955" t="e">
        <f>ROUND(G5/(#REF!+#REF!)*10000,0)</f>
        <v>#REF!</v>
      </c>
      <c r="L5" s="959"/>
      <c r="M5" s="948"/>
      <c r="N5" s="854" t="s">
        <v>92</v>
      </c>
      <c r="O5" s="948"/>
      <c r="P5" s="948"/>
    </row>
    <row r="6" spans="2:16" ht="20.25" customHeight="1">
      <c r="B6" s="982" t="s">
        <v>93</v>
      </c>
      <c r="C6" s="838" t="s">
        <v>81</v>
      </c>
      <c r="D6" s="838" t="s">
        <v>82</v>
      </c>
      <c r="E6" s="838" t="s">
        <v>83</v>
      </c>
      <c r="F6" s="838" t="s">
        <v>84</v>
      </c>
      <c r="G6" s="838" t="s">
        <v>85</v>
      </c>
      <c r="H6" s="839" t="s">
        <v>83</v>
      </c>
      <c r="L6" s="959"/>
      <c r="M6" s="948"/>
      <c r="N6" s="854" t="s">
        <v>94</v>
      </c>
      <c r="O6" s="948"/>
      <c r="P6" s="948"/>
    </row>
    <row r="7" spans="2:16" ht="20.25" customHeight="1">
      <c r="B7" s="980"/>
      <c r="C7" s="840" t="s">
        <v>88</v>
      </c>
      <c r="D7" s="840">
        <f>'市（车）'!O30</f>
        <v>1806</v>
      </c>
      <c r="E7" s="840">
        <f>ROUND(D7/C14*10000,0)</f>
        <v>3074</v>
      </c>
      <c r="F7" s="841">
        <v>0.5</v>
      </c>
      <c r="G7" s="952">
        <f>ROUND(F7*D7+D8*F8,0)</f>
        <v>1898</v>
      </c>
      <c r="H7" s="956">
        <f>ROUND(G7/C14*10000,0)</f>
        <v>3230</v>
      </c>
      <c r="L7" s="959"/>
      <c r="M7" s="948"/>
      <c r="N7" s="854" t="s">
        <v>95</v>
      </c>
      <c r="O7" s="948"/>
      <c r="P7" s="948"/>
    </row>
    <row r="8" spans="2:16" ht="20.25" customHeight="1">
      <c r="B8" s="981"/>
      <c r="C8" s="842" t="s">
        <v>91</v>
      </c>
      <c r="D8" s="843">
        <f>'收（车）'!D43</f>
        <v>1989</v>
      </c>
      <c r="E8" s="843">
        <f>ROUND(D8*10000/C14,0)</f>
        <v>3385</v>
      </c>
      <c r="F8" s="842">
        <f>1-F7</f>
        <v>0.5</v>
      </c>
      <c r="G8" s="953"/>
      <c r="H8" s="957" t="e">
        <f>ROUND(G8/(#REF!+#REF!)*10000,0)</f>
        <v>#REF!</v>
      </c>
      <c r="L8" s="959" t="s">
        <v>96</v>
      </c>
      <c r="M8" s="959">
        <v>15</v>
      </c>
      <c r="N8" s="854" t="s">
        <v>97</v>
      </c>
      <c r="O8" s="948">
        <v>10</v>
      </c>
      <c r="P8" s="948">
        <v>10</v>
      </c>
    </row>
    <row r="9" spans="2:16" ht="20.25" customHeight="1">
      <c r="G9" s="307"/>
      <c r="L9" s="959"/>
      <c r="M9" s="959"/>
      <c r="N9" s="854" t="s">
        <v>98</v>
      </c>
      <c r="O9" s="948"/>
      <c r="P9" s="948"/>
    </row>
    <row r="10" spans="2:16" ht="20.25" customHeight="1">
      <c r="B10" s="950" t="s">
        <v>99</v>
      </c>
      <c r="C10" s="950"/>
      <c r="D10" s="950"/>
      <c r="E10" s="950"/>
      <c r="F10" s="950"/>
      <c r="G10" s="950"/>
      <c r="H10" s="950"/>
      <c r="I10" s="950"/>
      <c r="J10" s="950"/>
      <c r="K10" s="845"/>
      <c r="L10" s="959"/>
      <c r="M10" s="959"/>
      <c r="N10" s="854" t="s">
        <v>100</v>
      </c>
      <c r="O10" s="948"/>
      <c r="P10" s="948"/>
    </row>
    <row r="11" spans="2:16" ht="26.1" customHeight="1">
      <c r="B11" s="951" t="s">
        <v>101</v>
      </c>
      <c r="C11" s="951" t="s">
        <v>41</v>
      </c>
      <c r="D11" s="951" t="s">
        <v>71</v>
      </c>
      <c r="E11" s="951" t="s">
        <v>102</v>
      </c>
      <c r="F11" s="951"/>
      <c r="G11" s="951" t="s">
        <v>103</v>
      </c>
      <c r="H11" s="951"/>
      <c r="I11" s="951" t="s">
        <v>104</v>
      </c>
      <c r="J11" s="951"/>
      <c r="K11" s="846"/>
      <c r="L11" s="959" t="s">
        <v>105</v>
      </c>
      <c r="M11" s="959">
        <v>15</v>
      </c>
      <c r="N11" s="854" t="s">
        <v>106</v>
      </c>
      <c r="O11" s="948">
        <v>10</v>
      </c>
      <c r="P11" s="948">
        <v>10</v>
      </c>
    </row>
    <row r="12" spans="2:16" ht="20.25" customHeight="1">
      <c r="B12" s="951"/>
      <c r="C12" s="983"/>
      <c r="D12" s="983"/>
      <c r="E12" s="846" t="s">
        <v>107</v>
      </c>
      <c r="F12" s="846" t="s">
        <v>83</v>
      </c>
      <c r="G12" s="846" t="s">
        <v>107</v>
      </c>
      <c r="H12" s="846" t="s">
        <v>83</v>
      </c>
      <c r="I12" s="846" t="s">
        <v>107</v>
      </c>
      <c r="J12" s="846" t="s">
        <v>83</v>
      </c>
      <c r="K12" s="846"/>
      <c r="L12" s="959"/>
      <c r="M12" s="959"/>
      <c r="N12" s="854" t="s">
        <v>108</v>
      </c>
      <c r="O12" s="948"/>
      <c r="P12" s="948"/>
    </row>
    <row r="13" spans="2:16" ht="20.25" customHeight="1">
      <c r="B13" s="883" t="s">
        <v>911</v>
      </c>
      <c r="C13" s="846">
        <f>面积!B2</f>
        <v>45260.62</v>
      </c>
      <c r="D13" s="846">
        <f>ROUND(C13/$C$15*面积!$B$6,2)</f>
        <v>19462.88</v>
      </c>
      <c r="E13" s="848">
        <f>I13-G13</f>
        <v>58587</v>
      </c>
      <c r="F13" s="849">
        <f>J13-H13</f>
        <v>12944.024546283279</v>
      </c>
      <c r="G13" s="846">
        <f>ROUND(I13*'收益法 (商)'!D28/'收益法 (商)'!D43,0)</f>
        <v>17546</v>
      </c>
      <c r="H13" s="849">
        <f>ROUND(G13*10000/C13,0)</f>
        <v>3877</v>
      </c>
      <c r="I13" s="846">
        <f>G4</f>
        <v>76133</v>
      </c>
      <c r="J13" s="849">
        <f>H4</f>
        <v>16821.024546283279</v>
      </c>
      <c r="K13" s="849"/>
      <c r="L13" s="959"/>
      <c r="M13" s="959"/>
      <c r="N13" s="854" t="s">
        <v>109</v>
      </c>
      <c r="O13" s="948"/>
      <c r="P13" s="948"/>
    </row>
    <row r="14" spans="2:16" ht="20.25" customHeight="1">
      <c r="B14" s="847" t="s">
        <v>93</v>
      </c>
      <c r="C14" s="846">
        <f>面积!B3</f>
        <v>5875.4099999999962</v>
      </c>
      <c r="D14" s="846">
        <f>ROUND(C14/$C$15*面积!$B$6,2)</f>
        <v>2526.5300000000002</v>
      </c>
      <c r="E14" s="929">
        <f>I14-G14</f>
        <v>212</v>
      </c>
      <c r="F14" s="930">
        <f>J14-H14</f>
        <v>360</v>
      </c>
      <c r="G14" s="931">
        <f>ROUND(I14*'收（车）'!D28/'收（车）'!D43,0)</f>
        <v>1686</v>
      </c>
      <c r="H14" s="930">
        <f>ROUND(G14*10000/C14,0)</f>
        <v>2870</v>
      </c>
      <c r="I14" s="846">
        <f>G7</f>
        <v>1898</v>
      </c>
      <c r="J14" s="849">
        <f>H7</f>
        <v>3230</v>
      </c>
      <c r="K14" s="855"/>
      <c r="L14" s="978" t="s">
        <v>110</v>
      </c>
      <c r="M14" s="984">
        <v>15</v>
      </c>
      <c r="N14" s="854" t="s">
        <v>111</v>
      </c>
      <c r="O14" s="948">
        <v>10</v>
      </c>
      <c r="P14" s="948">
        <v>10</v>
      </c>
    </row>
    <row r="15" spans="2:16" ht="20.25" customHeight="1">
      <c r="B15" s="850" t="s">
        <v>112</v>
      </c>
      <c r="C15" s="851">
        <f>+C13+C14</f>
        <v>51136.03</v>
      </c>
      <c r="D15" s="851">
        <f>+D13+D14</f>
        <v>21989.41</v>
      </c>
      <c r="E15" s="965">
        <f t="shared" ref="E15:I15" si="0">E14+E13</f>
        <v>58799</v>
      </c>
      <c r="F15" s="967"/>
      <c r="G15" s="965">
        <f t="shared" si="0"/>
        <v>19232</v>
      </c>
      <c r="H15" s="967"/>
      <c r="I15" s="965">
        <f t="shared" si="0"/>
        <v>78031</v>
      </c>
      <c r="J15" s="967"/>
      <c r="K15" s="852"/>
      <c r="L15" s="962"/>
      <c r="M15" s="959"/>
      <c r="N15" s="854" t="s">
        <v>113</v>
      </c>
      <c r="O15" s="948"/>
      <c r="P15" s="948"/>
    </row>
    <row r="16" spans="2:16" ht="20.25" customHeight="1">
      <c r="B16" s="951" t="s">
        <v>114</v>
      </c>
      <c r="C16" s="951"/>
      <c r="D16" s="951"/>
      <c r="E16" s="968">
        <f t="shared" ref="E16:I16" si="1">E15*10000</f>
        <v>587990000</v>
      </c>
      <c r="F16" s="970"/>
      <c r="G16" s="968">
        <f t="shared" si="1"/>
        <v>192320000</v>
      </c>
      <c r="H16" s="970"/>
      <c r="I16" s="968">
        <f t="shared" si="1"/>
        <v>780310000</v>
      </c>
      <c r="J16" s="970"/>
      <c r="K16" s="856"/>
      <c r="L16" s="963"/>
      <c r="M16" s="985"/>
      <c r="N16" s="854" t="s">
        <v>115</v>
      </c>
      <c r="O16" s="948"/>
      <c r="P16" s="948"/>
    </row>
    <row r="17" spans="2:16" ht="20.25" customHeight="1">
      <c r="B17" s="964" t="s">
        <v>116</v>
      </c>
      <c r="C17" s="964"/>
      <c r="D17" s="964"/>
      <c r="E17" s="965">
        <v>0</v>
      </c>
      <c r="F17" s="966"/>
      <c r="G17" s="966"/>
      <c r="H17" s="966"/>
      <c r="I17" s="966"/>
      <c r="J17" s="967"/>
      <c r="K17" s="857"/>
      <c r="L17" s="961" t="s">
        <v>117</v>
      </c>
      <c r="M17" s="973">
        <v>20</v>
      </c>
      <c r="N17" s="854" t="s">
        <v>118</v>
      </c>
      <c r="O17" s="948">
        <v>15</v>
      </c>
      <c r="P17" s="948">
        <v>15</v>
      </c>
    </row>
    <row r="18" spans="2:16" ht="20.25" customHeight="1">
      <c r="B18" s="951" t="s">
        <v>114</v>
      </c>
      <c r="C18" s="951"/>
      <c r="D18" s="951"/>
      <c r="E18" s="968">
        <f>E17*10000</f>
        <v>0</v>
      </c>
      <c r="F18" s="969"/>
      <c r="G18" s="969"/>
      <c r="H18" s="969"/>
      <c r="I18" s="969"/>
      <c r="J18" s="970"/>
      <c r="K18" s="853"/>
      <c r="L18" s="962"/>
      <c r="M18" s="948"/>
      <c r="N18" s="854" t="s">
        <v>119</v>
      </c>
      <c r="O18" s="948"/>
      <c r="P18" s="948"/>
    </row>
    <row r="19" spans="2:16" ht="20.25" customHeight="1">
      <c r="B19" s="964" t="s">
        <v>120</v>
      </c>
      <c r="C19" s="964"/>
      <c r="D19" s="964"/>
      <c r="E19" s="964">
        <f>I15-E17</f>
        <v>78031</v>
      </c>
      <c r="F19" s="964"/>
      <c r="G19" s="964"/>
      <c r="H19" s="964"/>
      <c r="I19" s="964"/>
      <c r="J19" s="964"/>
      <c r="K19" s="852"/>
      <c r="L19" s="962"/>
      <c r="M19" s="948"/>
      <c r="N19" s="854" t="s">
        <v>121</v>
      </c>
      <c r="O19" s="948"/>
      <c r="P19" s="948"/>
    </row>
    <row r="20" spans="2:16" ht="20.25" customHeight="1">
      <c r="B20" s="951" t="s">
        <v>114</v>
      </c>
      <c r="C20" s="951"/>
      <c r="D20" s="951"/>
      <c r="E20" s="971">
        <f>E19*10000</f>
        <v>780310000</v>
      </c>
      <c r="F20" s="971"/>
      <c r="G20" s="971"/>
      <c r="H20" s="971"/>
      <c r="I20" s="971"/>
      <c r="J20" s="971"/>
      <c r="K20" s="856"/>
      <c r="L20" s="963"/>
      <c r="M20" s="974"/>
      <c r="N20" s="854" t="s">
        <v>122</v>
      </c>
      <c r="O20" s="948"/>
      <c r="P20" s="948"/>
    </row>
    <row r="21" spans="2:16" ht="20.25" customHeight="1">
      <c r="L21" s="972" t="s">
        <v>123</v>
      </c>
      <c r="M21" s="972"/>
      <c r="N21" s="972"/>
      <c r="O21" s="854">
        <f>SUM(O4:O20)</f>
        <v>65</v>
      </c>
      <c r="P21" s="854">
        <f>SUM(P4:P20)</f>
        <v>65</v>
      </c>
    </row>
    <row r="22" spans="2:16" ht="20.25" customHeight="1">
      <c r="B22" s="111" t="s">
        <v>74</v>
      </c>
      <c r="C22">
        <f>C15/D15</f>
        <v>2.3254844036288378</v>
      </c>
      <c r="L22" s="972" t="s">
        <v>84</v>
      </c>
      <c r="M22" s="972"/>
      <c r="N22" s="972"/>
      <c r="O22" s="858">
        <f>ROUND(O21/(O21+P21),2)</f>
        <v>0.5</v>
      </c>
      <c r="P22" s="858">
        <f>ROUND(P21/(O21+P21),2)</f>
        <v>0.5</v>
      </c>
    </row>
    <row r="23" spans="2:16" ht="20.25" customHeight="1">
      <c r="B23" s="950" t="s">
        <v>116</v>
      </c>
      <c r="C23" s="950"/>
      <c r="D23" s="950"/>
      <c r="E23" s="950"/>
      <c r="F23" s="950"/>
      <c r="G23" s="950"/>
      <c r="H23" s="950"/>
      <c r="I23" s="950"/>
      <c r="J23" s="950"/>
      <c r="K23" s="859"/>
    </row>
    <row r="24" spans="2:16" ht="20.25" customHeight="1">
      <c r="B24" s="960" t="s">
        <v>124</v>
      </c>
      <c r="C24" s="960"/>
      <c r="D24" s="960"/>
      <c r="E24" s="368" t="s">
        <v>82</v>
      </c>
      <c r="F24" s="960" t="s">
        <v>125</v>
      </c>
      <c r="G24" s="960"/>
      <c r="H24" s="960"/>
      <c r="I24" s="960"/>
      <c r="J24" s="960"/>
      <c r="K24" s="307"/>
    </row>
    <row r="25" spans="2:16" ht="20.25" customHeight="1">
      <c r="B25" s="975" t="s">
        <v>126</v>
      </c>
      <c r="C25" s="975"/>
      <c r="D25" s="975"/>
      <c r="E25" s="368"/>
      <c r="F25" s="977"/>
      <c r="G25" s="960"/>
      <c r="H25" s="960"/>
      <c r="I25" s="960"/>
      <c r="J25" s="960"/>
      <c r="K25" s="307"/>
    </row>
    <row r="26" spans="2:16" ht="20.25" customHeight="1">
      <c r="B26" s="975" t="s">
        <v>127</v>
      </c>
      <c r="C26" s="975"/>
      <c r="D26" s="975"/>
      <c r="E26" s="368"/>
      <c r="F26" s="960"/>
      <c r="G26" s="960"/>
      <c r="H26" s="960"/>
      <c r="I26" s="960"/>
      <c r="J26" s="960"/>
      <c r="K26" s="307"/>
    </row>
    <row r="27" spans="2:16" ht="20.25" customHeight="1">
      <c r="B27" s="975" t="s">
        <v>128</v>
      </c>
      <c r="C27" s="975"/>
      <c r="D27" s="975"/>
      <c r="E27" s="368"/>
      <c r="F27" s="960"/>
      <c r="G27" s="960"/>
      <c r="H27" s="960"/>
      <c r="I27" s="960"/>
      <c r="J27" s="960"/>
      <c r="K27" s="307"/>
    </row>
    <row r="28" spans="2:16" ht="20.25" customHeight="1">
      <c r="B28" s="975" t="s">
        <v>129</v>
      </c>
      <c r="C28" s="975"/>
      <c r="D28" s="975"/>
      <c r="E28" s="368"/>
      <c r="F28" s="960"/>
      <c r="G28" s="960"/>
      <c r="H28" s="960"/>
      <c r="I28" s="960"/>
      <c r="J28" s="960"/>
      <c r="K28" s="307"/>
    </row>
    <row r="29" spans="2:16" ht="20.25" customHeight="1">
      <c r="B29" s="976"/>
      <c r="C29" s="976"/>
      <c r="D29" s="976"/>
    </row>
    <row r="30" spans="2:16" ht="20.25" customHeight="1"/>
    <row r="31" spans="2:16" ht="20.25" customHeight="1"/>
    <row r="32" spans="2:16" ht="20.25" customHeight="1"/>
    <row r="33" ht="20.25" customHeight="1"/>
  </sheetData>
  <mergeCells count="68">
    <mergeCell ref="P8:P10"/>
    <mergeCell ref="P11:P13"/>
    <mergeCell ref="P14:P16"/>
    <mergeCell ref="P17:P20"/>
    <mergeCell ref="O17:O20"/>
    <mergeCell ref="M2:M3"/>
    <mergeCell ref="M4:M7"/>
    <mergeCell ref="M8:M10"/>
    <mergeCell ref="M11:M13"/>
    <mergeCell ref="M14:M16"/>
    <mergeCell ref="N2:N3"/>
    <mergeCell ref="O4:O7"/>
    <mergeCell ref="O8:O10"/>
    <mergeCell ref="O11:O13"/>
    <mergeCell ref="O14:O16"/>
    <mergeCell ref="L14:L16"/>
    <mergeCell ref="B3:B5"/>
    <mergeCell ref="B6:B8"/>
    <mergeCell ref="B11:B12"/>
    <mergeCell ref="C11:C12"/>
    <mergeCell ref="D11:D12"/>
    <mergeCell ref="E15:F15"/>
    <mergeCell ref="G15:H15"/>
    <mergeCell ref="I15:J15"/>
    <mergeCell ref="B16:D16"/>
    <mergeCell ref="E16:F16"/>
    <mergeCell ref="G16:H16"/>
    <mergeCell ref="I16:J16"/>
    <mergeCell ref="B28:D28"/>
    <mergeCell ref="F28:J28"/>
    <mergeCell ref="B29:D29"/>
    <mergeCell ref="B25:D25"/>
    <mergeCell ref="F25:J25"/>
    <mergeCell ref="B26:D26"/>
    <mergeCell ref="F26:J26"/>
    <mergeCell ref="B27:D27"/>
    <mergeCell ref="F27:J27"/>
    <mergeCell ref="B24:D24"/>
    <mergeCell ref="F24:J24"/>
    <mergeCell ref="L17:L20"/>
    <mergeCell ref="B17:D17"/>
    <mergeCell ref="E17:J17"/>
    <mergeCell ref="B18:D18"/>
    <mergeCell ref="E18:J18"/>
    <mergeCell ref="B19:D19"/>
    <mergeCell ref="E19:J19"/>
    <mergeCell ref="B20:D20"/>
    <mergeCell ref="E20:J20"/>
    <mergeCell ref="L21:N21"/>
    <mergeCell ref="L22:N22"/>
    <mergeCell ref="B23:J23"/>
    <mergeCell ref="M17:M20"/>
    <mergeCell ref="L1:P1"/>
    <mergeCell ref="B2:H2"/>
    <mergeCell ref="O2:P2"/>
    <mergeCell ref="B10:J10"/>
    <mergeCell ref="E11:F11"/>
    <mergeCell ref="G11:H11"/>
    <mergeCell ref="I11:J11"/>
    <mergeCell ref="G4:G5"/>
    <mergeCell ref="G7:G8"/>
    <mergeCell ref="H4:H5"/>
    <mergeCell ref="H7:H8"/>
    <mergeCell ref="L2:L3"/>
    <mergeCell ref="L4:L7"/>
    <mergeCell ref="L8:L10"/>
    <mergeCell ref="L11:L13"/>
    <mergeCell ref="P4:P7"/>
  </mergeCells>
  <phoneticPr fontId="93" type="noConversion"/>
  <pageMargins left="0.69861111111111107" right="0.69861111111111107" top="0.75" bottom="0.75" header="0.3" footer="0.3"/>
  <pageSetup paperSize="9" scale="60" orientation="portrait" r:id="rId1"/>
  <headerFooter alignWithMargins="0"/>
  <rowBreaks count="1" manualBreakCount="1">
    <brk id="29" max="15" man="1"/>
  </rowBreaks>
  <colBreaks count="1" manualBreakCount="1">
    <brk id="11" max="28"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51"/>
  </sheetPr>
  <dimension ref="A1:IS128"/>
  <sheetViews>
    <sheetView topLeftCell="A13" workbookViewId="0">
      <selection activeCell="D42" sqref="D42"/>
    </sheetView>
  </sheetViews>
  <sheetFormatPr defaultColWidth="9" defaultRowHeight="12.75" outlineLevelCol="1"/>
  <cols>
    <col min="1" max="1" width="16.625" style="454" customWidth="1"/>
    <col min="2" max="2" width="9.875" style="752" customWidth="1"/>
    <col min="3" max="3" width="10.625" style="455" customWidth="1"/>
    <col min="4" max="4" width="10.875" style="753" customWidth="1"/>
    <col min="5" max="5" width="9.5" style="753" customWidth="1"/>
    <col min="6" max="7" width="8.5" style="455" customWidth="1"/>
    <col min="8" max="8" width="8.375" style="455" customWidth="1"/>
    <col min="9" max="9" width="12.125" style="455" customWidth="1"/>
    <col min="10" max="10" width="9.75" style="455" customWidth="1"/>
    <col min="11" max="11" width="12.375" style="455" customWidth="1"/>
    <col min="12" max="12" width="12.375" style="456" customWidth="1"/>
    <col min="13" max="13" width="10.625" style="456" customWidth="1" outlineLevel="1"/>
    <col min="14" max="14" width="10.625" style="555" customWidth="1" outlineLevel="1"/>
    <col min="15" max="15" width="11.125" style="456" customWidth="1"/>
    <col min="16" max="16" width="9" style="456" customWidth="1"/>
    <col min="17" max="17" width="10.875" style="455" customWidth="1"/>
    <col min="18" max="18" width="8.5" style="455" hidden="1" customWidth="1"/>
    <col min="19" max="19" width="8.5" style="455" customWidth="1"/>
    <col min="20" max="20" width="10.875" style="455" customWidth="1"/>
    <col min="21" max="21" width="9.375" style="455" customWidth="1"/>
    <col min="22" max="22" width="17.75" style="455" bestFit="1" customWidth="1"/>
    <col min="23" max="16384" width="9" style="455"/>
  </cols>
  <sheetData>
    <row r="1" spans="1:21" s="742" customFormat="1" ht="15" customHeight="1">
      <c r="A1" s="463" t="s">
        <v>131</v>
      </c>
      <c r="B1" s="754" t="s">
        <v>132</v>
      </c>
      <c r="C1" s="990" t="s">
        <v>133</v>
      </c>
      <c r="D1" s="992" t="s">
        <v>134</v>
      </c>
      <c r="E1" s="994" t="s">
        <v>135</v>
      </c>
      <c r="F1" s="992" t="s">
        <v>136</v>
      </c>
      <c r="G1" s="994" t="s">
        <v>136</v>
      </c>
      <c r="H1" s="992" t="s">
        <v>137</v>
      </c>
      <c r="I1" s="996" t="s">
        <v>138</v>
      </c>
      <c r="J1" s="998" t="s">
        <v>139</v>
      </c>
      <c r="K1" s="998" t="s">
        <v>140</v>
      </c>
      <c r="L1" s="1000" t="s">
        <v>140</v>
      </c>
      <c r="M1" s="1002" t="s">
        <v>141</v>
      </c>
      <c r="N1" s="771"/>
      <c r="O1" s="1004" t="s">
        <v>142</v>
      </c>
      <c r="P1" s="1002" t="s">
        <v>143</v>
      </c>
      <c r="Q1" s="986" t="s">
        <v>144</v>
      </c>
      <c r="R1" s="986" t="s">
        <v>145</v>
      </c>
      <c r="S1" s="424" t="s">
        <v>146</v>
      </c>
      <c r="T1" s="988" t="s">
        <v>147</v>
      </c>
      <c r="U1" s="989"/>
    </row>
    <row r="2" spans="1:21" s="458" customFormat="1" ht="38.25" customHeight="1">
      <c r="A2" s="755" t="s">
        <v>148</v>
      </c>
      <c r="B2" s="756" t="s">
        <v>149</v>
      </c>
      <c r="C2" s="991"/>
      <c r="D2" s="993"/>
      <c r="E2" s="995"/>
      <c r="F2" s="993"/>
      <c r="G2" s="995"/>
      <c r="H2" s="993"/>
      <c r="I2" s="997"/>
      <c r="J2" s="999"/>
      <c r="K2" s="999"/>
      <c r="L2" s="1001"/>
      <c r="M2" s="1003"/>
      <c r="N2" s="772" t="s">
        <v>150</v>
      </c>
      <c r="O2" s="1005"/>
      <c r="P2" s="1003"/>
      <c r="Q2" s="1006"/>
      <c r="R2" s="987"/>
      <c r="S2" s="428" t="s">
        <v>151</v>
      </c>
      <c r="T2" s="512" t="s">
        <v>152</v>
      </c>
      <c r="U2" s="779" t="s">
        <v>153</v>
      </c>
    </row>
    <row r="3" spans="1:21" s="743" customFormat="1" ht="17.25" customHeight="1">
      <c r="A3" s="466"/>
      <c r="B3" s="757"/>
      <c r="C3" s="394" t="s">
        <v>154</v>
      </c>
      <c r="D3" s="394" t="s">
        <v>155</v>
      </c>
      <c r="E3" s="394" t="s">
        <v>156</v>
      </c>
      <c r="F3" s="394" t="s">
        <v>155</v>
      </c>
      <c r="G3" s="394" t="s">
        <v>156</v>
      </c>
      <c r="H3" s="394" t="s">
        <v>155</v>
      </c>
      <c r="I3" s="394" t="s">
        <v>156</v>
      </c>
      <c r="J3" s="394" t="s">
        <v>155</v>
      </c>
      <c r="K3" s="394" t="s">
        <v>155</v>
      </c>
      <c r="L3" s="394" t="s">
        <v>156</v>
      </c>
      <c r="M3" s="394" t="s">
        <v>156</v>
      </c>
      <c r="N3" s="420"/>
      <c r="O3" s="394" t="s">
        <v>156</v>
      </c>
      <c r="P3" s="394" t="s">
        <v>155</v>
      </c>
      <c r="Q3" s="780"/>
      <c r="R3" s="515"/>
      <c r="S3" s="516"/>
      <c r="T3" s="515"/>
      <c r="U3" s="515"/>
    </row>
    <row r="4" spans="1:21" s="744" customFormat="1" ht="21" customHeight="1">
      <c r="A4" s="868" t="s">
        <v>157</v>
      </c>
      <c r="B4" s="759">
        <v>1106</v>
      </c>
      <c r="C4" s="760">
        <v>182.53</v>
      </c>
      <c r="D4" s="760">
        <f t="shared" ref="D4:D35" si="0">E4/6.2</f>
        <v>22.251055504795499</v>
      </c>
      <c r="E4" s="760">
        <f t="shared" ref="E4:E35" si="1">I4/C4</f>
        <v>137.95654412973209</v>
      </c>
      <c r="F4" s="760">
        <f t="shared" ref="F4:F35" si="2">D4</f>
        <v>22.251055504795499</v>
      </c>
      <c r="G4" s="760">
        <f t="shared" ref="G4:G26" si="3">L4/C4</f>
        <v>137.95654412973209</v>
      </c>
      <c r="H4" s="761">
        <v>3.3</v>
      </c>
      <c r="I4" s="770">
        <f>30000-M4</f>
        <v>25181.207999999999</v>
      </c>
      <c r="J4" s="770">
        <f t="shared" ref="J4:J35" si="4">I4/6.2</f>
        <v>4061.4851612903221</v>
      </c>
      <c r="K4" s="770">
        <f t="shared" ref="K4:K35" si="5">J4</f>
        <v>4061.4851612903221</v>
      </c>
      <c r="L4" s="760">
        <f t="shared" ref="L4:L35" si="6">K4*6.2</f>
        <v>25181.207999999999</v>
      </c>
      <c r="M4" s="770">
        <f t="shared" ref="M4:M35" si="7">P4*8</f>
        <v>4818.7919999999995</v>
      </c>
      <c r="N4" s="773">
        <f t="shared" ref="N4:N35" si="8">L4/30/C4</f>
        <v>4.5985514709910698</v>
      </c>
      <c r="O4" s="770">
        <f t="shared" ref="O4:O8" si="9">SUM(L4:M4)</f>
        <v>30000</v>
      </c>
      <c r="P4" s="770">
        <f t="shared" ref="P4:P13" si="10">C4*H4</f>
        <v>602.34899999999993</v>
      </c>
      <c r="Q4" s="770">
        <f t="shared" ref="Q4:Q35" si="11">J4+P4</f>
        <v>4663.8341612903223</v>
      </c>
      <c r="R4" s="781" t="s">
        <v>158</v>
      </c>
      <c r="S4" s="782">
        <v>12</v>
      </c>
      <c r="T4" s="783">
        <v>41276</v>
      </c>
      <c r="U4" s="784">
        <v>41640</v>
      </c>
    </row>
    <row r="5" spans="1:21" s="744" customFormat="1" ht="21" customHeight="1">
      <c r="A5" s="869" t="s">
        <v>159</v>
      </c>
      <c r="B5" s="759">
        <v>1103</v>
      </c>
      <c r="C5" s="760">
        <v>121.52</v>
      </c>
      <c r="D5" s="760">
        <f t="shared" si="0"/>
        <v>28.923782624392107</v>
      </c>
      <c r="E5" s="760">
        <f t="shared" si="1"/>
        <v>179.32745227123107</v>
      </c>
      <c r="F5" s="760">
        <f t="shared" si="2"/>
        <v>28.923782624392107</v>
      </c>
      <c r="G5" s="760">
        <f t="shared" si="3"/>
        <v>179.32745227123107</v>
      </c>
      <c r="H5" s="761">
        <v>3.3</v>
      </c>
      <c r="I5" s="770">
        <f>25000-M5</f>
        <v>21791.871999999999</v>
      </c>
      <c r="J5" s="770">
        <f t="shared" si="4"/>
        <v>3514.8180645161287</v>
      </c>
      <c r="K5" s="770">
        <f t="shared" si="5"/>
        <v>3514.8180645161287</v>
      </c>
      <c r="L5" s="770">
        <f t="shared" si="6"/>
        <v>21791.871999999999</v>
      </c>
      <c r="M5" s="770">
        <f t="shared" si="7"/>
        <v>3208.1279999999997</v>
      </c>
      <c r="N5" s="773">
        <f t="shared" si="8"/>
        <v>5.9775817423743689</v>
      </c>
      <c r="O5" s="770">
        <f t="shared" si="9"/>
        <v>25000</v>
      </c>
      <c r="P5" s="770">
        <f t="shared" si="10"/>
        <v>401.01599999999996</v>
      </c>
      <c r="Q5" s="770">
        <f t="shared" si="11"/>
        <v>3915.8340645161288</v>
      </c>
      <c r="R5" s="781" t="s">
        <v>158</v>
      </c>
      <c r="S5" s="782">
        <v>12</v>
      </c>
      <c r="T5" s="783">
        <v>41291</v>
      </c>
      <c r="U5" s="784">
        <v>41655</v>
      </c>
    </row>
    <row r="6" spans="1:21" s="744" customFormat="1" ht="21" customHeight="1">
      <c r="A6" s="868" t="s">
        <v>157</v>
      </c>
      <c r="B6" s="759">
        <v>905</v>
      </c>
      <c r="C6" s="760">
        <v>182.53</v>
      </c>
      <c r="D6" s="760">
        <f t="shared" si="0"/>
        <v>21.36741817076468</v>
      </c>
      <c r="E6" s="760">
        <f t="shared" si="1"/>
        <v>132.47799265874102</v>
      </c>
      <c r="F6" s="760">
        <f t="shared" si="2"/>
        <v>21.36741817076468</v>
      </c>
      <c r="G6" s="760">
        <f t="shared" si="3"/>
        <v>132.47799265874102</v>
      </c>
      <c r="H6" s="761">
        <v>3.3</v>
      </c>
      <c r="I6" s="770">
        <f>29000-M6</f>
        <v>24181.207999999999</v>
      </c>
      <c r="J6" s="770">
        <f t="shared" si="4"/>
        <v>3900.1948387096772</v>
      </c>
      <c r="K6" s="770">
        <f t="shared" si="5"/>
        <v>3900.1948387096772</v>
      </c>
      <c r="L6" s="770">
        <f t="shared" si="6"/>
        <v>24181.207999999999</v>
      </c>
      <c r="M6" s="770">
        <f t="shared" si="7"/>
        <v>4818.7919999999995</v>
      </c>
      <c r="N6" s="773">
        <f t="shared" si="8"/>
        <v>4.4159330886247004</v>
      </c>
      <c r="O6" s="770">
        <f t="shared" si="9"/>
        <v>29000</v>
      </c>
      <c r="P6" s="770">
        <f t="shared" si="10"/>
        <v>602.34899999999993</v>
      </c>
      <c r="Q6" s="770">
        <f t="shared" si="11"/>
        <v>4502.5438387096774</v>
      </c>
      <c r="R6" s="781" t="s">
        <v>158</v>
      </c>
      <c r="S6" s="782">
        <v>12</v>
      </c>
      <c r="T6" s="783">
        <v>41276</v>
      </c>
      <c r="U6" s="784">
        <v>41640</v>
      </c>
    </row>
    <row r="7" spans="1:21" s="744" customFormat="1" ht="21" customHeight="1">
      <c r="A7" s="868" t="s">
        <v>160</v>
      </c>
      <c r="B7" s="759">
        <v>1305</v>
      </c>
      <c r="C7" s="760">
        <v>182.53</v>
      </c>
      <c r="D7" s="760">
        <f t="shared" si="0"/>
        <v>22.251055504795499</v>
      </c>
      <c r="E7" s="760">
        <f t="shared" si="1"/>
        <v>137.95654412973209</v>
      </c>
      <c r="F7" s="760">
        <f t="shared" si="2"/>
        <v>22.251055504795499</v>
      </c>
      <c r="G7" s="760">
        <f t="shared" si="3"/>
        <v>137.95654412973209</v>
      </c>
      <c r="H7" s="761">
        <v>3.3</v>
      </c>
      <c r="I7" s="770">
        <f>30000-M7</f>
        <v>25181.207999999999</v>
      </c>
      <c r="J7" s="770">
        <f t="shared" si="4"/>
        <v>4061.4851612903221</v>
      </c>
      <c r="K7" s="770">
        <f t="shared" si="5"/>
        <v>4061.4851612903221</v>
      </c>
      <c r="L7" s="760">
        <f t="shared" si="6"/>
        <v>25181.207999999999</v>
      </c>
      <c r="M7" s="760">
        <f t="shared" si="7"/>
        <v>4818.7919999999995</v>
      </c>
      <c r="N7" s="773">
        <f t="shared" si="8"/>
        <v>4.5985514709910698</v>
      </c>
      <c r="O7" s="760">
        <f t="shared" si="9"/>
        <v>30000</v>
      </c>
      <c r="P7" s="770">
        <f t="shared" si="10"/>
        <v>602.34899999999993</v>
      </c>
      <c r="Q7" s="770">
        <f t="shared" si="11"/>
        <v>4663.8341612903223</v>
      </c>
      <c r="R7" s="781" t="s">
        <v>158</v>
      </c>
      <c r="S7" s="782">
        <v>12</v>
      </c>
      <c r="T7" s="783">
        <v>41283</v>
      </c>
      <c r="U7" s="784">
        <v>41647</v>
      </c>
    </row>
    <row r="8" spans="1:21" s="744" customFormat="1" ht="21" customHeight="1">
      <c r="A8" s="869" t="s">
        <v>161</v>
      </c>
      <c r="B8" s="759">
        <v>802</v>
      </c>
      <c r="C8" s="760">
        <v>121.52</v>
      </c>
      <c r="D8" s="760">
        <f t="shared" si="0"/>
        <v>26.269234853150419</v>
      </c>
      <c r="E8" s="760">
        <f t="shared" si="1"/>
        <v>162.8692560895326</v>
      </c>
      <c r="F8" s="760">
        <f t="shared" si="2"/>
        <v>26.269234853150419</v>
      </c>
      <c r="G8" s="760">
        <f t="shared" si="3"/>
        <v>162.8692560895326</v>
      </c>
      <c r="H8" s="761">
        <v>3.3</v>
      </c>
      <c r="I8" s="770">
        <f>23000-M8</f>
        <v>19791.871999999999</v>
      </c>
      <c r="J8" s="770">
        <f t="shared" si="4"/>
        <v>3192.2374193548385</v>
      </c>
      <c r="K8" s="770">
        <f t="shared" si="5"/>
        <v>3192.2374193548385</v>
      </c>
      <c r="L8" s="770">
        <f t="shared" si="6"/>
        <v>19791.871999999999</v>
      </c>
      <c r="M8" s="770">
        <f t="shared" si="7"/>
        <v>3208.1279999999997</v>
      </c>
      <c r="N8" s="773">
        <f t="shared" si="8"/>
        <v>5.4289752029844198</v>
      </c>
      <c r="O8" s="770">
        <f t="shared" si="9"/>
        <v>23000</v>
      </c>
      <c r="P8" s="770">
        <f t="shared" si="10"/>
        <v>401.01599999999996</v>
      </c>
      <c r="Q8" s="770">
        <f t="shared" si="11"/>
        <v>3593.2534193548386</v>
      </c>
      <c r="R8" s="781" t="s">
        <v>158</v>
      </c>
      <c r="S8" s="782">
        <v>12</v>
      </c>
      <c r="T8" s="783">
        <v>41306</v>
      </c>
      <c r="U8" s="784">
        <v>41670</v>
      </c>
    </row>
    <row r="9" spans="1:21" s="453" customFormat="1" ht="13.5" customHeight="1">
      <c r="A9" s="758" t="s">
        <v>162</v>
      </c>
      <c r="B9" s="763">
        <v>503</v>
      </c>
      <c r="C9" s="760">
        <v>86.79</v>
      </c>
      <c r="D9" s="760">
        <f t="shared" si="0"/>
        <v>29.193091221301696</v>
      </c>
      <c r="E9" s="760">
        <f t="shared" si="1"/>
        <v>180.99716557207051</v>
      </c>
      <c r="F9" s="760">
        <f t="shared" si="2"/>
        <v>29.193091221301696</v>
      </c>
      <c r="G9" s="760">
        <f t="shared" si="3"/>
        <v>180.99716557207049</v>
      </c>
      <c r="H9" s="761">
        <v>3.3</v>
      </c>
      <c r="I9" s="760">
        <f>18000-M9</f>
        <v>15708.744000000001</v>
      </c>
      <c r="J9" s="760">
        <f t="shared" si="4"/>
        <v>2533.668387096774</v>
      </c>
      <c r="K9" s="760">
        <f t="shared" si="5"/>
        <v>2533.668387096774</v>
      </c>
      <c r="L9" s="760">
        <f t="shared" si="6"/>
        <v>15708.743999999999</v>
      </c>
      <c r="M9" s="760">
        <f t="shared" si="7"/>
        <v>2291.2559999999999</v>
      </c>
      <c r="N9" s="774">
        <f t="shared" si="8"/>
        <v>6.0332388524023495</v>
      </c>
      <c r="O9" s="760">
        <f>SUM(L9,M9)</f>
        <v>18000</v>
      </c>
      <c r="P9" s="760">
        <f t="shared" si="10"/>
        <v>286.40699999999998</v>
      </c>
      <c r="Q9" s="760">
        <f t="shared" si="11"/>
        <v>2820.0753870967742</v>
      </c>
      <c r="R9" s="778" t="s">
        <v>158</v>
      </c>
      <c r="S9" s="785" t="s">
        <v>163</v>
      </c>
      <c r="T9" s="786">
        <v>41285</v>
      </c>
      <c r="U9" s="787">
        <v>41649</v>
      </c>
    </row>
    <row r="10" spans="1:21" s="744" customFormat="1" ht="21" customHeight="1">
      <c r="A10" s="868" t="s">
        <v>157</v>
      </c>
      <c r="B10" s="759">
        <v>1503</v>
      </c>
      <c r="C10" s="760">
        <v>121.52</v>
      </c>
      <c r="D10" s="760">
        <f t="shared" si="0"/>
        <v>27.596508738771259</v>
      </c>
      <c r="E10" s="760">
        <f t="shared" si="1"/>
        <v>171.09835418038182</v>
      </c>
      <c r="F10" s="760">
        <f t="shared" si="2"/>
        <v>27.596508738771259</v>
      </c>
      <c r="G10" s="760">
        <f t="shared" si="3"/>
        <v>171.09835418038182</v>
      </c>
      <c r="H10" s="761">
        <v>3.3</v>
      </c>
      <c r="I10" s="770">
        <f>24000-M10</f>
        <v>20791.871999999999</v>
      </c>
      <c r="J10" s="770">
        <f t="shared" si="4"/>
        <v>3353.5277419354838</v>
      </c>
      <c r="K10" s="770">
        <f t="shared" si="5"/>
        <v>3353.5277419354838</v>
      </c>
      <c r="L10" s="760">
        <f t="shared" si="6"/>
        <v>20791.871999999999</v>
      </c>
      <c r="M10" s="770">
        <f t="shared" si="7"/>
        <v>3208.1279999999997</v>
      </c>
      <c r="N10" s="773">
        <f t="shared" si="8"/>
        <v>5.7032784726793944</v>
      </c>
      <c r="O10" s="770">
        <f>SUM(L10:M10)</f>
        <v>24000</v>
      </c>
      <c r="P10" s="770">
        <f t="shared" si="10"/>
        <v>401.01599999999996</v>
      </c>
      <c r="Q10" s="770">
        <f t="shared" si="11"/>
        <v>3754.5437419354839</v>
      </c>
      <c r="R10" s="781" t="s">
        <v>158</v>
      </c>
      <c r="S10" s="782">
        <v>12</v>
      </c>
      <c r="T10" s="783">
        <v>41277</v>
      </c>
      <c r="U10" s="784">
        <v>41641</v>
      </c>
    </row>
    <row r="11" spans="1:21" s="744" customFormat="1" ht="21" customHeight="1">
      <c r="A11" s="868" t="s">
        <v>157</v>
      </c>
      <c r="B11" s="759">
        <v>1405</v>
      </c>
      <c r="C11" s="760">
        <v>182.53</v>
      </c>
      <c r="D11" s="760">
        <f t="shared" si="0"/>
        <v>24.018330172857134</v>
      </c>
      <c r="E11" s="760">
        <f t="shared" si="1"/>
        <v>148.91364707171422</v>
      </c>
      <c r="F11" s="760">
        <f t="shared" si="2"/>
        <v>24.018330172857134</v>
      </c>
      <c r="G11" s="760">
        <f t="shared" si="3"/>
        <v>148.91364707171422</v>
      </c>
      <c r="H11" s="761">
        <v>3.3</v>
      </c>
      <c r="I11" s="770">
        <f>32000-M11</f>
        <v>27181.207999999999</v>
      </c>
      <c r="J11" s="770">
        <f t="shared" si="4"/>
        <v>4384.0658064516128</v>
      </c>
      <c r="K11" s="770">
        <f t="shared" si="5"/>
        <v>4384.0658064516128</v>
      </c>
      <c r="L11" s="760">
        <f t="shared" si="6"/>
        <v>27181.207999999999</v>
      </c>
      <c r="M11" s="770">
        <f t="shared" si="7"/>
        <v>4818.7919999999995</v>
      </c>
      <c r="N11" s="773">
        <f t="shared" si="8"/>
        <v>4.9637882357238077</v>
      </c>
      <c r="O11" s="770">
        <f>SUM(L11:M11)</f>
        <v>32000</v>
      </c>
      <c r="P11" s="770">
        <f t="shared" si="10"/>
        <v>602.34899999999993</v>
      </c>
      <c r="Q11" s="770">
        <f t="shared" si="11"/>
        <v>4986.414806451613</v>
      </c>
      <c r="R11" s="781" t="s">
        <v>158</v>
      </c>
      <c r="S11" s="782">
        <v>12</v>
      </c>
      <c r="T11" s="783">
        <v>41296</v>
      </c>
      <c r="U11" s="784">
        <v>41660</v>
      </c>
    </row>
    <row r="12" spans="1:21" s="453" customFormat="1" ht="13.5" customHeight="1">
      <c r="A12" s="758" t="s">
        <v>164</v>
      </c>
      <c r="B12" s="763">
        <v>1102</v>
      </c>
      <c r="C12" s="760">
        <v>78.03</v>
      </c>
      <c r="D12" s="760">
        <f t="shared" si="0"/>
        <v>35.015498588218762</v>
      </c>
      <c r="E12" s="760">
        <f t="shared" si="1"/>
        <v>217.09609124695632</v>
      </c>
      <c r="F12" s="760">
        <f t="shared" si="2"/>
        <v>35.015498588218762</v>
      </c>
      <c r="G12" s="760">
        <f t="shared" si="3"/>
        <v>217.09609124695632</v>
      </c>
      <c r="H12" s="761">
        <v>3.3</v>
      </c>
      <c r="I12" s="760">
        <f>19000-M12</f>
        <v>16940.008000000002</v>
      </c>
      <c r="J12" s="760">
        <f t="shared" si="4"/>
        <v>2732.2593548387099</v>
      </c>
      <c r="K12" s="760">
        <f t="shared" si="5"/>
        <v>2732.2593548387099</v>
      </c>
      <c r="L12" s="760">
        <f t="shared" si="6"/>
        <v>16940.008000000002</v>
      </c>
      <c r="M12" s="760">
        <f t="shared" si="7"/>
        <v>2059.9919999999997</v>
      </c>
      <c r="N12" s="774">
        <f t="shared" si="8"/>
        <v>7.2365363748985443</v>
      </c>
      <c r="O12" s="760">
        <f t="shared" ref="O12:O26" si="12">SUM(L12,M12)</f>
        <v>19000</v>
      </c>
      <c r="P12" s="760">
        <f t="shared" si="10"/>
        <v>257.49899999999997</v>
      </c>
      <c r="Q12" s="760">
        <f t="shared" si="11"/>
        <v>2989.7583548387097</v>
      </c>
      <c r="R12" s="778" t="s">
        <v>158</v>
      </c>
      <c r="S12" s="785" t="s">
        <v>163</v>
      </c>
      <c r="T12" s="786">
        <v>41306</v>
      </c>
      <c r="U12" s="787">
        <v>41670</v>
      </c>
    </row>
    <row r="13" spans="1:21" s="744" customFormat="1">
      <c r="A13" s="762" t="s">
        <v>165</v>
      </c>
      <c r="B13" s="763">
        <v>908</v>
      </c>
      <c r="C13" s="760">
        <v>214.39</v>
      </c>
      <c r="D13" s="760">
        <f t="shared" si="0"/>
        <v>18.311596743348346</v>
      </c>
      <c r="E13" s="760">
        <f t="shared" si="1"/>
        <v>113.53189980875975</v>
      </c>
      <c r="F13" s="760">
        <f t="shared" si="2"/>
        <v>18.311596743348346</v>
      </c>
      <c r="G13" s="760">
        <f t="shared" si="3"/>
        <v>113.53189980875975</v>
      </c>
      <c r="H13" s="761">
        <v>3.3</v>
      </c>
      <c r="I13" s="760">
        <f>30000-M13</f>
        <v>24340.103999999999</v>
      </c>
      <c r="J13" s="760">
        <f t="shared" si="4"/>
        <v>3925.8232258064513</v>
      </c>
      <c r="K13" s="760">
        <f t="shared" si="5"/>
        <v>3925.8232258064513</v>
      </c>
      <c r="L13" s="770">
        <f t="shared" si="6"/>
        <v>24340.103999999999</v>
      </c>
      <c r="M13" s="775">
        <f t="shared" si="7"/>
        <v>5659.8959999999997</v>
      </c>
      <c r="N13" s="774">
        <f t="shared" si="8"/>
        <v>3.784396660291991</v>
      </c>
      <c r="O13" s="760">
        <f t="shared" si="12"/>
        <v>30000</v>
      </c>
      <c r="P13" s="770">
        <f t="shared" si="10"/>
        <v>707.48699999999997</v>
      </c>
      <c r="Q13" s="760">
        <f t="shared" si="11"/>
        <v>4633.3102258064509</v>
      </c>
      <c r="R13" s="778" t="s">
        <v>158</v>
      </c>
      <c r="S13" s="785" t="s">
        <v>163</v>
      </c>
      <c r="T13" s="786">
        <v>41276</v>
      </c>
      <c r="U13" s="784">
        <v>41640</v>
      </c>
    </row>
    <row r="14" spans="1:21" s="744" customFormat="1" ht="12.75" customHeight="1">
      <c r="A14" s="758" t="s">
        <v>166</v>
      </c>
      <c r="B14" s="763">
        <v>805</v>
      </c>
      <c r="C14" s="760">
        <v>191.65</v>
      </c>
      <c r="D14" s="760">
        <f t="shared" si="0"/>
        <v>20.989572725819073</v>
      </c>
      <c r="E14" s="760">
        <f t="shared" si="1"/>
        <v>130.13535090007827</v>
      </c>
      <c r="F14" s="760">
        <f t="shared" si="2"/>
        <v>20.989572725819073</v>
      </c>
      <c r="G14" s="760">
        <f t="shared" si="3"/>
        <v>130.13535090007827</v>
      </c>
      <c r="H14" s="761">
        <v>3.3</v>
      </c>
      <c r="I14" s="760">
        <f>30000-M14</f>
        <v>24940.440000000002</v>
      </c>
      <c r="J14" s="760">
        <f t="shared" si="4"/>
        <v>4022.6516129032261</v>
      </c>
      <c r="K14" s="760">
        <f t="shared" si="5"/>
        <v>4022.6516129032261</v>
      </c>
      <c r="L14" s="760">
        <f t="shared" si="6"/>
        <v>24940.440000000002</v>
      </c>
      <c r="M14" s="775">
        <f t="shared" si="7"/>
        <v>5059.5599999999995</v>
      </c>
      <c r="N14" s="774">
        <f t="shared" si="8"/>
        <v>4.337845030002609</v>
      </c>
      <c r="O14" s="760">
        <f t="shared" si="12"/>
        <v>30000</v>
      </c>
      <c r="P14" s="770">
        <f>H14*C14</f>
        <v>632.44499999999994</v>
      </c>
      <c r="Q14" s="760">
        <f t="shared" si="11"/>
        <v>4655.0966129032258</v>
      </c>
      <c r="R14" s="778" t="s">
        <v>167</v>
      </c>
      <c r="S14" s="785" t="s">
        <v>163</v>
      </c>
      <c r="T14" s="786">
        <v>41299</v>
      </c>
      <c r="U14" s="784">
        <v>41663</v>
      </c>
    </row>
    <row r="15" spans="1:21" s="744" customFormat="1" ht="15.75" customHeight="1">
      <c r="A15" s="758" t="s">
        <v>157</v>
      </c>
      <c r="B15" s="763">
        <v>804</v>
      </c>
      <c r="C15" s="760">
        <v>191.65</v>
      </c>
      <c r="D15" s="760">
        <f t="shared" si="0"/>
        <v>19.306396909689205</v>
      </c>
      <c r="E15" s="760">
        <f t="shared" si="1"/>
        <v>119.69966084007307</v>
      </c>
      <c r="F15" s="760">
        <f t="shared" si="2"/>
        <v>19.306396909689205</v>
      </c>
      <c r="G15" s="760">
        <f t="shared" si="3"/>
        <v>119.69966084007307</v>
      </c>
      <c r="H15" s="761">
        <v>3.3</v>
      </c>
      <c r="I15" s="760">
        <f>28000-M15</f>
        <v>22940.440000000002</v>
      </c>
      <c r="J15" s="760">
        <f t="shared" si="4"/>
        <v>3700.0709677419359</v>
      </c>
      <c r="K15" s="760">
        <f t="shared" si="5"/>
        <v>3700.0709677419359</v>
      </c>
      <c r="L15" s="760">
        <f t="shared" si="6"/>
        <v>22940.440000000002</v>
      </c>
      <c r="M15" s="775">
        <f t="shared" si="7"/>
        <v>5059.5599999999995</v>
      </c>
      <c r="N15" s="774">
        <f t="shared" si="8"/>
        <v>3.9899886946691021</v>
      </c>
      <c r="O15" s="760">
        <f t="shared" si="12"/>
        <v>28000</v>
      </c>
      <c r="P15" s="770">
        <f>C15*H15</f>
        <v>632.44499999999994</v>
      </c>
      <c r="Q15" s="760">
        <f t="shared" si="11"/>
        <v>4332.515967741936</v>
      </c>
      <c r="R15" s="778" t="s">
        <v>158</v>
      </c>
      <c r="S15" s="785" t="s">
        <v>163</v>
      </c>
      <c r="T15" s="786">
        <v>41276</v>
      </c>
      <c r="U15" s="784">
        <v>41640</v>
      </c>
    </row>
    <row r="16" spans="1:21" s="744" customFormat="1" ht="12.75" customHeight="1">
      <c r="A16" s="758" t="s">
        <v>168</v>
      </c>
      <c r="B16" s="763">
        <v>802</v>
      </c>
      <c r="C16" s="760">
        <v>78.03</v>
      </c>
      <c r="D16" s="760">
        <f t="shared" si="0"/>
        <v>35.015498588218762</v>
      </c>
      <c r="E16" s="760">
        <f t="shared" si="1"/>
        <v>217.09609124695632</v>
      </c>
      <c r="F16" s="760">
        <f t="shared" si="2"/>
        <v>35.015498588218762</v>
      </c>
      <c r="G16" s="760">
        <f t="shared" si="3"/>
        <v>217.09609124695632</v>
      </c>
      <c r="H16" s="761">
        <v>3.3</v>
      </c>
      <c r="I16" s="760">
        <f>19000-M16</f>
        <v>16940.008000000002</v>
      </c>
      <c r="J16" s="760">
        <f t="shared" si="4"/>
        <v>2732.2593548387099</v>
      </c>
      <c r="K16" s="760">
        <f t="shared" si="5"/>
        <v>2732.2593548387099</v>
      </c>
      <c r="L16" s="760">
        <f t="shared" si="6"/>
        <v>16940.008000000002</v>
      </c>
      <c r="M16" s="775">
        <f t="shared" si="7"/>
        <v>2059.9919999999997</v>
      </c>
      <c r="N16" s="774">
        <f t="shared" si="8"/>
        <v>7.2365363748985443</v>
      </c>
      <c r="O16" s="760">
        <f t="shared" si="12"/>
        <v>19000</v>
      </c>
      <c r="P16" s="770">
        <f>H16*C16</f>
        <v>257.49899999999997</v>
      </c>
      <c r="Q16" s="760">
        <f t="shared" si="11"/>
        <v>2989.7583548387097</v>
      </c>
      <c r="R16" s="778" t="s">
        <v>167</v>
      </c>
      <c r="S16" s="785" t="s">
        <v>163</v>
      </c>
      <c r="T16" s="786">
        <v>41279</v>
      </c>
      <c r="U16" s="784">
        <v>41643</v>
      </c>
    </row>
    <row r="17" spans="1:21" s="744" customFormat="1" ht="18.75" customHeight="1">
      <c r="A17" s="758" t="s">
        <v>169</v>
      </c>
      <c r="B17" s="763">
        <v>1106</v>
      </c>
      <c r="C17" s="760">
        <v>84.75</v>
      </c>
      <c r="D17" s="760">
        <f t="shared" si="0"/>
        <v>32.852983157293743</v>
      </c>
      <c r="E17" s="760">
        <f t="shared" si="1"/>
        <v>203.68849557522122</v>
      </c>
      <c r="F17" s="760">
        <f t="shared" si="2"/>
        <v>32.852983157293743</v>
      </c>
      <c r="G17" s="760">
        <f t="shared" si="3"/>
        <v>203.68849557522122</v>
      </c>
      <c r="H17" s="761">
        <v>3.3</v>
      </c>
      <c r="I17" s="760">
        <f>19500-M17</f>
        <v>17262.599999999999</v>
      </c>
      <c r="J17" s="760">
        <f t="shared" si="4"/>
        <v>2784.2903225806449</v>
      </c>
      <c r="K17" s="760">
        <f t="shared" si="5"/>
        <v>2784.2903225806449</v>
      </c>
      <c r="L17" s="760">
        <f t="shared" si="6"/>
        <v>17262.599999999999</v>
      </c>
      <c r="M17" s="760">
        <f t="shared" si="7"/>
        <v>2237.4</v>
      </c>
      <c r="N17" s="774">
        <f t="shared" si="8"/>
        <v>6.7896165191740412</v>
      </c>
      <c r="O17" s="760">
        <f t="shared" si="12"/>
        <v>19500</v>
      </c>
      <c r="P17" s="760">
        <f t="shared" ref="P17:P23" si="13">C17*H17</f>
        <v>279.67500000000001</v>
      </c>
      <c r="Q17" s="760">
        <f t="shared" si="11"/>
        <v>3063.9653225806451</v>
      </c>
      <c r="R17" s="778" t="s">
        <v>158</v>
      </c>
      <c r="S17" s="785" t="s">
        <v>163</v>
      </c>
      <c r="T17" s="786">
        <v>41299</v>
      </c>
      <c r="U17" s="786">
        <v>41663</v>
      </c>
    </row>
    <row r="18" spans="1:21" s="453" customFormat="1" ht="13.5" customHeight="1">
      <c r="A18" s="758" t="s">
        <v>170</v>
      </c>
      <c r="B18" s="763">
        <v>1806</v>
      </c>
      <c r="C18" s="760">
        <v>222.2</v>
      </c>
      <c r="D18" s="760">
        <f t="shared" si="0"/>
        <v>24.777097064545163</v>
      </c>
      <c r="E18" s="760">
        <f t="shared" si="1"/>
        <v>153.61800180018002</v>
      </c>
      <c r="F18" s="760">
        <f t="shared" si="2"/>
        <v>24.777097064545163</v>
      </c>
      <c r="G18" s="760">
        <f t="shared" si="3"/>
        <v>153.61800180018002</v>
      </c>
      <c r="H18" s="761">
        <v>3.3</v>
      </c>
      <c r="I18" s="760">
        <f>40000-M18</f>
        <v>34133.919999999998</v>
      </c>
      <c r="J18" s="760">
        <f t="shared" si="4"/>
        <v>5505.4709677419351</v>
      </c>
      <c r="K18" s="760">
        <f t="shared" si="5"/>
        <v>5505.4709677419351</v>
      </c>
      <c r="L18" s="760">
        <f t="shared" si="6"/>
        <v>34133.919999999998</v>
      </c>
      <c r="M18" s="760">
        <f t="shared" si="7"/>
        <v>5866.079999999999</v>
      </c>
      <c r="N18" s="774">
        <f t="shared" si="8"/>
        <v>5.1206000600060007</v>
      </c>
      <c r="O18" s="760">
        <f t="shared" si="12"/>
        <v>40000</v>
      </c>
      <c r="P18" s="760">
        <f t="shared" si="13"/>
        <v>733.25999999999988</v>
      </c>
      <c r="Q18" s="760">
        <f t="shared" si="11"/>
        <v>6238.7309677419353</v>
      </c>
      <c r="R18" s="781" t="s">
        <v>167</v>
      </c>
      <c r="S18" s="785">
        <v>18</v>
      </c>
      <c r="T18" s="786">
        <v>41122</v>
      </c>
      <c r="U18" s="787">
        <v>41670</v>
      </c>
    </row>
    <row r="19" spans="1:21" s="744" customFormat="1">
      <c r="A19" s="762" t="s">
        <v>165</v>
      </c>
      <c r="B19" s="763">
        <v>1504</v>
      </c>
      <c r="C19" s="760">
        <v>191.68</v>
      </c>
      <c r="D19" s="760">
        <f t="shared" si="0"/>
        <v>21.82707738704292</v>
      </c>
      <c r="E19" s="760">
        <f t="shared" si="1"/>
        <v>135.32787979966611</v>
      </c>
      <c r="F19" s="760">
        <f t="shared" si="2"/>
        <v>21.82707738704292</v>
      </c>
      <c r="G19" s="760">
        <f t="shared" si="3"/>
        <v>135.32787979966611</v>
      </c>
      <c r="H19" s="761">
        <v>3.3</v>
      </c>
      <c r="I19" s="760">
        <f t="shared" ref="I19:I21" si="14">31000-M19</f>
        <v>25939.648000000001</v>
      </c>
      <c r="J19" s="760">
        <f t="shared" si="4"/>
        <v>4183.8141935483873</v>
      </c>
      <c r="K19" s="760">
        <f t="shared" si="5"/>
        <v>4183.8141935483873</v>
      </c>
      <c r="L19" s="760">
        <f t="shared" si="6"/>
        <v>25939.648000000001</v>
      </c>
      <c r="M19" s="760">
        <f t="shared" si="7"/>
        <v>5060.3519999999999</v>
      </c>
      <c r="N19" s="774">
        <f t="shared" si="8"/>
        <v>4.5109293266555373</v>
      </c>
      <c r="O19" s="760">
        <f t="shared" si="12"/>
        <v>31000</v>
      </c>
      <c r="P19" s="760">
        <f t="shared" si="13"/>
        <v>632.54399999999998</v>
      </c>
      <c r="Q19" s="760">
        <f t="shared" si="11"/>
        <v>4816.3581935483871</v>
      </c>
      <c r="R19" s="778" t="s">
        <v>158</v>
      </c>
      <c r="S19" s="785" t="s">
        <v>163</v>
      </c>
      <c r="T19" s="786">
        <v>41277</v>
      </c>
      <c r="U19" s="784">
        <v>41641</v>
      </c>
    </row>
    <row r="20" spans="1:21" s="744" customFormat="1" ht="18.75" customHeight="1">
      <c r="A20" s="758" t="s">
        <v>171</v>
      </c>
      <c r="B20" s="763">
        <v>1603</v>
      </c>
      <c r="C20" s="760">
        <v>191.68</v>
      </c>
      <c r="D20" s="760">
        <f t="shared" si="0"/>
        <v>21.82707738704292</v>
      </c>
      <c r="E20" s="760">
        <f t="shared" si="1"/>
        <v>135.32787979966611</v>
      </c>
      <c r="F20" s="760">
        <f t="shared" si="2"/>
        <v>21.82707738704292</v>
      </c>
      <c r="G20" s="760">
        <f t="shared" si="3"/>
        <v>135.32787979966611</v>
      </c>
      <c r="H20" s="761">
        <v>3.3</v>
      </c>
      <c r="I20" s="760">
        <f t="shared" si="14"/>
        <v>25939.648000000001</v>
      </c>
      <c r="J20" s="760">
        <f t="shared" si="4"/>
        <v>4183.8141935483873</v>
      </c>
      <c r="K20" s="760">
        <f t="shared" si="5"/>
        <v>4183.8141935483873</v>
      </c>
      <c r="L20" s="760">
        <f t="shared" si="6"/>
        <v>25939.648000000001</v>
      </c>
      <c r="M20" s="760">
        <f t="shared" si="7"/>
        <v>5060.3519999999999</v>
      </c>
      <c r="N20" s="774">
        <f t="shared" si="8"/>
        <v>4.5109293266555373</v>
      </c>
      <c r="O20" s="760">
        <f t="shared" si="12"/>
        <v>31000</v>
      </c>
      <c r="P20" s="760">
        <f t="shared" si="13"/>
        <v>632.54399999999998</v>
      </c>
      <c r="Q20" s="760">
        <f t="shared" si="11"/>
        <v>4816.3581935483871</v>
      </c>
      <c r="R20" s="778" t="s">
        <v>158</v>
      </c>
      <c r="S20" s="785" t="s">
        <v>163</v>
      </c>
      <c r="T20" s="786">
        <v>41299</v>
      </c>
      <c r="U20" s="784">
        <v>41663</v>
      </c>
    </row>
    <row r="21" spans="1:21" s="744" customFormat="1" ht="17.25" customHeight="1">
      <c r="A21" s="758" t="s">
        <v>172</v>
      </c>
      <c r="B21" s="763">
        <v>2005</v>
      </c>
      <c r="C21" s="760">
        <v>166.03</v>
      </c>
      <c r="D21" s="760">
        <f t="shared" si="0"/>
        <v>25.856974934572651</v>
      </c>
      <c r="E21" s="760">
        <f t="shared" si="1"/>
        <v>160.31324459435044</v>
      </c>
      <c r="F21" s="760">
        <f t="shared" si="2"/>
        <v>25.856974934572651</v>
      </c>
      <c r="G21" s="760">
        <f t="shared" si="3"/>
        <v>160.31324459435044</v>
      </c>
      <c r="H21" s="761">
        <v>3.3</v>
      </c>
      <c r="I21" s="760">
        <f t="shared" si="14"/>
        <v>26616.808000000001</v>
      </c>
      <c r="J21" s="760">
        <f t="shared" si="4"/>
        <v>4293.0335483870967</v>
      </c>
      <c r="K21" s="760">
        <f t="shared" si="5"/>
        <v>4293.0335483870967</v>
      </c>
      <c r="L21" s="760">
        <f t="shared" si="6"/>
        <v>26616.808000000001</v>
      </c>
      <c r="M21" s="760">
        <f t="shared" si="7"/>
        <v>4383.192</v>
      </c>
      <c r="N21" s="774">
        <f t="shared" si="8"/>
        <v>5.3437748198116806</v>
      </c>
      <c r="O21" s="760">
        <f t="shared" si="12"/>
        <v>31000</v>
      </c>
      <c r="P21" s="760">
        <f t="shared" si="13"/>
        <v>547.899</v>
      </c>
      <c r="Q21" s="760">
        <f t="shared" si="11"/>
        <v>4840.9325483870971</v>
      </c>
      <c r="R21" s="778" t="s">
        <v>158</v>
      </c>
      <c r="S21" s="785" t="s">
        <v>163</v>
      </c>
      <c r="T21" s="786">
        <v>41304</v>
      </c>
      <c r="U21" s="784">
        <v>41668</v>
      </c>
    </row>
    <row r="22" spans="1:21" s="744" customFormat="1">
      <c r="A22" s="758" t="s">
        <v>173</v>
      </c>
      <c r="B22" s="763">
        <v>2104</v>
      </c>
      <c r="C22" s="760">
        <v>191.68</v>
      </c>
      <c r="D22" s="760">
        <f t="shared" si="0"/>
        <v>23.509989767892723</v>
      </c>
      <c r="E22" s="760">
        <f t="shared" si="1"/>
        <v>145.76193656093488</v>
      </c>
      <c r="F22" s="760">
        <f t="shared" si="2"/>
        <v>23.509989767892723</v>
      </c>
      <c r="G22" s="760">
        <f t="shared" si="3"/>
        <v>145.76193656093488</v>
      </c>
      <c r="H22" s="761">
        <v>3.3</v>
      </c>
      <c r="I22" s="760">
        <f>33000-M22</f>
        <v>27939.648000000001</v>
      </c>
      <c r="J22" s="760">
        <f t="shared" si="4"/>
        <v>4506.3948387096771</v>
      </c>
      <c r="K22" s="760">
        <f t="shared" si="5"/>
        <v>4506.3948387096771</v>
      </c>
      <c r="L22" s="760">
        <f t="shared" si="6"/>
        <v>27939.647999999997</v>
      </c>
      <c r="M22" s="760">
        <f t="shared" si="7"/>
        <v>5060.3519999999999</v>
      </c>
      <c r="N22" s="774">
        <f t="shared" si="8"/>
        <v>4.8587312186978293</v>
      </c>
      <c r="O22" s="760">
        <f t="shared" si="12"/>
        <v>33000</v>
      </c>
      <c r="P22" s="760">
        <f t="shared" si="13"/>
        <v>632.54399999999998</v>
      </c>
      <c r="Q22" s="760">
        <f t="shared" si="11"/>
        <v>5138.9388387096769</v>
      </c>
      <c r="R22" s="778" t="s">
        <v>158</v>
      </c>
      <c r="S22" s="785" t="s">
        <v>163</v>
      </c>
      <c r="T22" s="786">
        <v>41276</v>
      </c>
      <c r="U22" s="784">
        <v>41640</v>
      </c>
    </row>
    <row r="23" spans="1:21" s="744" customFormat="1">
      <c r="A23" s="764" t="s">
        <v>174</v>
      </c>
      <c r="B23" s="763">
        <v>2301</v>
      </c>
      <c r="C23" s="760">
        <v>233.63</v>
      </c>
      <c r="D23" s="760">
        <f t="shared" si="0"/>
        <v>23.356595002022772</v>
      </c>
      <c r="E23" s="760">
        <f t="shared" si="1"/>
        <v>144.8108890125412</v>
      </c>
      <c r="F23" s="760">
        <f t="shared" si="2"/>
        <v>23.356595002022772</v>
      </c>
      <c r="G23" s="760">
        <f t="shared" si="3"/>
        <v>144.8108890125412</v>
      </c>
      <c r="H23" s="761">
        <v>3.3</v>
      </c>
      <c r="I23" s="760">
        <f>40000-M23</f>
        <v>33832.167999999998</v>
      </c>
      <c r="J23" s="760">
        <f t="shared" si="4"/>
        <v>5456.8012903225799</v>
      </c>
      <c r="K23" s="760">
        <f t="shared" si="5"/>
        <v>5456.8012903225799</v>
      </c>
      <c r="L23" s="760">
        <f t="shared" si="6"/>
        <v>33832.167999999998</v>
      </c>
      <c r="M23" s="760">
        <f t="shared" si="7"/>
        <v>6167.8319999999994</v>
      </c>
      <c r="N23" s="774">
        <f t="shared" si="8"/>
        <v>4.8270296337513736</v>
      </c>
      <c r="O23" s="760">
        <f t="shared" si="12"/>
        <v>40000</v>
      </c>
      <c r="P23" s="760">
        <f t="shared" si="13"/>
        <v>770.97899999999993</v>
      </c>
      <c r="Q23" s="760">
        <f t="shared" si="11"/>
        <v>6227.7802903225802</v>
      </c>
      <c r="R23" s="778" t="s">
        <v>167</v>
      </c>
      <c r="S23" s="785" t="s">
        <v>163</v>
      </c>
      <c r="T23" s="786">
        <v>41292</v>
      </c>
      <c r="U23" s="784">
        <v>41656</v>
      </c>
    </row>
    <row r="24" spans="1:21" s="744" customFormat="1" ht="12.75" customHeight="1">
      <c r="A24" s="758" t="s">
        <v>175</v>
      </c>
      <c r="B24" s="763">
        <v>1203</v>
      </c>
      <c r="C24" s="760">
        <v>84.75</v>
      </c>
      <c r="D24" s="760">
        <f t="shared" si="0"/>
        <v>34.756113807212863</v>
      </c>
      <c r="E24" s="760">
        <f t="shared" si="1"/>
        <v>215.48790560471974</v>
      </c>
      <c r="F24" s="760">
        <f t="shared" si="2"/>
        <v>34.756113807212863</v>
      </c>
      <c r="G24" s="760">
        <f t="shared" si="3"/>
        <v>215.48790560471974</v>
      </c>
      <c r="H24" s="761">
        <v>3.3</v>
      </c>
      <c r="I24" s="760">
        <f>20500-M24</f>
        <v>18262.599999999999</v>
      </c>
      <c r="J24" s="760">
        <f t="shared" si="4"/>
        <v>2945.5806451612898</v>
      </c>
      <c r="K24" s="760">
        <f t="shared" si="5"/>
        <v>2945.5806451612898</v>
      </c>
      <c r="L24" s="760">
        <f t="shared" si="6"/>
        <v>18262.599999999999</v>
      </c>
      <c r="M24" s="775">
        <f t="shared" si="7"/>
        <v>2237.4</v>
      </c>
      <c r="N24" s="774">
        <f t="shared" si="8"/>
        <v>7.1829301868239925</v>
      </c>
      <c r="O24" s="760">
        <f t="shared" si="12"/>
        <v>20500</v>
      </c>
      <c r="P24" s="770">
        <f t="shared" ref="P24:P26" si="15">H24*C24</f>
        <v>279.67500000000001</v>
      </c>
      <c r="Q24" s="760">
        <f t="shared" si="11"/>
        <v>3225.25564516129</v>
      </c>
      <c r="R24" s="778" t="s">
        <v>167</v>
      </c>
      <c r="S24" s="785">
        <v>12</v>
      </c>
      <c r="T24" s="786">
        <v>41325</v>
      </c>
      <c r="U24" s="784">
        <v>41689</v>
      </c>
    </row>
    <row r="25" spans="1:21" s="744" customFormat="1" ht="12.75" customHeight="1">
      <c r="A25" s="758" t="s">
        <v>176</v>
      </c>
      <c r="B25" s="763">
        <v>1007</v>
      </c>
      <c r="C25" s="760">
        <v>75.180000000000007</v>
      </c>
      <c r="D25" s="760">
        <f t="shared" si="0"/>
        <v>37.147937423302352</v>
      </c>
      <c r="E25" s="760">
        <f t="shared" si="1"/>
        <v>230.31721202447457</v>
      </c>
      <c r="F25" s="760">
        <f t="shared" si="2"/>
        <v>37.147937423302352</v>
      </c>
      <c r="G25" s="760">
        <f t="shared" si="3"/>
        <v>230.31721202447457</v>
      </c>
      <c r="H25" s="761">
        <v>3.3</v>
      </c>
      <c r="I25" s="760">
        <f>19300-M25</f>
        <v>17315.248</v>
      </c>
      <c r="J25" s="760">
        <f t="shared" si="4"/>
        <v>2792.7819354838707</v>
      </c>
      <c r="K25" s="760">
        <f t="shared" si="5"/>
        <v>2792.7819354838707</v>
      </c>
      <c r="L25" s="770">
        <f t="shared" si="6"/>
        <v>17315.248</v>
      </c>
      <c r="M25" s="775">
        <f t="shared" si="7"/>
        <v>1984.7520000000002</v>
      </c>
      <c r="N25" s="774">
        <f t="shared" si="8"/>
        <v>7.677240400815819</v>
      </c>
      <c r="O25" s="760">
        <f t="shared" si="12"/>
        <v>19300</v>
      </c>
      <c r="P25" s="770">
        <f t="shared" si="15"/>
        <v>248.09400000000002</v>
      </c>
      <c r="Q25" s="760">
        <f t="shared" si="11"/>
        <v>3040.8759354838708</v>
      </c>
      <c r="R25" s="778" t="s">
        <v>167</v>
      </c>
      <c r="S25" s="761">
        <v>12</v>
      </c>
      <c r="T25" s="786">
        <v>41334</v>
      </c>
      <c r="U25" s="784">
        <v>41698</v>
      </c>
    </row>
    <row r="26" spans="1:21" s="744" customFormat="1" ht="12.75" customHeight="1">
      <c r="A26" s="758" t="s">
        <v>177</v>
      </c>
      <c r="B26" s="763">
        <v>505</v>
      </c>
      <c r="C26" s="760">
        <v>191.16</v>
      </c>
      <c r="D26" s="760">
        <f t="shared" si="0"/>
        <v>22.741780234763652</v>
      </c>
      <c r="E26" s="760">
        <f t="shared" si="1"/>
        <v>140.99903745553465</v>
      </c>
      <c r="F26" s="760">
        <f t="shared" si="2"/>
        <v>22.741780234763652</v>
      </c>
      <c r="G26" s="760">
        <f t="shared" si="3"/>
        <v>140.99903745553465</v>
      </c>
      <c r="H26" s="761">
        <v>3.3</v>
      </c>
      <c r="I26" s="760">
        <f>32000-M26</f>
        <v>26953.376</v>
      </c>
      <c r="J26" s="760">
        <f t="shared" si="4"/>
        <v>4347.3187096774191</v>
      </c>
      <c r="K26" s="760">
        <f t="shared" si="5"/>
        <v>4347.3187096774191</v>
      </c>
      <c r="L26" s="760">
        <f t="shared" si="6"/>
        <v>26953.376</v>
      </c>
      <c r="M26" s="775">
        <f t="shared" si="7"/>
        <v>5046.6239999999998</v>
      </c>
      <c r="N26" s="774">
        <f t="shared" si="8"/>
        <v>4.6999679151844882</v>
      </c>
      <c r="O26" s="760">
        <f t="shared" si="12"/>
        <v>32000</v>
      </c>
      <c r="P26" s="770">
        <f t="shared" si="15"/>
        <v>630.82799999999997</v>
      </c>
      <c r="Q26" s="760">
        <f t="shared" si="11"/>
        <v>4978.1467096774195</v>
      </c>
      <c r="R26" s="778" t="s">
        <v>167</v>
      </c>
      <c r="S26" s="761">
        <v>12</v>
      </c>
      <c r="T26" s="786">
        <v>41334</v>
      </c>
      <c r="U26" s="784">
        <v>41698</v>
      </c>
    </row>
    <row r="27" spans="1:21" s="744" customFormat="1" ht="21" customHeight="1">
      <c r="A27" s="762" t="s">
        <v>178</v>
      </c>
      <c r="B27" s="759">
        <v>1401</v>
      </c>
      <c r="C27" s="760">
        <v>304.05</v>
      </c>
      <c r="D27" s="760">
        <f t="shared" si="0"/>
        <v>20.143694532414553</v>
      </c>
      <c r="E27" s="760">
        <f t="shared" si="1"/>
        <v>124.89090610097024</v>
      </c>
      <c r="F27" s="760">
        <f t="shared" si="2"/>
        <v>20.143694532414553</v>
      </c>
      <c r="G27" s="760">
        <f>E27</f>
        <v>124.89090610097024</v>
      </c>
      <c r="H27" s="761">
        <v>3.3</v>
      </c>
      <c r="I27" s="770">
        <f>46000-M27</f>
        <v>37973.08</v>
      </c>
      <c r="J27" s="770">
        <f t="shared" si="4"/>
        <v>6124.6903225806454</v>
      </c>
      <c r="K27" s="770">
        <f t="shared" si="5"/>
        <v>6124.6903225806454</v>
      </c>
      <c r="L27" s="770">
        <f t="shared" si="6"/>
        <v>37973.08</v>
      </c>
      <c r="M27" s="770">
        <f t="shared" si="7"/>
        <v>8026.92</v>
      </c>
      <c r="N27" s="773">
        <f t="shared" si="8"/>
        <v>4.1630302033656745</v>
      </c>
      <c r="O27" s="770">
        <f t="shared" ref="O27:O31" si="16">SUM(L27:M27)</f>
        <v>46000</v>
      </c>
      <c r="P27" s="770">
        <f t="shared" ref="P27:P32" si="17">C27*H27</f>
        <v>1003.365</v>
      </c>
      <c r="Q27" s="770">
        <f t="shared" si="11"/>
        <v>7128.0553225806452</v>
      </c>
      <c r="R27" s="781" t="s">
        <v>158</v>
      </c>
      <c r="S27" s="782">
        <v>12</v>
      </c>
      <c r="T27" s="783">
        <v>41334</v>
      </c>
      <c r="U27" s="784">
        <v>41698</v>
      </c>
    </row>
    <row r="28" spans="1:21" s="744" customFormat="1" ht="12.75" customHeight="1">
      <c r="A28" s="758" t="s">
        <v>179</v>
      </c>
      <c r="B28" s="763">
        <v>701</v>
      </c>
      <c r="C28" s="760">
        <v>164.13</v>
      </c>
      <c r="D28" s="760">
        <f t="shared" si="0"/>
        <v>22.766147212182318</v>
      </c>
      <c r="E28" s="760">
        <f t="shared" si="1"/>
        <v>141.15011271553038</v>
      </c>
      <c r="F28" s="760">
        <f t="shared" si="2"/>
        <v>22.766147212182318</v>
      </c>
      <c r="G28" s="760">
        <f t="shared" ref="G28:G41" si="18">L28/C28</f>
        <v>141.15011271553038</v>
      </c>
      <c r="H28" s="761">
        <v>3.3</v>
      </c>
      <c r="I28" s="760">
        <f>27500-M28</f>
        <v>23166.968000000001</v>
      </c>
      <c r="J28" s="760">
        <f t="shared" si="4"/>
        <v>3736.6077419354838</v>
      </c>
      <c r="K28" s="760">
        <f t="shared" si="5"/>
        <v>3736.6077419354838</v>
      </c>
      <c r="L28" s="760">
        <f t="shared" si="6"/>
        <v>23166.968000000001</v>
      </c>
      <c r="M28" s="775">
        <f t="shared" si="7"/>
        <v>4333.0319999999992</v>
      </c>
      <c r="N28" s="774">
        <f t="shared" si="8"/>
        <v>4.7050037571843459</v>
      </c>
      <c r="O28" s="760">
        <f>SUM(L28,M28)</f>
        <v>27500</v>
      </c>
      <c r="P28" s="770">
        <f>H28*C28</f>
        <v>541.62899999999991</v>
      </c>
      <c r="Q28" s="760">
        <f t="shared" si="11"/>
        <v>4278.2367419354832</v>
      </c>
      <c r="R28" s="778" t="s">
        <v>167</v>
      </c>
      <c r="S28" s="785">
        <v>12</v>
      </c>
      <c r="T28" s="786">
        <v>41315</v>
      </c>
      <c r="U28" s="784">
        <v>41679</v>
      </c>
    </row>
    <row r="29" spans="1:21" s="453" customFormat="1" ht="13.5" customHeight="1">
      <c r="A29" s="758" t="s">
        <v>180</v>
      </c>
      <c r="B29" s="763">
        <v>1003</v>
      </c>
      <c r="C29" s="760">
        <v>84.75</v>
      </c>
      <c r="D29" s="760">
        <f t="shared" si="0"/>
        <v>31.901417832334186</v>
      </c>
      <c r="E29" s="760">
        <f t="shared" si="1"/>
        <v>197.78879056047197</v>
      </c>
      <c r="F29" s="760">
        <f t="shared" si="2"/>
        <v>31.901417832334186</v>
      </c>
      <c r="G29" s="760">
        <f t="shared" si="18"/>
        <v>197.78879056047197</v>
      </c>
      <c r="H29" s="761">
        <v>3.3</v>
      </c>
      <c r="I29" s="760">
        <f>19000-M29</f>
        <v>16762.599999999999</v>
      </c>
      <c r="J29" s="760">
        <f t="shared" si="4"/>
        <v>2703.6451612903224</v>
      </c>
      <c r="K29" s="760">
        <f t="shared" si="5"/>
        <v>2703.6451612903224</v>
      </c>
      <c r="L29" s="770">
        <f t="shared" si="6"/>
        <v>16762.599999999999</v>
      </c>
      <c r="M29" s="775">
        <f t="shared" si="7"/>
        <v>2237.4</v>
      </c>
      <c r="N29" s="774">
        <f t="shared" si="8"/>
        <v>6.592959685349066</v>
      </c>
      <c r="O29" s="760">
        <f>SUM(L29,M29)</f>
        <v>19000</v>
      </c>
      <c r="P29" s="776">
        <f t="shared" si="17"/>
        <v>279.67500000000001</v>
      </c>
      <c r="Q29" s="760">
        <f t="shared" si="11"/>
        <v>2983.3201612903226</v>
      </c>
      <c r="R29" s="778" t="s">
        <v>158</v>
      </c>
      <c r="S29" s="761" t="s">
        <v>163</v>
      </c>
      <c r="T29" s="786">
        <v>41335</v>
      </c>
      <c r="U29" s="787">
        <v>41699</v>
      </c>
    </row>
    <row r="30" spans="1:21" s="744" customFormat="1" ht="20.25" customHeight="1">
      <c r="A30" s="762" t="s">
        <v>181</v>
      </c>
      <c r="B30" s="759">
        <v>706</v>
      </c>
      <c r="C30" s="760">
        <v>182.53</v>
      </c>
      <c r="D30" s="760">
        <f t="shared" si="0"/>
        <v>20.483780836733864</v>
      </c>
      <c r="E30" s="760">
        <f t="shared" si="1"/>
        <v>126.99944118774995</v>
      </c>
      <c r="F30" s="760">
        <f t="shared" si="2"/>
        <v>20.483780836733864</v>
      </c>
      <c r="G30" s="760">
        <f t="shared" si="18"/>
        <v>126.99944118774995</v>
      </c>
      <c r="H30" s="761">
        <v>3.3</v>
      </c>
      <c r="I30" s="770">
        <f>28000-M30</f>
        <v>23181.207999999999</v>
      </c>
      <c r="J30" s="770">
        <f t="shared" si="4"/>
        <v>3738.9045161290319</v>
      </c>
      <c r="K30" s="770">
        <f t="shared" si="5"/>
        <v>3738.9045161290319</v>
      </c>
      <c r="L30" s="770">
        <f t="shared" si="6"/>
        <v>23181.207999999999</v>
      </c>
      <c r="M30" s="770">
        <f t="shared" si="7"/>
        <v>4818.7919999999995</v>
      </c>
      <c r="N30" s="773">
        <f t="shared" si="8"/>
        <v>4.2333147062583318</v>
      </c>
      <c r="O30" s="770">
        <f t="shared" si="16"/>
        <v>28000</v>
      </c>
      <c r="P30" s="770">
        <f t="shared" si="17"/>
        <v>602.34899999999993</v>
      </c>
      <c r="Q30" s="770">
        <f t="shared" si="11"/>
        <v>4341.2535161290316</v>
      </c>
      <c r="R30" s="781" t="s">
        <v>167</v>
      </c>
      <c r="S30" s="782">
        <v>12</v>
      </c>
      <c r="T30" s="783">
        <v>41363</v>
      </c>
      <c r="U30" s="784">
        <v>41727</v>
      </c>
    </row>
    <row r="31" spans="1:21" s="744" customFormat="1" ht="20.25" customHeight="1">
      <c r="A31" s="758" t="s">
        <v>182</v>
      </c>
      <c r="B31" s="759">
        <v>705</v>
      </c>
      <c r="C31" s="760">
        <v>182.53</v>
      </c>
      <c r="D31" s="760">
        <f t="shared" si="0"/>
        <v>21.36741817076468</v>
      </c>
      <c r="E31" s="760">
        <f t="shared" si="1"/>
        <v>132.47799265874102</v>
      </c>
      <c r="F31" s="760">
        <f t="shared" si="2"/>
        <v>21.36741817076468</v>
      </c>
      <c r="G31" s="760">
        <f t="shared" si="18"/>
        <v>132.47799265874102</v>
      </c>
      <c r="H31" s="761">
        <v>3.3</v>
      </c>
      <c r="I31" s="770">
        <f>29000-M31</f>
        <v>24181.207999999999</v>
      </c>
      <c r="J31" s="770">
        <f t="shared" si="4"/>
        <v>3900.1948387096772</v>
      </c>
      <c r="K31" s="770">
        <f t="shared" si="5"/>
        <v>3900.1948387096772</v>
      </c>
      <c r="L31" s="770">
        <f t="shared" si="6"/>
        <v>24181.207999999999</v>
      </c>
      <c r="M31" s="770">
        <f t="shared" si="7"/>
        <v>4818.7919999999995</v>
      </c>
      <c r="N31" s="773">
        <f t="shared" si="8"/>
        <v>4.4159330886247004</v>
      </c>
      <c r="O31" s="770">
        <f t="shared" si="16"/>
        <v>29000</v>
      </c>
      <c r="P31" s="770">
        <f t="shared" si="17"/>
        <v>602.34899999999993</v>
      </c>
      <c r="Q31" s="770">
        <f t="shared" si="11"/>
        <v>4502.5438387096774</v>
      </c>
      <c r="R31" s="781" t="s">
        <v>158</v>
      </c>
      <c r="S31" s="782">
        <v>12</v>
      </c>
      <c r="T31" s="783">
        <v>41365</v>
      </c>
      <c r="U31" s="784">
        <v>41729</v>
      </c>
    </row>
    <row r="32" spans="1:21" s="453" customFormat="1" ht="13.5" customHeight="1">
      <c r="A32" s="758" t="s">
        <v>183</v>
      </c>
      <c r="B32" s="763">
        <v>1002</v>
      </c>
      <c r="C32" s="760">
        <v>78.03</v>
      </c>
      <c r="D32" s="760">
        <f t="shared" si="0"/>
        <v>36.049013406754227</v>
      </c>
      <c r="E32" s="760">
        <f t="shared" si="1"/>
        <v>223.50388312187621</v>
      </c>
      <c r="F32" s="760">
        <f t="shared" si="2"/>
        <v>36.049013406754227</v>
      </c>
      <c r="G32" s="760">
        <f t="shared" si="18"/>
        <v>223.50388312187621</v>
      </c>
      <c r="H32" s="761">
        <v>3.3</v>
      </c>
      <c r="I32" s="760">
        <f>19500-M32</f>
        <v>17440.008000000002</v>
      </c>
      <c r="J32" s="760">
        <f t="shared" si="4"/>
        <v>2812.9045161290323</v>
      </c>
      <c r="K32" s="760">
        <f t="shared" si="5"/>
        <v>2812.9045161290323</v>
      </c>
      <c r="L32" s="770">
        <f t="shared" si="6"/>
        <v>17440.008000000002</v>
      </c>
      <c r="M32" s="775">
        <f t="shared" si="7"/>
        <v>2059.9919999999997</v>
      </c>
      <c r="N32" s="774">
        <f t="shared" si="8"/>
        <v>7.4501294373958737</v>
      </c>
      <c r="O32" s="760">
        <f t="shared" ref="O32:O40" si="19">SUM(L32,M32)</f>
        <v>19500</v>
      </c>
      <c r="P32" s="770">
        <f t="shared" si="17"/>
        <v>257.49899999999997</v>
      </c>
      <c r="Q32" s="760">
        <f t="shared" si="11"/>
        <v>3070.4035161290321</v>
      </c>
      <c r="R32" s="778" t="s">
        <v>158</v>
      </c>
      <c r="S32" s="761" t="s">
        <v>163</v>
      </c>
      <c r="T32" s="786">
        <v>41358</v>
      </c>
      <c r="U32" s="788">
        <v>41722</v>
      </c>
    </row>
    <row r="33" spans="1:21" s="744" customFormat="1" ht="12.75" customHeight="1">
      <c r="A33" s="762" t="s">
        <v>178</v>
      </c>
      <c r="B33" s="763">
        <v>1406</v>
      </c>
      <c r="C33" s="760">
        <v>222.2</v>
      </c>
      <c r="D33" s="760">
        <f t="shared" si="0"/>
        <v>18.970064748410326</v>
      </c>
      <c r="E33" s="760">
        <f t="shared" si="1"/>
        <v>117.61440144014404</v>
      </c>
      <c r="F33" s="760">
        <f t="shared" si="2"/>
        <v>18.970064748410326</v>
      </c>
      <c r="G33" s="760">
        <f t="shared" si="18"/>
        <v>117.61440144014401</v>
      </c>
      <c r="H33" s="761">
        <v>3.3</v>
      </c>
      <c r="I33" s="760">
        <f>32000-M33</f>
        <v>26133.920000000002</v>
      </c>
      <c r="J33" s="760">
        <f t="shared" si="4"/>
        <v>4215.1483870967741</v>
      </c>
      <c r="K33" s="760">
        <f t="shared" si="5"/>
        <v>4215.1483870967741</v>
      </c>
      <c r="L33" s="760">
        <f t="shared" si="6"/>
        <v>26133.919999999998</v>
      </c>
      <c r="M33" s="775">
        <f t="shared" si="7"/>
        <v>5866.079999999999</v>
      </c>
      <c r="N33" s="774">
        <f t="shared" si="8"/>
        <v>3.9204800480048001</v>
      </c>
      <c r="O33" s="760">
        <f t="shared" si="19"/>
        <v>31999.999999999996</v>
      </c>
      <c r="P33" s="770">
        <f t="shared" ref="P33:P38" si="20">H33*C33</f>
        <v>733.25999999999988</v>
      </c>
      <c r="Q33" s="760">
        <f t="shared" si="11"/>
        <v>4948.4083870967743</v>
      </c>
      <c r="R33" s="778" t="s">
        <v>167</v>
      </c>
      <c r="S33" s="761">
        <v>12</v>
      </c>
      <c r="T33" s="786">
        <v>41362</v>
      </c>
      <c r="U33" s="784">
        <v>41726</v>
      </c>
    </row>
    <row r="34" spans="1:21" s="744" customFormat="1" ht="12.75" customHeight="1">
      <c r="A34" s="758" t="s">
        <v>184</v>
      </c>
      <c r="B34" s="763">
        <v>1405</v>
      </c>
      <c r="C34" s="760">
        <v>166.03</v>
      </c>
      <c r="D34" s="760">
        <f t="shared" si="0"/>
        <v>24.399795606312892</v>
      </c>
      <c r="E34" s="760">
        <f t="shared" si="1"/>
        <v>151.27873275913993</v>
      </c>
      <c r="F34" s="760">
        <f t="shared" si="2"/>
        <v>24.399795606312892</v>
      </c>
      <c r="G34" s="760">
        <f t="shared" si="18"/>
        <v>151.27873275913993</v>
      </c>
      <c r="H34" s="761">
        <v>3.3</v>
      </c>
      <c r="I34" s="760">
        <f>29500-M34</f>
        <v>25116.808000000001</v>
      </c>
      <c r="J34" s="760">
        <f t="shared" si="4"/>
        <v>4051.0980645161289</v>
      </c>
      <c r="K34" s="760">
        <f t="shared" si="5"/>
        <v>4051.0980645161289</v>
      </c>
      <c r="L34" s="760">
        <f t="shared" si="6"/>
        <v>25116.808000000001</v>
      </c>
      <c r="M34" s="760">
        <f t="shared" si="7"/>
        <v>4383.192</v>
      </c>
      <c r="N34" s="774">
        <f t="shared" si="8"/>
        <v>5.0426244253046644</v>
      </c>
      <c r="O34" s="760">
        <f t="shared" si="19"/>
        <v>29500</v>
      </c>
      <c r="P34" s="760">
        <f t="shared" ref="P34:P37" si="21">C34*H34</f>
        <v>547.899</v>
      </c>
      <c r="Q34" s="760">
        <f t="shared" si="11"/>
        <v>4598.9970645161293</v>
      </c>
      <c r="R34" s="778" t="s">
        <v>158</v>
      </c>
      <c r="S34" s="785" t="s">
        <v>163</v>
      </c>
      <c r="T34" s="786">
        <v>41360</v>
      </c>
      <c r="U34" s="786">
        <v>41724</v>
      </c>
    </row>
    <row r="35" spans="1:21" s="744" customFormat="1" ht="12.75" customHeight="1">
      <c r="A35" s="762" t="s">
        <v>165</v>
      </c>
      <c r="B35" s="763">
        <v>1404</v>
      </c>
      <c r="C35" s="760">
        <v>191.68</v>
      </c>
      <c r="D35" s="760">
        <f t="shared" si="0"/>
        <v>21.82707738704292</v>
      </c>
      <c r="E35" s="760">
        <f t="shared" si="1"/>
        <v>135.32787979966611</v>
      </c>
      <c r="F35" s="760">
        <f t="shared" si="2"/>
        <v>21.82707738704292</v>
      </c>
      <c r="G35" s="760">
        <f t="shared" si="18"/>
        <v>135.32787979966611</v>
      </c>
      <c r="H35" s="761">
        <v>3.3</v>
      </c>
      <c r="I35" s="760">
        <f>31000-M35</f>
        <v>25939.648000000001</v>
      </c>
      <c r="J35" s="760">
        <f t="shared" si="4"/>
        <v>4183.8141935483873</v>
      </c>
      <c r="K35" s="760">
        <f t="shared" si="5"/>
        <v>4183.8141935483873</v>
      </c>
      <c r="L35" s="760">
        <f t="shared" si="6"/>
        <v>25939.648000000001</v>
      </c>
      <c r="M35" s="775">
        <f t="shared" si="7"/>
        <v>5060.3519999999999</v>
      </c>
      <c r="N35" s="774">
        <f t="shared" si="8"/>
        <v>4.5109293266555373</v>
      </c>
      <c r="O35" s="760">
        <f t="shared" si="19"/>
        <v>31000</v>
      </c>
      <c r="P35" s="770">
        <f t="shared" si="20"/>
        <v>632.54399999999998</v>
      </c>
      <c r="Q35" s="760">
        <f t="shared" si="11"/>
        <v>4816.3581935483871</v>
      </c>
      <c r="R35" s="778" t="s">
        <v>167</v>
      </c>
      <c r="S35" s="761">
        <v>12</v>
      </c>
      <c r="T35" s="786">
        <v>41364</v>
      </c>
      <c r="U35" s="784">
        <v>41728</v>
      </c>
    </row>
    <row r="36" spans="1:21" s="453" customFormat="1" ht="14.25" customHeight="1">
      <c r="A36" s="762" t="s">
        <v>185</v>
      </c>
      <c r="B36" s="763">
        <v>1403</v>
      </c>
      <c r="C36" s="760">
        <v>191.68</v>
      </c>
      <c r="D36" s="760">
        <f t="shared" ref="D36:D67" si="22">E36/6.2</f>
        <v>17.619796434918413</v>
      </c>
      <c r="E36" s="760">
        <f t="shared" ref="E36:E67" si="23">I36/C36</f>
        <v>109.24273789649416</v>
      </c>
      <c r="F36" s="760">
        <f t="shared" ref="F36:F67" si="24">D36</f>
        <v>17.619796434918413</v>
      </c>
      <c r="G36" s="760">
        <f t="shared" si="18"/>
        <v>109.24273789649416</v>
      </c>
      <c r="H36" s="761">
        <v>3.3</v>
      </c>
      <c r="I36" s="760">
        <f t="shared" ref="I36:I41" si="25">26000-M36</f>
        <v>20939.648000000001</v>
      </c>
      <c r="J36" s="760">
        <f t="shared" ref="J36:J67" si="26">I36/6.2</f>
        <v>3377.3625806451614</v>
      </c>
      <c r="K36" s="760">
        <f t="shared" ref="K36:K67" si="27">J36</f>
        <v>3377.3625806451614</v>
      </c>
      <c r="L36" s="760">
        <f t="shared" ref="L36:L67" si="28">K36*6.2</f>
        <v>20939.648000000001</v>
      </c>
      <c r="M36" s="760">
        <f t="shared" ref="M36:M67" si="29">P36*8</f>
        <v>5060.3519999999999</v>
      </c>
      <c r="N36" s="774">
        <f t="shared" ref="N36:N67" si="30">L36/30/C36</f>
        <v>3.6414245965498053</v>
      </c>
      <c r="O36" s="760">
        <f t="shared" si="19"/>
        <v>26000</v>
      </c>
      <c r="P36" s="760">
        <f t="shared" si="21"/>
        <v>632.54399999999998</v>
      </c>
      <c r="Q36" s="760">
        <f t="shared" ref="Q36:Q67" si="31">J36+P36</f>
        <v>4009.9065806451613</v>
      </c>
      <c r="R36" s="778" t="s">
        <v>158</v>
      </c>
      <c r="S36" s="785" t="s">
        <v>186</v>
      </c>
      <c r="T36" s="786">
        <v>41000</v>
      </c>
      <c r="U36" s="787">
        <v>41729</v>
      </c>
    </row>
    <row r="37" spans="1:21" s="453" customFormat="1" ht="13.5" customHeight="1">
      <c r="A37" s="758" t="s">
        <v>187</v>
      </c>
      <c r="B37" s="763">
        <v>1904</v>
      </c>
      <c r="C37" s="760">
        <v>191.68</v>
      </c>
      <c r="D37" s="760">
        <f t="shared" si="22"/>
        <v>17.619796434918413</v>
      </c>
      <c r="E37" s="760">
        <f t="shared" si="23"/>
        <v>109.24273789649416</v>
      </c>
      <c r="F37" s="760">
        <f t="shared" si="24"/>
        <v>17.619796434918413</v>
      </c>
      <c r="G37" s="760">
        <f t="shared" si="18"/>
        <v>109.24273789649416</v>
      </c>
      <c r="H37" s="761">
        <v>3.3</v>
      </c>
      <c r="I37" s="760">
        <f t="shared" si="25"/>
        <v>20939.648000000001</v>
      </c>
      <c r="J37" s="760">
        <f t="shared" si="26"/>
        <v>3377.3625806451614</v>
      </c>
      <c r="K37" s="760">
        <f t="shared" si="27"/>
        <v>3377.3625806451614</v>
      </c>
      <c r="L37" s="760">
        <f t="shared" si="28"/>
        <v>20939.648000000001</v>
      </c>
      <c r="M37" s="760">
        <f t="shared" si="29"/>
        <v>5060.3519999999999</v>
      </c>
      <c r="N37" s="774">
        <f t="shared" si="30"/>
        <v>3.6414245965498053</v>
      </c>
      <c r="O37" s="760">
        <f t="shared" si="19"/>
        <v>26000</v>
      </c>
      <c r="P37" s="760">
        <f t="shared" si="21"/>
        <v>632.54399999999998</v>
      </c>
      <c r="Q37" s="760">
        <f t="shared" si="31"/>
        <v>4009.9065806451613</v>
      </c>
      <c r="R37" s="778" t="s">
        <v>167</v>
      </c>
      <c r="S37" s="785" t="s">
        <v>186</v>
      </c>
      <c r="T37" s="786">
        <v>41000</v>
      </c>
      <c r="U37" s="787">
        <v>41729</v>
      </c>
    </row>
    <row r="38" spans="1:21" s="744" customFormat="1" ht="12.75" customHeight="1">
      <c r="A38" s="758" t="s">
        <v>188</v>
      </c>
      <c r="B38" s="763">
        <v>2305</v>
      </c>
      <c r="C38" s="760">
        <v>166.03</v>
      </c>
      <c r="D38" s="760">
        <f t="shared" si="22"/>
        <v>25.856974934572651</v>
      </c>
      <c r="E38" s="760">
        <f t="shared" si="23"/>
        <v>160.31324459435044</v>
      </c>
      <c r="F38" s="760">
        <f t="shared" si="24"/>
        <v>25.856974934572651</v>
      </c>
      <c r="G38" s="760">
        <f t="shared" si="18"/>
        <v>160.31324459435044</v>
      </c>
      <c r="H38" s="761">
        <v>3.3</v>
      </c>
      <c r="I38" s="760">
        <f>31000-M38</f>
        <v>26616.808000000001</v>
      </c>
      <c r="J38" s="760">
        <f t="shared" si="26"/>
        <v>4293.0335483870967</v>
      </c>
      <c r="K38" s="760">
        <f t="shared" si="27"/>
        <v>4293.0335483870967</v>
      </c>
      <c r="L38" s="760">
        <f t="shared" si="28"/>
        <v>26616.808000000001</v>
      </c>
      <c r="M38" s="775">
        <f t="shared" si="29"/>
        <v>4383.192</v>
      </c>
      <c r="N38" s="774">
        <f t="shared" si="30"/>
        <v>5.3437748198116806</v>
      </c>
      <c r="O38" s="760">
        <f t="shared" si="19"/>
        <v>31000</v>
      </c>
      <c r="P38" s="770">
        <f t="shared" si="20"/>
        <v>547.899</v>
      </c>
      <c r="Q38" s="760">
        <f t="shared" si="31"/>
        <v>4840.9325483870971</v>
      </c>
      <c r="R38" s="778" t="s">
        <v>167</v>
      </c>
      <c r="S38" s="789">
        <v>12</v>
      </c>
      <c r="T38" s="786">
        <v>41365</v>
      </c>
      <c r="U38" s="784">
        <v>41729</v>
      </c>
    </row>
    <row r="39" spans="1:21" s="453" customFormat="1" ht="14.25" customHeight="1">
      <c r="A39" s="758" t="s">
        <v>189</v>
      </c>
      <c r="B39" s="763">
        <v>1306</v>
      </c>
      <c r="C39" s="760">
        <v>222.2</v>
      </c>
      <c r="D39" s="760">
        <f t="shared" si="22"/>
        <v>17.518306669376617</v>
      </c>
      <c r="E39" s="760">
        <f t="shared" si="23"/>
        <v>108.61350135013502</v>
      </c>
      <c r="F39" s="760">
        <f t="shared" si="24"/>
        <v>17.518306669376617</v>
      </c>
      <c r="G39" s="760">
        <f t="shared" si="18"/>
        <v>108.61350135013502</v>
      </c>
      <c r="H39" s="761">
        <v>3.3</v>
      </c>
      <c r="I39" s="760">
        <f>30000-M39</f>
        <v>24133.920000000002</v>
      </c>
      <c r="J39" s="760">
        <f t="shared" si="26"/>
        <v>3892.5677419354843</v>
      </c>
      <c r="K39" s="760">
        <f t="shared" si="27"/>
        <v>3892.5677419354843</v>
      </c>
      <c r="L39" s="760">
        <f t="shared" si="28"/>
        <v>24133.920000000002</v>
      </c>
      <c r="M39" s="760">
        <f t="shared" si="29"/>
        <v>5866.079999999999</v>
      </c>
      <c r="N39" s="774">
        <f t="shared" si="30"/>
        <v>3.620450045004501</v>
      </c>
      <c r="O39" s="760">
        <f t="shared" si="19"/>
        <v>30000</v>
      </c>
      <c r="P39" s="760">
        <f t="shared" ref="P39:P44" si="32">C39*H39</f>
        <v>733.25999999999988</v>
      </c>
      <c r="Q39" s="760">
        <f t="shared" si="31"/>
        <v>4625.8277419354845</v>
      </c>
      <c r="R39" s="778" t="s">
        <v>167</v>
      </c>
      <c r="S39" s="789">
        <v>12</v>
      </c>
      <c r="T39" s="786">
        <v>41365</v>
      </c>
      <c r="U39" s="787">
        <v>41729</v>
      </c>
    </row>
    <row r="40" spans="1:21" s="744" customFormat="1" ht="12.75" customHeight="1">
      <c r="A40" s="758" t="s">
        <v>190</v>
      </c>
      <c r="B40" s="763">
        <v>1305</v>
      </c>
      <c r="C40" s="760">
        <v>166.03</v>
      </c>
      <c r="D40" s="760">
        <f t="shared" si="22"/>
        <v>22.94261627805313</v>
      </c>
      <c r="E40" s="760">
        <f t="shared" si="23"/>
        <v>142.24422092392942</v>
      </c>
      <c r="F40" s="760">
        <f t="shared" si="24"/>
        <v>22.94261627805313</v>
      </c>
      <c r="G40" s="760">
        <f t="shared" si="18"/>
        <v>142.24422092392942</v>
      </c>
      <c r="H40" s="761">
        <v>3.3</v>
      </c>
      <c r="I40" s="760">
        <f>28000-M40</f>
        <v>23616.808000000001</v>
      </c>
      <c r="J40" s="760">
        <f t="shared" si="26"/>
        <v>3809.1625806451611</v>
      </c>
      <c r="K40" s="760">
        <f t="shared" si="27"/>
        <v>3809.1625806451611</v>
      </c>
      <c r="L40" s="760">
        <f t="shared" si="28"/>
        <v>23616.808000000001</v>
      </c>
      <c r="M40" s="760">
        <f t="shared" si="29"/>
        <v>4383.192</v>
      </c>
      <c r="N40" s="774">
        <f t="shared" si="30"/>
        <v>4.7414740307976473</v>
      </c>
      <c r="O40" s="760">
        <f t="shared" si="19"/>
        <v>28000</v>
      </c>
      <c r="P40" s="760">
        <f t="shared" si="32"/>
        <v>547.899</v>
      </c>
      <c r="Q40" s="760">
        <f t="shared" si="31"/>
        <v>4357.0615806451615</v>
      </c>
      <c r="R40" s="778" t="s">
        <v>158</v>
      </c>
      <c r="S40" s="785" t="s">
        <v>163</v>
      </c>
      <c r="T40" s="786">
        <v>41365</v>
      </c>
      <c r="U40" s="784">
        <v>41729</v>
      </c>
    </row>
    <row r="41" spans="1:21" s="744" customFormat="1" ht="21" customHeight="1">
      <c r="A41" s="762" t="s">
        <v>191</v>
      </c>
      <c r="B41" s="759">
        <v>1203</v>
      </c>
      <c r="C41" s="760">
        <v>121.52</v>
      </c>
      <c r="D41" s="760">
        <f t="shared" si="22"/>
        <v>30.251056510012955</v>
      </c>
      <c r="E41" s="760">
        <f t="shared" si="23"/>
        <v>187.55655036208032</v>
      </c>
      <c r="F41" s="760">
        <f t="shared" si="24"/>
        <v>30.251056510012955</v>
      </c>
      <c r="G41" s="760">
        <f t="shared" si="18"/>
        <v>187.55655036208032</v>
      </c>
      <c r="H41" s="761">
        <v>3.3</v>
      </c>
      <c r="I41" s="770">
        <f t="shared" si="25"/>
        <v>22791.871999999999</v>
      </c>
      <c r="J41" s="770">
        <f t="shared" si="26"/>
        <v>3676.1083870967741</v>
      </c>
      <c r="K41" s="770">
        <f t="shared" si="27"/>
        <v>3676.1083870967741</v>
      </c>
      <c r="L41" s="770">
        <f t="shared" si="28"/>
        <v>22791.871999999999</v>
      </c>
      <c r="M41" s="760">
        <f t="shared" si="29"/>
        <v>3208.1279999999997</v>
      </c>
      <c r="N41" s="773">
        <f t="shared" si="30"/>
        <v>6.2518850120693443</v>
      </c>
      <c r="O41" s="760">
        <f>SUM(L41:M41)</f>
        <v>26000</v>
      </c>
      <c r="P41" s="770">
        <f t="shared" si="32"/>
        <v>401.01599999999996</v>
      </c>
      <c r="Q41" s="770">
        <f t="shared" si="31"/>
        <v>4077.1243870967742</v>
      </c>
      <c r="R41" s="781" t="s">
        <v>158</v>
      </c>
      <c r="S41" s="782">
        <v>12</v>
      </c>
      <c r="T41" s="783">
        <v>41363</v>
      </c>
      <c r="U41" s="784">
        <v>41727</v>
      </c>
    </row>
    <row r="42" spans="1:21" s="744" customFormat="1" ht="12.75" customHeight="1">
      <c r="A42" s="758" t="s">
        <v>192</v>
      </c>
      <c r="B42" s="763" t="s">
        <v>193</v>
      </c>
      <c r="C42" s="760">
        <v>357.71</v>
      </c>
      <c r="D42" s="760">
        <f t="shared" si="22"/>
        <v>20.99216070686202</v>
      </c>
      <c r="E42" s="760">
        <f t="shared" si="23"/>
        <v>130.15139638254453</v>
      </c>
      <c r="F42" s="760">
        <f t="shared" si="24"/>
        <v>20.99216070686202</v>
      </c>
      <c r="G42" s="760">
        <f t="shared" ref="G42:G47" si="33">E42</f>
        <v>130.15139638254453</v>
      </c>
      <c r="H42" s="761">
        <v>3.3</v>
      </c>
      <c r="I42" s="760">
        <f>56000-M42</f>
        <v>46556.456000000006</v>
      </c>
      <c r="J42" s="760">
        <f t="shared" si="26"/>
        <v>7509.1058064516137</v>
      </c>
      <c r="K42" s="760">
        <f t="shared" si="27"/>
        <v>7509.1058064516137</v>
      </c>
      <c r="L42" s="760">
        <f t="shared" si="28"/>
        <v>46556.456000000006</v>
      </c>
      <c r="M42" s="760">
        <f t="shared" si="29"/>
        <v>9443.5439999999981</v>
      </c>
      <c r="N42" s="774">
        <f t="shared" si="30"/>
        <v>4.3383798794181514</v>
      </c>
      <c r="O42" s="760">
        <f t="shared" ref="O42:O48" si="34">SUM(L42,M42)</f>
        <v>56000</v>
      </c>
      <c r="P42" s="760">
        <f t="shared" si="32"/>
        <v>1180.4429999999998</v>
      </c>
      <c r="Q42" s="760">
        <f t="shared" si="31"/>
        <v>8689.5488064516139</v>
      </c>
      <c r="R42" s="778" t="s">
        <v>158</v>
      </c>
      <c r="S42" s="761" t="s">
        <v>163</v>
      </c>
      <c r="T42" s="784">
        <v>41336</v>
      </c>
      <c r="U42" s="784">
        <v>41700</v>
      </c>
    </row>
    <row r="43" spans="1:21" s="744" customFormat="1" ht="12.75" customHeight="1">
      <c r="A43" s="758" t="s">
        <v>194</v>
      </c>
      <c r="B43" s="763">
        <v>1205</v>
      </c>
      <c r="C43" s="760">
        <v>191.65</v>
      </c>
      <c r="D43" s="760">
        <f t="shared" si="22"/>
        <v>22.672748541948948</v>
      </c>
      <c r="E43" s="760">
        <f t="shared" si="23"/>
        <v>140.57104096008348</v>
      </c>
      <c r="F43" s="760">
        <f t="shared" si="24"/>
        <v>22.672748541948948</v>
      </c>
      <c r="G43" s="760">
        <f t="shared" ref="G43:G45" si="35">L43/C43</f>
        <v>140.57104096008351</v>
      </c>
      <c r="H43" s="761">
        <v>3.3</v>
      </c>
      <c r="I43" s="760">
        <f>32000-M43</f>
        <v>26940.440000000002</v>
      </c>
      <c r="J43" s="760">
        <f t="shared" si="26"/>
        <v>4345.2322580645168</v>
      </c>
      <c r="K43" s="760">
        <f t="shared" si="27"/>
        <v>4345.2322580645168</v>
      </c>
      <c r="L43" s="760">
        <f t="shared" si="28"/>
        <v>26940.440000000006</v>
      </c>
      <c r="M43" s="760">
        <f t="shared" si="29"/>
        <v>5059.5599999999995</v>
      </c>
      <c r="N43" s="774">
        <f t="shared" si="30"/>
        <v>4.6857013653361168</v>
      </c>
      <c r="O43" s="760">
        <f t="shared" si="34"/>
        <v>32000.000000000007</v>
      </c>
      <c r="P43" s="760">
        <f t="shared" si="32"/>
        <v>632.44499999999994</v>
      </c>
      <c r="Q43" s="760">
        <f t="shared" si="31"/>
        <v>4977.6772580645165</v>
      </c>
      <c r="R43" s="778" t="s">
        <v>158</v>
      </c>
      <c r="S43" s="785" t="s">
        <v>163</v>
      </c>
      <c r="T43" s="786">
        <v>41340</v>
      </c>
      <c r="U43" s="786">
        <v>41704</v>
      </c>
    </row>
    <row r="44" spans="1:21" s="744" customFormat="1" ht="18" customHeight="1">
      <c r="A44" s="765" t="s">
        <v>195</v>
      </c>
      <c r="B44" s="766">
        <v>701</v>
      </c>
      <c r="C44" s="760">
        <v>121.52</v>
      </c>
      <c r="D44" s="760">
        <f t="shared" si="22"/>
        <v>27.596508738771259</v>
      </c>
      <c r="E44" s="760">
        <f t="shared" si="23"/>
        <v>171.09835418038182</v>
      </c>
      <c r="F44" s="760">
        <f t="shared" si="24"/>
        <v>27.596508738771259</v>
      </c>
      <c r="G44" s="760">
        <f t="shared" si="35"/>
        <v>171.09835418038182</v>
      </c>
      <c r="H44" s="761">
        <v>3.3</v>
      </c>
      <c r="I44" s="770">
        <f>24000-M44</f>
        <v>20791.871999999999</v>
      </c>
      <c r="J44" s="770">
        <f t="shared" si="26"/>
        <v>3353.5277419354838</v>
      </c>
      <c r="K44" s="770">
        <f t="shared" si="27"/>
        <v>3353.5277419354838</v>
      </c>
      <c r="L44" s="770">
        <f t="shared" si="28"/>
        <v>20791.871999999999</v>
      </c>
      <c r="M44" s="770">
        <f t="shared" si="29"/>
        <v>3208.1279999999997</v>
      </c>
      <c r="N44" s="773">
        <f t="shared" si="30"/>
        <v>5.7032784726793944</v>
      </c>
      <c r="O44" s="770">
        <f>SUM(L44:M44)</f>
        <v>24000</v>
      </c>
      <c r="P44" s="770">
        <f t="shared" si="32"/>
        <v>401.01599999999996</v>
      </c>
      <c r="Q44" s="770">
        <f t="shared" si="31"/>
        <v>3754.5437419354839</v>
      </c>
      <c r="R44" s="781" t="s">
        <v>167</v>
      </c>
      <c r="S44" s="782">
        <v>12</v>
      </c>
      <c r="T44" s="783">
        <v>41365</v>
      </c>
      <c r="U44" s="784">
        <v>41729</v>
      </c>
    </row>
    <row r="45" spans="1:21" s="744" customFormat="1" ht="12.75" customHeight="1">
      <c r="A45" s="758" t="s">
        <v>196</v>
      </c>
      <c r="B45" s="763">
        <v>803</v>
      </c>
      <c r="C45" s="760">
        <v>84.75</v>
      </c>
      <c r="D45" s="760">
        <f t="shared" si="22"/>
        <v>32.852983157293743</v>
      </c>
      <c r="E45" s="760">
        <f t="shared" si="23"/>
        <v>203.68849557522122</v>
      </c>
      <c r="F45" s="760">
        <f t="shared" si="24"/>
        <v>32.852983157293743</v>
      </c>
      <c r="G45" s="760">
        <f t="shared" si="35"/>
        <v>203.68849557522122</v>
      </c>
      <c r="H45" s="761">
        <v>3.3</v>
      </c>
      <c r="I45" s="760">
        <f>19500-M45</f>
        <v>17262.599999999999</v>
      </c>
      <c r="J45" s="760">
        <f t="shared" si="26"/>
        <v>2784.2903225806449</v>
      </c>
      <c r="K45" s="760">
        <f t="shared" si="27"/>
        <v>2784.2903225806449</v>
      </c>
      <c r="L45" s="760">
        <f t="shared" si="28"/>
        <v>17262.599999999999</v>
      </c>
      <c r="M45" s="775">
        <f t="shared" si="29"/>
        <v>2237.4</v>
      </c>
      <c r="N45" s="774">
        <f t="shared" si="30"/>
        <v>6.7896165191740412</v>
      </c>
      <c r="O45" s="760">
        <f t="shared" si="34"/>
        <v>19500</v>
      </c>
      <c r="P45" s="770">
        <f>H45*C45</f>
        <v>279.67500000000001</v>
      </c>
      <c r="Q45" s="760">
        <f t="shared" si="31"/>
        <v>3063.9653225806451</v>
      </c>
      <c r="R45" s="778" t="s">
        <v>167</v>
      </c>
      <c r="S45" s="761">
        <v>12</v>
      </c>
      <c r="T45" s="786">
        <v>41358</v>
      </c>
      <c r="U45" s="784">
        <v>41722</v>
      </c>
    </row>
    <row r="46" spans="1:21" s="744" customFormat="1" ht="12.75" customHeight="1">
      <c r="A46" s="758" t="s">
        <v>197</v>
      </c>
      <c r="B46" s="763">
        <v>2202</v>
      </c>
      <c r="C46" s="760">
        <v>166.03</v>
      </c>
      <c r="D46" s="760">
        <f t="shared" si="22"/>
        <v>24.885522049066143</v>
      </c>
      <c r="E46" s="760">
        <f t="shared" si="23"/>
        <v>154.29023670421009</v>
      </c>
      <c r="F46" s="760">
        <f t="shared" si="24"/>
        <v>24.885522049066143</v>
      </c>
      <c r="G46" s="760">
        <f t="shared" si="33"/>
        <v>154.29023670421009</v>
      </c>
      <c r="H46" s="761">
        <v>3.3</v>
      </c>
      <c r="I46" s="760">
        <f>30000-M46</f>
        <v>25616.808000000001</v>
      </c>
      <c r="J46" s="760">
        <f t="shared" si="26"/>
        <v>4131.7432258064518</v>
      </c>
      <c r="K46" s="760">
        <f t="shared" si="27"/>
        <v>4131.7432258064518</v>
      </c>
      <c r="L46" s="760">
        <f t="shared" si="28"/>
        <v>25616.808000000001</v>
      </c>
      <c r="M46" s="760">
        <f t="shared" si="29"/>
        <v>4383.192</v>
      </c>
      <c r="N46" s="774">
        <f t="shared" si="30"/>
        <v>5.1430078901403364</v>
      </c>
      <c r="O46" s="760">
        <f t="shared" si="34"/>
        <v>30000</v>
      </c>
      <c r="P46" s="760">
        <f t="shared" ref="P46:P50" si="36">C46*H46</f>
        <v>547.899</v>
      </c>
      <c r="Q46" s="760">
        <f t="shared" si="31"/>
        <v>4679.6422258064522</v>
      </c>
      <c r="R46" s="778" t="s">
        <v>158</v>
      </c>
      <c r="S46" s="785" t="s">
        <v>163</v>
      </c>
      <c r="T46" s="784">
        <v>41365</v>
      </c>
      <c r="U46" s="784">
        <v>41729</v>
      </c>
    </row>
    <row r="47" spans="1:21" s="744" customFormat="1" ht="12.75" customHeight="1">
      <c r="A47" s="758" t="s">
        <v>198</v>
      </c>
      <c r="B47" s="763">
        <v>2201</v>
      </c>
      <c r="C47" s="760">
        <v>233.63</v>
      </c>
      <c r="D47" s="760">
        <f t="shared" si="22"/>
        <v>19.214396074300002</v>
      </c>
      <c r="E47" s="760">
        <f t="shared" si="23"/>
        <v>119.12925566066002</v>
      </c>
      <c r="F47" s="760">
        <f t="shared" si="24"/>
        <v>19.214396074300002</v>
      </c>
      <c r="G47" s="760">
        <f t="shared" si="33"/>
        <v>119.12925566066002</v>
      </c>
      <c r="H47" s="761">
        <v>3.3</v>
      </c>
      <c r="I47" s="760">
        <f>34000-M47</f>
        <v>27832.168000000001</v>
      </c>
      <c r="J47" s="760">
        <f t="shared" si="26"/>
        <v>4489.0593548387096</v>
      </c>
      <c r="K47" s="760">
        <f t="shared" si="27"/>
        <v>4489.0593548387096</v>
      </c>
      <c r="L47" s="760">
        <f t="shared" si="28"/>
        <v>27832.168000000001</v>
      </c>
      <c r="M47" s="760">
        <f t="shared" si="29"/>
        <v>6167.8319999999994</v>
      </c>
      <c r="N47" s="774">
        <f t="shared" si="30"/>
        <v>3.9709751886886675</v>
      </c>
      <c r="O47" s="760">
        <f t="shared" si="34"/>
        <v>34000</v>
      </c>
      <c r="P47" s="760">
        <f t="shared" si="36"/>
        <v>770.97899999999993</v>
      </c>
      <c r="Q47" s="760">
        <f t="shared" si="31"/>
        <v>5260.0383548387099</v>
      </c>
      <c r="R47" s="778" t="s">
        <v>158</v>
      </c>
      <c r="S47" s="761" t="s">
        <v>163</v>
      </c>
      <c r="T47" s="786">
        <v>41336</v>
      </c>
      <c r="U47" s="786">
        <v>41700</v>
      </c>
    </row>
    <row r="48" spans="1:21" s="453" customFormat="1" ht="12.75" customHeight="1">
      <c r="A48" s="758" t="s">
        <v>199</v>
      </c>
      <c r="B48" s="763">
        <v>602</v>
      </c>
      <c r="C48" s="760">
        <v>83.34</v>
      </c>
      <c r="D48" s="760">
        <f t="shared" si="22"/>
        <v>30.577858287466032</v>
      </c>
      <c r="E48" s="760">
        <f t="shared" si="23"/>
        <v>189.58272138228941</v>
      </c>
      <c r="F48" s="760">
        <f t="shared" si="24"/>
        <v>30.577858287466032</v>
      </c>
      <c r="G48" s="760">
        <f>L48/C48</f>
        <v>189.58272138228941</v>
      </c>
      <c r="H48" s="761">
        <v>3.3</v>
      </c>
      <c r="I48" s="760">
        <f>18000-M48</f>
        <v>15799.824000000001</v>
      </c>
      <c r="J48" s="760">
        <f t="shared" si="26"/>
        <v>2548.3587096774195</v>
      </c>
      <c r="K48" s="760">
        <f t="shared" si="27"/>
        <v>2548.3587096774195</v>
      </c>
      <c r="L48" s="760">
        <f t="shared" si="28"/>
        <v>15799.824000000001</v>
      </c>
      <c r="M48" s="760">
        <f t="shared" si="29"/>
        <v>2200.1759999999999</v>
      </c>
      <c r="N48" s="774">
        <f t="shared" si="30"/>
        <v>6.3194240460763131</v>
      </c>
      <c r="O48" s="760">
        <f t="shared" si="34"/>
        <v>18000</v>
      </c>
      <c r="P48" s="760">
        <f t="shared" si="36"/>
        <v>275.02199999999999</v>
      </c>
      <c r="Q48" s="760">
        <f t="shared" si="31"/>
        <v>2823.3807096774194</v>
      </c>
      <c r="R48" s="778" t="s">
        <v>167</v>
      </c>
      <c r="S48" s="785">
        <v>12</v>
      </c>
      <c r="T48" s="786">
        <v>41361</v>
      </c>
      <c r="U48" s="790">
        <v>41725</v>
      </c>
    </row>
    <row r="49" spans="1:21" s="744" customFormat="1" ht="21" customHeight="1">
      <c r="A49" s="767" t="s">
        <v>200</v>
      </c>
      <c r="B49" s="768">
        <v>801</v>
      </c>
      <c r="C49" s="760">
        <v>121.52</v>
      </c>
      <c r="D49" s="760">
        <f t="shared" si="22"/>
        <v>24.941960967529571</v>
      </c>
      <c r="E49" s="760">
        <f t="shared" si="23"/>
        <v>154.64015799868335</v>
      </c>
      <c r="F49" s="760">
        <f t="shared" si="24"/>
        <v>24.941960967529571</v>
      </c>
      <c r="G49" s="760">
        <f>L49/C49</f>
        <v>154.64015799868335</v>
      </c>
      <c r="H49" s="761">
        <v>3.3</v>
      </c>
      <c r="I49" s="770">
        <f>22000-M49</f>
        <v>18791.871999999999</v>
      </c>
      <c r="J49" s="770">
        <f t="shared" si="26"/>
        <v>3030.9470967741931</v>
      </c>
      <c r="K49" s="770">
        <f t="shared" si="27"/>
        <v>3030.9470967741931</v>
      </c>
      <c r="L49" s="770">
        <f t="shared" si="28"/>
        <v>18791.871999999999</v>
      </c>
      <c r="M49" s="770">
        <f t="shared" si="29"/>
        <v>3208.1279999999997</v>
      </c>
      <c r="N49" s="773">
        <f t="shared" si="30"/>
        <v>5.1546719332894444</v>
      </c>
      <c r="O49" s="770">
        <f>SUM(L49:M49)</f>
        <v>22000</v>
      </c>
      <c r="P49" s="770">
        <f t="shared" si="36"/>
        <v>401.01599999999996</v>
      </c>
      <c r="Q49" s="770">
        <f t="shared" si="31"/>
        <v>3431.9630967741932</v>
      </c>
      <c r="R49" s="781"/>
      <c r="S49" s="782">
        <v>12</v>
      </c>
      <c r="T49" s="783">
        <v>41390</v>
      </c>
      <c r="U49" s="784">
        <v>41754</v>
      </c>
    </row>
    <row r="50" spans="1:21" s="744" customFormat="1" ht="12.75" customHeight="1">
      <c r="A50" s="758" t="s">
        <v>201</v>
      </c>
      <c r="B50" s="763">
        <v>1906</v>
      </c>
      <c r="C50" s="760">
        <v>222.2</v>
      </c>
      <c r="D50" s="760">
        <f t="shared" si="22"/>
        <v>22.5994599459946</v>
      </c>
      <c r="E50" s="760">
        <f t="shared" si="23"/>
        <v>140.11665166516653</v>
      </c>
      <c r="F50" s="760">
        <f t="shared" si="24"/>
        <v>22.5994599459946</v>
      </c>
      <c r="G50" s="760">
        <f>E50</f>
        <v>140.11665166516653</v>
      </c>
      <c r="H50" s="761">
        <v>3.3</v>
      </c>
      <c r="I50" s="760">
        <f>37000-M50</f>
        <v>31133.920000000002</v>
      </c>
      <c r="J50" s="760">
        <f t="shared" si="26"/>
        <v>5021.6000000000004</v>
      </c>
      <c r="K50" s="760">
        <f t="shared" si="27"/>
        <v>5021.6000000000004</v>
      </c>
      <c r="L50" s="760">
        <f t="shared" si="28"/>
        <v>31133.920000000002</v>
      </c>
      <c r="M50" s="760">
        <f t="shared" si="29"/>
        <v>5866.079999999999</v>
      </c>
      <c r="N50" s="774">
        <f t="shared" si="30"/>
        <v>4.6705550555055515</v>
      </c>
      <c r="O50" s="760">
        <f t="shared" ref="O50:O53" si="37">SUM(L50,M50)</f>
        <v>37000</v>
      </c>
      <c r="P50" s="760">
        <f t="shared" si="36"/>
        <v>733.25999999999988</v>
      </c>
      <c r="Q50" s="760">
        <f t="shared" si="31"/>
        <v>5754.8600000000006</v>
      </c>
      <c r="R50" s="778" t="s">
        <v>158</v>
      </c>
      <c r="S50" s="785">
        <v>18</v>
      </c>
      <c r="T50" s="786">
        <v>41205</v>
      </c>
      <c r="U50" s="784">
        <v>41751</v>
      </c>
    </row>
    <row r="51" spans="1:21" s="744" customFormat="1" ht="12.75" customHeight="1">
      <c r="A51" s="758" t="s">
        <v>202</v>
      </c>
      <c r="B51" s="763">
        <v>1705</v>
      </c>
      <c r="C51" s="760">
        <v>166.03</v>
      </c>
      <c r="D51" s="760">
        <f t="shared" si="22"/>
        <v>21.971163392546625</v>
      </c>
      <c r="E51" s="760">
        <f t="shared" si="23"/>
        <v>136.22121303378907</v>
      </c>
      <c r="F51" s="760">
        <f t="shared" si="24"/>
        <v>21.971163392546625</v>
      </c>
      <c r="G51" s="760">
        <f t="shared" ref="G51:G96" si="38">L51/C51</f>
        <v>136.22121303378907</v>
      </c>
      <c r="H51" s="761">
        <v>3.3</v>
      </c>
      <c r="I51" s="760">
        <f>27000-M51</f>
        <v>22616.808000000001</v>
      </c>
      <c r="J51" s="760">
        <f t="shared" si="26"/>
        <v>3647.8722580645162</v>
      </c>
      <c r="K51" s="760">
        <f t="shared" si="27"/>
        <v>3647.8722580645162</v>
      </c>
      <c r="L51" s="760">
        <f t="shared" si="28"/>
        <v>22616.808000000001</v>
      </c>
      <c r="M51" s="775">
        <f t="shared" si="29"/>
        <v>4383.192</v>
      </c>
      <c r="N51" s="774">
        <f t="shared" si="30"/>
        <v>4.5407071011263023</v>
      </c>
      <c r="O51" s="760">
        <f t="shared" si="37"/>
        <v>27000</v>
      </c>
      <c r="P51" s="770">
        <f>H51*C51</f>
        <v>547.899</v>
      </c>
      <c r="Q51" s="760">
        <f t="shared" si="31"/>
        <v>4195.7712580645166</v>
      </c>
      <c r="R51" s="778" t="s">
        <v>167</v>
      </c>
      <c r="S51" s="789">
        <v>12</v>
      </c>
      <c r="T51" s="786">
        <v>41377</v>
      </c>
      <c r="U51" s="784">
        <v>41741</v>
      </c>
    </row>
    <row r="52" spans="1:21" s="456" customFormat="1" ht="13.5" customHeight="1">
      <c r="A52" s="758" t="s">
        <v>203</v>
      </c>
      <c r="B52" s="763">
        <v>1505</v>
      </c>
      <c r="C52" s="760">
        <v>166.03</v>
      </c>
      <c r="D52" s="760">
        <f t="shared" si="22"/>
        <v>23.428342720806384</v>
      </c>
      <c r="E52" s="760">
        <f t="shared" si="23"/>
        <v>145.25572486899958</v>
      </c>
      <c r="F52" s="760">
        <f t="shared" si="24"/>
        <v>23.428342720806384</v>
      </c>
      <c r="G52" s="760">
        <f t="shared" si="38"/>
        <v>145.25572486899958</v>
      </c>
      <c r="H52" s="761">
        <v>3.3</v>
      </c>
      <c r="I52" s="760">
        <f>28500-M52</f>
        <v>24116.808000000001</v>
      </c>
      <c r="J52" s="760">
        <f t="shared" si="26"/>
        <v>3889.807741935484</v>
      </c>
      <c r="K52" s="760">
        <f t="shared" si="27"/>
        <v>3889.807741935484</v>
      </c>
      <c r="L52" s="760">
        <f t="shared" si="28"/>
        <v>24116.808000000001</v>
      </c>
      <c r="M52" s="760">
        <f t="shared" si="29"/>
        <v>4383.192</v>
      </c>
      <c r="N52" s="774">
        <f t="shared" si="30"/>
        <v>4.8418574956333194</v>
      </c>
      <c r="O52" s="760">
        <f t="shared" si="37"/>
        <v>28500</v>
      </c>
      <c r="P52" s="760">
        <f t="shared" ref="P52:P55" si="39">C52*H52</f>
        <v>547.899</v>
      </c>
      <c r="Q52" s="760">
        <f t="shared" si="31"/>
        <v>4437.7067419354844</v>
      </c>
      <c r="R52" s="778" t="s">
        <v>158</v>
      </c>
      <c r="S52" s="785" t="s">
        <v>163</v>
      </c>
      <c r="T52" s="786">
        <v>41387</v>
      </c>
      <c r="U52" s="784">
        <v>41751</v>
      </c>
    </row>
    <row r="53" spans="1:21" s="744" customFormat="1" ht="12.75" customHeight="1">
      <c r="A53" s="758" t="s">
        <v>204</v>
      </c>
      <c r="B53" s="769">
        <v>1006</v>
      </c>
      <c r="C53" s="760">
        <v>84.75</v>
      </c>
      <c r="D53" s="760">
        <f t="shared" si="22"/>
        <v>33.804548482253303</v>
      </c>
      <c r="E53" s="760">
        <f t="shared" si="23"/>
        <v>209.58820058997048</v>
      </c>
      <c r="F53" s="760">
        <f t="shared" si="24"/>
        <v>33.804548482253303</v>
      </c>
      <c r="G53" s="760">
        <f t="shared" si="38"/>
        <v>209.58820058997048</v>
      </c>
      <c r="H53" s="761">
        <v>3.3</v>
      </c>
      <c r="I53" s="770">
        <f>20000-M53</f>
        <v>17762.599999999999</v>
      </c>
      <c r="J53" s="770">
        <f t="shared" si="26"/>
        <v>2864.9354838709673</v>
      </c>
      <c r="K53" s="760">
        <f t="shared" si="27"/>
        <v>2864.9354838709673</v>
      </c>
      <c r="L53" s="770">
        <f t="shared" si="28"/>
        <v>17762.599999999999</v>
      </c>
      <c r="M53" s="777">
        <f t="shared" si="29"/>
        <v>2237.4</v>
      </c>
      <c r="N53" s="774">
        <f t="shared" si="30"/>
        <v>6.9862733529990155</v>
      </c>
      <c r="O53" s="778">
        <f t="shared" si="37"/>
        <v>20000</v>
      </c>
      <c r="P53" s="639">
        <f t="shared" si="39"/>
        <v>279.67500000000001</v>
      </c>
      <c r="Q53" s="778">
        <f t="shared" si="31"/>
        <v>3144.6104838709675</v>
      </c>
      <c r="R53" s="781" t="s">
        <v>158</v>
      </c>
      <c r="S53" s="791" t="s">
        <v>163</v>
      </c>
      <c r="T53" s="786">
        <v>41374</v>
      </c>
      <c r="U53" s="784">
        <v>41738</v>
      </c>
    </row>
    <row r="54" spans="1:21" s="744" customFormat="1" ht="20.25" customHeight="1">
      <c r="A54" s="758" t="s">
        <v>205</v>
      </c>
      <c r="B54" s="759">
        <v>703</v>
      </c>
      <c r="C54" s="760">
        <v>121.52</v>
      </c>
      <c r="D54" s="760">
        <f t="shared" si="22"/>
        <v>28.923782624392107</v>
      </c>
      <c r="E54" s="760">
        <f t="shared" si="23"/>
        <v>179.32745227123107</v>
      </c>
      <c r="F54" s="760">
        <f t="shared" si="24"/>
        <v>28.923782624392107</v>
      </c>
      <c r="G54" s="760">
        <f t="shared" si="38"/>
        <v>179.32745227123107</v>
      </c>
      <c r="H54" s="761">
        <v>3.3</v>
      </c>
      <c r="I54" s="770">
        <f>25000-M54</f>
        <v>21791.871999999999</v>
      </c>
      <c r="J54" s="770">
        <f t="shared" si="26"/>
        <v>3514.8180645161287</v>
      </c>
      <c r="K54" s="770">
        <f t="shared" si="27"/>
        <v>3514.8180645161287</v>
      </c>
      <c r="L54" s="770">
        <f t="shared" si="28"/>
        <v>21791.871999999999</v>
      </c>
      <c r="M54" s="770">
        <f t="shared" si="29"/>
        <v>3208.1279999999997</v>
      </c>
      <c r="N54" s="773">
        <f t="shared" si="30"/>
        <v>5.9775817423743689</v>
      </c>
      <c r="O54" s="770">
        <f>SUM(L54:M54)</f>
        <v>25000</v>
      </c>
      <c r="P54" s="770">
        <f t="shared" si="39"/>
        <v>401.01599999999996</v>
      </c>
      <c r="Q54" s="770">
        <f t="shared" si="31"/>
        <v>3915.8340645161288</v>
      </c>
      <c r="R54" s="781" t="s">
        <v>158</v>
      </c>
      <c r="S54" s="782">
        <v>12</v>
      </c>
      <c r="T54" s="783">
        <v>41379</v>
      </c>
      <c r="U54" s="784">
        <v>41743</v>
      </c>
    </row>
    <row r="55" spans="1:21" s="744" customFormat="1" ht="12.75" customHeight="1">
      <c r="A55" s="758" t="s">
        <v>206</v>
      </c>
      <c r="B55" s="763">
        <v>607</v>
      </c>
      <c r="C55" s="760">
        <v>83.34</v>
      </c>
      <c r="D55" s="760">
        <f t="shared" si="22"/>
        <v>30.577858287466032</v>
      </c>
      <c r="E55" s="760">
        <f t="shared" si="23"/>
        <v>189.58272138228941</v>
      </c>
      <c r="F55" s="760">
        <f t="shared" si="24"/>
        <v>30.577858287466032</v>
      </c>
      <c r="G55" s="760">
        <f t="shared" si="38"/>
        <v>189.58272138228941</v>
      </c>
      <c r="H55" s="761">
        <v>3.3</v>
      </c>
      <c r="I55" s="760">
        <f>18000-M55</f>
        <v>15799.824000000001</v>
      </c>
      <c r="J55" s="760">
        <f t="shared" si="26"/>
        <v>2548.3587096774195</v>
      </c>
      <c r="K55" s="760">
        <f t="shared" si="27"/>
        <v>2548.3587096774195</v>
      </c>
      <c r="L55" s="760">
        <f t="shared" si="28"/>
        <v>15799.824000000001</v>
      </c>
      <c r="M55" s="760">
        <f t="shared" si="29"/>
        <v>2200.1759999999999</v>
      </c>
      <c r="N55" s="774">
        <f t="shared" si="30"/>
        <v>6.3194240460763131</v>
      </c>
      <c r="O55" s="760">
        <f t="shared" ref="O55:O59" si="40">SUM(L55,M55)</f>
        <v>18000</v>
      </c>
      <c r="P55" s="760">
        <f t="shared" si="39"/>
        <v>275.02199999999999</v>
      </c>
      <c r="Q55" s="760">
        <f t="shared" si="31"/>
        <v>2823.3807096774194</v>
      </c>
      <c r="R55" s="778" t="s">
        <v>158</v>
      </c>
      <c r="S55" s="785" t="s">
        <v>163</v>
      </c>
      <c r="T55" s="786">
        <v>41389</v>
      </c>
      <c r="U55" s="792">
        <v>41753</v>
      </c>
    </row>
    <row r="56" spans="1:21" s="744" customFormat="1" ht="12.75" customHeight="1">
      <c r="A56" s="758" t="s">
        <v>207</v>
      </c>
      <c r="B56" s="763">
        <v>903</v>
      </c>
      <c r="C56" s="760">
        <v>84.75</v>
      </c>
      <c r="D56" s="760">
        <f t="shared" si="22"/>
        <v>31.901417832334186</v>
      </c>
      <c r="E56" s="760">
        <f t="shared" si="23"/>
        <v>197.78879056047197</v>
      </c>
      <c r="F56" s="760">
        <f t="shared" si="24"/>
        <v>31.901417832334186</v>
      </c>
      <c r="G56" s="760">
        <f t="shared" si="38"/>
        <v>197.78879056047197</v>
      </c>
      <c r="H56" s="761">
        <v>3.3</v>
      </c>
      <c r="I56" s="760">
        <f>19000-M56</f>
        <v>16762.599999999999</v>
      </c>
      <c r="J56" s="760">
        <f t="shared" si="26"/>
        <v>2703.6451612903224</v>
      </c>
      <c r="K56" s="760">
        <f t="shared" si="27"/>
        <v>2703.6451612903224</v>
      </c>
      <c r="L56" s="760">
        <f t="shared" si="28"/>
        <v>16762.599999999999</v>
      </c>
      <c r="M56" s="775">
        <f t="shared" si="29"/>
        <v>2237.4</v>
      </c>
      <c r="N56" s="774">
        <f t="shared" si="30"/>
        <v>6.592959685349066</v>
      </c>
      <c r="O56" s="760">
        <f t="shared" si="40"/>
        <v>19000</v>
      </c>
      <c r="P56" s="770">
        <f>H56*C56</f>
        <v>279.67500000000001</v>
      </c>
      <c r="Q56" s="760">
        <f t="shared" si="31"/>
        <v>2983.3201612903226</v>
      </c>
      <c r="R56" s="778" t="s">
        <v>167</v>
      </c>
      <c r="S56" s="789">
        <v>12</v>
      </c>
      <c r="T56" s="786">
        <v>41373</v>
      </c>
      <c r="U56" s="784">
        <v>41737</v>
      </c>
    </row>
    <row r="57" spans="1:21" s="453" customFormat="1" ht="13.5" customHeight="1">
      <c r="A57" s="758" t="s">
        <v>208</v>
      </c>
      <c r="B57" s="763">
        <v>902</v>
      </c>
      <c r="C57" s="760">
        <v>78.03</v>
      </c>
      <c r="D57" s="760">
        <f t="shared" si="22"/>
        <v>37.082528225289693</v>
      </c>
      <c r="E57" s="760">
        <f t="shared" si="23"/>
        <v>229.91167499679611</v>
      </c>
      <c r="F57" s="760">
        <f t="shared" si="24"/>
        <v>37.082528225289693</v>
      </c>
      <c r="G57" s="760">
        <f t="shared" si="38"/>
        <v>229.91167499679611</v>
      </c>
      <c r="H57" s="761">
        <v>3.3</v>
      </c>
      <c r="I57" s="760">
        <f>20000-M57</f>
        <v>17940.008000000002</v>
      </c>
      <c r="J57" s="760">
        <f t="shared" si="26"/>
        <v>2893.5496774193548</v>
      </c>
      <c r="K57" s="760">
        <f t="shared" si="27"/>
        <v>2893.5496774193548</v>
      </c>
      <c r="L57" s="760">
        <f t="shared" si="28"/>
        <v>17940.008000000002</v>
      </c>
      <c r="M57" s="760">
        <f t="shared" si="29"/>
        <v>2059.9919999999997</v>
      </c>
      <c r="N57" s="774">
        <f t="shared" si="30"/>
        <v>7.6637224998932032</v>
      </c>
      <c r="O57" s="760">
        <f t="shared" si="40"/>
        <v>20000</v>
      </c>
      <c r="P57" s="760">
        <f t="shared" ref="P57:P61" si="41">C57*H57</f>
        <v>257.49899999999997</v>
      </c>
      <c r="Q57" s="760">
        <f t="shared" si="31"/>
        <v>3151.0486774193546</v>
      </c>
      <c r="R57" s="778" t="s">
        <v>167</v>
      </c>
      <c r="S57" s="785" t="s">
        <v>163</v>
      </c>
      <c r="T57" s="786">
        <v>41373</v>
      </c>
      <c r="U57" s="787">
        <v>41737</v>
      </c>
    </row>
    <row r="58" spans="1:21" s="453" customFormat="1" ht="13.5" customHeight="1">
      <c r="A58" s="758" t="s">
        <v>157</v>
      </c>
      <c r="B58" s="759">
        <v>1005</v>
      </c>
      <c r="C58" s="613">
        <v>191.65</v>
      </c>
      <c r="D58" s="760">
        <f t="shared" si="22"/>
        <v>22.672748541948948</v>
      </c>
      <c r="E58" s="760">
        <f t="shared" si="23"/>
        <v>140.57104096008348</v>
      </c>
      <c r="F58" s="613">
        <f t="shared" si="24"/>
        <v>22.672748541948948</v>
      </c>
      <c r="G58" s="760">
        <f t="shared" si="38"/>
        <v>140.57104096008351</v>
      </c>
      <c r="H58" s="612">
        <v>3.3</v>
      </c>
      <c r="I58" s="760">
        <f>32000-M58</f>
        <v>26940.440000000002</v>
      </c>
      <c r="J58" s="770">
        <f t="shared" si="26"/>
        <v>4345.2322580645168</v>
      </c>
      <c r="K58" s="760">
        <f t="shared" si="27"/>
        <v>4345.2322580645168</v>
      </c>
      <c r="L58" s="770">
        <f t="shared" si="28"/>
        <v>26940.440000000006</v>
      </c>
      <c r="M58" s="638">
        <f t="shared" si="29"/>
        <v>5059.5599999999995</v>
      </c>
      <c r="N58" s="774">
        <f t="shared" si="30"/>
        <v>4.6857013653361168</v>
      </c>
      <c r="O58" s="778">
        <f t="shared" si="40"/>
        <v>32000.000000000007</v>
      </c>
      <c r="P58" s="778">
        <f t="shared" si="41"/>
        <v>632.44499999999994</v>
      </c>
      <c r="Q58" s="778">
        <f t="shared" si="31"/>
        <v>4977.6772580645165</v>
      </c>
      <c r="R58" s="781" t="s">
        <v>158</v>
      </c>
      <c r="S58" s="640" t="s">
        <v>163</v>
      </c>
      <c r="T58" s="786">
        <v>41366</v>
      </c>
      <c r="U58" s="787">
        <v>41730</v>
      </c>
    </row>
    <row r="59" spans="1:21" s="744" customFormat="1" ht="12.75" customHeight="1">
      <c r="A59" s="758" t="s">
        <v>209</v>
      </c>
      <c r="B59" s="769">
        <v>1207</v>
      </c>
      <c r="C59" s="770">
        <v>75.180000000000007</v>
      </c>
      <c r="D59" s="760">
        <f t="shared" si="22"/>
        <v>40.795098215894754</v>
      </c>
      <c r="E59" s="760">
        <f t="shared" si="23"/>
        <v>252.92960893854746</v>
      </c>
      <c r="F59" s="760">
        <f t="shared" si="24"/>
        <v>40.795098215894754</v>
      </c>
      <c r="G59" s="760">
        <f t="shared" si="38"/>
        <v>252.92960893854746</v>
      </c>
      <c r="H59" s="761">
        <v>3.3</v>
      </c>
      <c r="I59" s="760">
        <f>21000-M59</f>
        <v>19015.248</v>
      </c>
      <c r="J59" s="760">
        <f t="shared" si="26"/>
        <v>3066.9754838709678</v>
      </c>
      <c r="K59" s="760">
        <f t="shared" si="27"/>
        <v>3066.9754838709678</v>
      </c>
      <c r="L59" s="760">
        <f t="shared" si="28"/>
        <v>19015.248</v>
      </c>
      <c r="M59" s="760">
        <f t="shared" si="29"/>
        <v>1984.7520000000002</v>
      </c>
      <c r="N59" s="774">
        <f t="shared" si="30"/>
        <v>8.4309869646182491</v>
      </c>
      <c r="O59" s="760">
        <f t="shared" si="40"/>
        <v>21000</v>
      </c>
      <c r="P59" s="760">
        <f t="shared" si="41"/>
        <v>248.09400000000002</v>
      </c>
      <c r="Q59" s="760">
        <f t="shared" si="31"/>
        <v>3315.0694838709678</v>
      </c>
      <c r="R59" s="778" t="s">
        <v>158</v>
      </c>
      <c r="S59" s="785" t="s">
        <v>163</v>
      </c>
      <c r="T59" s="783">
        <v>41389</v>
      </c>
      <c r="U59" s="784">
        <v>41753</v>
      </c>
    </row>
    <row r="60" spans="1:21" s="744" customFormat="1" ht="21" customHeight="1">
      <c r="A60" s="762" t="s">
        <v>210</v>
      </c>
      <c r="B60" s="759">
        <v>902</v>
      </c>
      <c r="C60" s="760">
        <v>121.52</v>
      </c>
      <c r="D60" s="760">
        <f t="shared" si="22"/>
        <v>26.269234853150419</v>
      </c>
      <c r="E60" s="760">
        <f t="shared" si="23"/>
        <v>162.8692560895326</v>
      </c>
      <c r="F60" s="760">
        <f t="shared" si="24"/>
        <v>26.269234853150419</v>
      </c>
      <c r="G60" s="760">
        <f t="shared" si="38"/>
        <v>162.8692560895326</v>
      </c>
      <c r="H60" s="761">
        <v>3.3</v>
      </c>
      <c r="I60" s="770">
        <f>23000-M60</f>
        <v>19791.871999999999</v>
      </c>
      <c r="J60" s="770">
        <f t="shared" si="26"/>
        <v>3192.2374193548385</v>
      </c>
      <c r="K60" s="770">
        <f t="shared" si="27"/>
        <v>3192.2374193548385</v>
      </c>
      <c r="L60" s="770">
        <f t="shared" si="28"/>
        <v>19791.871999999999</v>
      </c>
      <c r="M60" s="760">
        <f t="shared" si="29"/>
        <v>3208.1279999999997</v>
      </c>
      <c r="N60" s="773">
        <f t="shared" si="30"/>
        <v>5.4289752029844198</v>
      </c>
      <c r="O60" s="760">
        <f>SUM(L60:M60)</f>
        <v>23000</v>
      </c>
      <c r="P60" s="770">
        <f t="shared" si="41"/>
        <v>401.01599999999996</v>
      </c>
      <c r="Q60" s="770">
        <f t="shared" si="31"/>
        <v>3593.2534193548386</v>
      </c>
      <c r="R60" s="781" t="s">
        <v>167</v>
      </c>
      <c r="S60" s="782">
        <v>12</v>
      </c>
      <c r="T60" s="783">
        <v>41386</v>
      </c>
      <c r="U60" s="784">
        <v>41750</v>
      </c>
    </row>
    <row r="61" spans="1:21" s="744" customFormat="1" ht="18" customHeight="1">
      <c r="A61" s="758" t="s">
        <v>211</v>
      </c>
      <c r="B61" s="763">
        <v>1105</v>
      </c>
      <c r="C61" s="760">
        <v>191.65</v>
      </c>
      <c r="D61" s="760">
        <f t="shared" si="22"/>
        <v>20.989572725819073</v>
      </c>
      <c r="E61" s="760">
        <f t="shared" si="23"/>
        <v>130.13535090007827</v>
      </c>
      <c r="F61" s="760">
        <f t="shared" si="24"/>
        <v>20.989572725819073</v>
      </c>
      <c r="G61" s="760">
        <f t="shared" si="38"/>
        <v>130.13535090007827</v>
      </c>
      <c r="H61" s="761">
        <v>3.3</v>
      </c>
      <c r="I61" s="760">
        <f>30000-M61</f>
        <v>24940.440000000002</v>
      </c>
      <c r="J61" s="760">
        <f t="shared" si="26"/>
        <v>4022.6516129032261</v>
      </c>
      <c r="K61" s="760">
        <f t="shared" si="27"/>
        <v>4022.6516129032261</v>
      </c>
      <c r="L61" s="760">
        <f t="shared" si="28"/>
        <v>24940.440000000002</v>
      </c>
      <c r="M61" s="760">
        <f t="shared" si="29"/>
        <v>5059.5599999999995</v>
      </c>
      <c r="N61" s="774">
        <f t="shared" si="30"/>
        <v>4.337845030002609</v>
      </c>
      <c r="O61" s="760">
        <f t="shared" ref="O61:O63" si="42">SUM(L61,M61)</f>
        <v>30000</v>
      </c>
      <c r="P61" s="760">
        <f t="shared" si="41"/>
        <v>632.44499999999994</v>
      </c>
      <c r="Q61" s="760">
        <f t="shared" si="31"/>
        <v>4655.0966129032258</v>
      </c>
      <c r="R61" s="778" t="s">
        <v>158</v>
      </c>
      <c r="S61" s="785" t="s">
        <v>163</v>
      </c>
      <c r="T61" s="786">
        <v>41383</v>
      </c>
      <c r="U61" s="786">
        <v>41747</v>
      </c>
    </row>
    <row r="62" spans="1:21" s="744" customFormat="1" ht="12.75" customHeight="1">
      <c r="A62" s="758" t="s">
        <v>212</v>
      </c>
      <c r="B62" s="763">
        <v>1703</v>
      </c>
      <c r="C62" s="760">
        <v>191.68</v>
      </c>
      <c r="D62" s="760">
        <f t="shared" si="22"/>
        <v>22.668533577467823</v>
      </c>
      <c r="E62" s="760">
        <f t="shared" si="23"/>
        <v>140.5449081803005</v>
      </c>
      <c r="F62" s="760">
        <f t="shared" si="24"/>
        <v>22.668533577467823</v>
      </c>
      <c r="G62" s="760">
        <f t="shared" si="38"/>
        <v>140.5449081803005</v>
      </c>
      <c r="H62" s="761">
        <v>3.3</v>
      </c>
      <c r="I62" s="760">
        <f>32000-M62</f>
        <v>26939.648000000001</v>
      </c>
      <c r="J62" s="760">
        <f t="shared" si="26"/>
        <v>4345.1045161290322</v>
      </c>
      <c r="K62" s="760">
        <f t="shared" si="27"/>
        <v>4345.1045161290322</v>
      </c>
      <c r="L62" s="760">
        <f t="shared" si="28"/>
        <v>26939.648000000001</v>
      </c>
      <c r="M62" s="775">
        <f t="shared" si="29"/>
        <v>5060.3519999999999</v>
      </c>
      <c r="N62" s="774">
        <f t="shared" si="30"/>
        <v>4.6848302726766837</v>
      </c>
      <c r="O62" s="760">
        <f t="shared" si="42"/>
        <v>32000</v>
      </c>
      <c r="P62" s="770">
        <f>H62*C62</f>
        <v>632.54399999999998</v>
      </c>
      <c r="Q62" s="760">
        <f t="shared" si="31"/>
        <v>4977.648516129032</v>
      </c>
      <c r="R62" s="778" t="s">
        <v>167</v>
      </c>
      <c r="S62" s="789">
        <v>12</v>
      </c>
      <c r="T62" s="786">
        <v>41379</v>
      </c>
      <c r="U62" s="784">
        <v>41743</v>
      </c>
    </row>
    <row r="63" spans="1:21" s="744" customFormat="1">
      <c r="A63" s="758" t="s">
        <v>206</v>
      </c>
      <c r="B63" s="769">
        <v>2303</v>
      </c>
      <c r="C63" s="760">
        <v>191.68</v>
      </c>
      <c r="D63" s="760">
        <f t="shared" si="22"/>
        <v>24.351445958317623</v>
      </c>
      <c r="E63" s="760">
        <f t="shared" si="23"/>
        <v>150.97896494156927</v>
      </c>
      <c r="F63" s="760">
        <f t="shared" si="24"/>
        <v>24.351445958317623</v>
      </c>
      <c r="G63" s="760">
        <f t="shared" si="38"/>
        <v>150.97896494156927</v>
      </c>
      <c r="H63" s="761">
        <v>3.3</v>
      </c>
      <c r="I63" s="760">
        <f>34000-M63</f>
        <v>28939.648000000001</v>
      </c>
      <c r="J63" s="760">
        <f t="shared" si="26"/>
        <v>4667.6851612903229</v>
      </c>
      <c r="K63" s="760">
        <f t="shared" si="27"/>
        <v>4667.6851612903229</v>
      </c>
      <c r="L63" s="760">
        <f t="shared" si="28"/>
        <v>28939.648000000001</v>
      </c>
      <c r="M63" s="760">
        <f t="shared" si="29"/>
        <v>5060.3519999999999</v>
      </c>
      <c r="N63" s="774">
        <f t="shared" si="30"/>
        <v>5.0326321647189758</v>
      </c>
      <c r="O63" s="760">
        <f t="shared" si="42"/>
        <v>34000</v>
      </c>
      <c r="P63" s="760">
        <f t="shared" ref="P63:P96" si="43">C63*H63</f>
        <v>632.54399999999998</v>
      </c>
      <c r="Q63" s="760">
        <f t="shared" si="31"/>
        <v>5300.2291612903227</v>
      </c>
      <c r="R63" s="778" t="s">
        <v>158</v>
      </c>
      <c r="S63" s="785" t="s">
        <v>163</v>
      </c>
      <c r="T63" s="786">
        <v>41440</v>
      </c>
      <c r="U63" s="784">
        <v>41804</v>
      </c>
    </row>
    <row r="64" spans="1:21" s="744" customFormat="1" ht="12.75" customHeight="1">
      <c r="A64" s="758" t="s">
        <v>213</v>
      </c>
      <c r="B64" s="763">
        <v>2105</v>
      </c>
      <c r="C64" s="760">
        <v>166.03</v>
      </c>
      <c r="D64" s="760">
        <f t="shared" si="22"/>
        <v>25.856974934572651</v>
      </c>
      <c r="E64" s="760">
        <f t="shared" si="23"/>
        <v>160.31324459435044</v>
      </c>
      <c r="F64" s="760">
        <f t="shared" si="24"/>
        <v>25.856974934572651</v>
      </c>
      <c r="G64" s="760">
        <f t="shared" si="38"/>
        <v>160.31324459435044</v>
      </c>
      <c r="H64" s="761">
        <v>3.3</v>
      </c>
      <c r="I64" s="760">
        <f>31000-M64</f>
        <v>26616.808000000001</v>
      </c>
      <c r="J64" s="760">
        <f t="shared" si="26"/>
        <v>4293.0335483870967</v>
      </c>
      <c r="K64" s="760">
        <f t="shared" si="27"/>
        <v>4293.0335483870967</v>
      </c>
      <c r="L64" s="760">
        <f t="shared" si="28"/>
        <v>26616.808000000001</v>
      </c>
      <c r="M64" s="760">
        <f t="shared" si="29"/>
        <v>4383.192</v>
      </c>
      <c r="N64" s="774">
        <f t="shared" si="30"/>
        <v>5.3437748198116806</v>
      </c>
      <c r="O64" s="760">
        <f>SUM(L64:M64)</f>
        <v>31000</v>
      </c>
      <c r="P64" s="760">
        <f t="shared" si="43"/>
        <v>547.899</v>
      </c>
      <c r="Q64" s="760">
        <f t="shared" si="31"/>
        <v>4840.9325483870971</v>
      </c>
      <c r="R64" s="778" t="s">
        <v>158</v>
      </c>
      <c r="S64" s="785" t="s">
        <v>163</v>
      </c>
      <c r="T64" s="786">
        <v>41414</v>
      </c>
      <c r="U64" s="784">
        <v>41778</v>
      </c>
    </row>
    <row r="65" spans="1:21" s="453" customFormat="1" ht="14.25" customHeight="1">
      <c r="A65" s="758" t="s">
        <v>214</v>
      </c>
      <c r="B65" s="763">
        <v>1206</v>
      </c>
      <c r="C65" s="760">
        <v>84.75</v>
      </c>
      <c r="D65" s="760">
        <f t="shared" si="22"/>
        <v>35.707679132172416</v>
      </c>
      <c r="E65" s="760">
        <f t="shared" si="23"/>
        <v>221.387610619469</v>
      </c>
      <c r="F65" s="760">
        <f t="shared" si="24"/>
        <v>35.707679132172416</v>
      </c>
      <c r="G65" s="760">
        <f t="shared" si="38"/>
        <v>221.387610619469</v>
      </c>
      <c r="H65" s="761">
        <v>3.3</v>
      </c>
      <c r="I65" s="760">
        <f>21000-M65</f>
        <v>18762.599999999999</v>
      </c>
      <c r="J65" s="760">
        <f t="shared" si="26"/>
        <v>3026.2258064516127</v>
      </c>
      <c r="K65" s="760">
        <f t="shared" si="27"/>
        <v>3026.2258064516127</v>
      </c>
      <c r="L65" s="760">
        <f t="shared" si="28"/>
        <v>18762.599999999999</v>
      </c>
      <c r="M65" s="760">
        <f t="shared" si="29"/>
        <v>2237.4</v>
      </c>
      <c r="N65" s="774">
        <f t="shared" si="30"/>
        <v>7.3795870206489669</v>
      </c>
      <c r="O65" s="760">
        <f t="shared" ref="O65:O74" si="44">SUM(L65,M65)</f>
        <v>21000</v>
      </c>
      <c r="P65" s="760">
        <f t="shared" si="43"/>
        <v>279.67500000000001</v>
      </c>
      <c r="Q65" s="760">
        <f t="shared" si="31"/>
        <v>3305.9008064516129</v>
      </c>
      <c r="R65" s="778" t="s">
        <v>167</v>
      </c>
      <c r="S65" s="789">
        <v>12</v>
      </c>
      <c r="T65" s="786">
        <v>41412</v>
      </c>
      <c r="U65" s="787">
        <v>41776</v>
      </c>
    </row>
    <row r="66" spans="1:21" s="453" customFormat="1" ht="14.25" customHeight="1">
      <c r="A66" s="758" t="s">
        <v>215</v>
      </c>
      <c r="B66" s="763">
        <v>702</v>
      </c>
      <c r="C66" s="760">
        <v>83.34</v>
      </c>
      <c r="D66" s="760">
        <f t="shared" si="22"/>
        <v>32.513187332110206</v>
      </c>
      <c r="E66" s="760">
        <f t="shared" si="23"/>
        <v>201.58176145908328</v>
      </c>
      <c r="F66" s="760">
        <f t="shared" si="24"/>
        <v>32.513187332110206</v>
      </c>
      <c r="G66" s="760">
        <f t="shared" si="38"/>
        <v>201.58176145908328</v>
      </c>
      <c r="H66" s="761">
        <v>3.3</v>
      </c>
      <c r="I66" s="760">
        <f>19000-M66</f>
        <v>16799.824000000001</v>
      </c>
      <c r="J66" s="760">
        <f t="shared" si="26"/>
        <v>2709.6490322580644</v>
      </c>
      <c r="K66" s="760">
        <f t="shared" si="27"/>
        <v>2709.6490322580644</v>
      </c>
      <c r="L66" s="760">
        <f t="shared" si="28"/>
        <v>16799.824000000001</v>
      </c>
      <c r="M66" s="760">
        <f t="shared" si="29"/>
        <v>2200.1759999999999</v>
      </c>
      <c r="N66" s="774">
        <f t="shared" si="30"/>
        <v>6.7193920486361094</v>
      </c>
      <c r="O66" s="760">
        <f t="shared" si="44"/>
        <v>19000</v>
      </c>
      <c r="P66" s="760">
        <f t="shared" si="43"/>
        <v>275.02199999999999</v>
      </c>
      <c r="Q66" s="760">
        <f t="shared" si="31"/>
        <v>2984.6710322580643</v>
      </c>
      <c r="R66" s="778" t="s">
        <v>167</v>
      </c>
      <c r="S66" s="789">
        <v>12</v>
      </c>
      <c r="T66" s="786">
        <v>41402</v>
      </c>
      <c r="U66" s="787">
        <v>41766</v>
      </c>
    </row>
    <row r="67" spans="1:21" s="453" customFormat="1" ht="14.25" customHeight="1">
      <c r="A67" s="758" t="s">
        <v>179</v>
      </c>
      <c r="B67" s="763">
        <v>705</v>
      </c>
      <c r="C67" s="760">
        <v>189.08</v>
      </c>
      <c r="D67" s="760">
        <f t="shared" si="22"/>
        <v>23.038795662528916</v>
      </c>
      <c r="E67" s="760">
        <f t="shared" si="23"/>
        <v>142.84053310767928</v>
      </c>
      <c r="F67" s="760">
        <f t="shared" si="24"/>
        <v>23.038795662528916</v>
      </c>
      <c r="G67" s="760">
        <f t="shared" si="38"/>
        <v>142.84053310767928</v>
      </c>
      <c r="H67" s="761">
        <v>3.3</v>
      </c>
      <c r="I67" s="760">
        <f>32000-M67</f>
        <v>27008.288</v>
      </c>
      <c r="J67" s="760">
        <f t="shared" si="26"/>
        <v>4356.1754838709676</v>
      </c>
      <c r="K67" s="760">
        <f t="shared" si="27"/>
        <v>4356.1754838709676</v>
      </c>
      <c r="L67" s="760">
        <f t="shared" si="28"/>
        <v>27008.288</v>
      </c>
      <c r="M67" s="760">
        <f t="shared" si="29"/>
        <v>4991.7120000000004</v>
      </c>
      <c r="N67" s="774">
        <f t="shared" si="30"/>
        <v>4.761351103589309</v>
      </c>
      <c r="O67" s="760">
        <f t="shared" si="44"/>
        <v>32000</v>
      </c>
      <c r="P67" s="760">
        <f t="shared" si="43"/>
        <v>623.96400000000006</v>
      </c>
      <c r="Q67" s="760">
        <f t="shared" si="31"/>
        <v>4980.1394838709675</v>
      </c>
      <c r="R67" s="778" t="s">
        <v>167</v>
      </c>
      <c r="S67" s="789">
        <v>12</v>
      </c>
      <c r="T67" s="786">
        <v>41405</v>
      </c>
      <c r="U67" s="787">
        <v>41769</v>
      </c>
    </row>
    <row r="68" spans="1:21" s="453" customFormat="1" ht="13.5" customHeight="1">
      <c r="A68" s="762" t="s">
        <v>185</v>
      </c>
      <c r="B68" s="763">
        <v>1304</v>
      </c>
      <c r="C68" s="760">
        <v>191.68</v>
      </c>
      <c r="D68" s="760">
        <f t="shared" ref="D68:D96" si="45">E68/6.2</f>
        <v>17.619796434918413</v>
      </c>
      <c r="E68" s="760">
        <f t="shared" ref="E68:E96" si="46">I68/C68</f>
        <v>109.24273789649416</v>
      </c>
      <c r="F68" s="760">
        <f t="shared" ref="F68:F89" si="47">D68</f>
        <v>17.619796434918413</v>
      </c>
      <c r="G68" s="760">
        <f t="shared" si="38"/>
        <v>109.24273789649416</v>
      </c>
      <c r="H68" s="761">
        <v>3.3</v>
      </c>
      <c r="I68" s="760">
        <f t="shared" ref="I68:I70" si="48">26000-M68</f>
        <v>20939.648000000001</v>
      </c>
      <c r="J68" s="760">
        <f t="shared" ref="J68:J96" si="49">I68/6.2</f>
        <v>3377.3625806451614</v>
      </c>
      <c r="K68" s="760">
        <f t="shared" ref="K68:K96" si="50">J68</f>
        <v>3377.3625806451614</v>
      </c>
      <c r="L68" s="760">
        <f t="shared" ref="L68:L96" si="51">K68*6.2</f>
        <v>20939.648000000001</v>
      </c>
      <c r="M68" s="760">
        <f t="shared" ref="M68:M96" si="52">P68*8</f>
        <v>5060.3519999999999</v>
      </c>
      <c r="N68" s="774">
        <f t="shared" ref="N68:N100" si="53">L68/30/C68</f>
        <v>3.6414245965498053</v>
      </c>
      <c r="O68" s="760">
        <f t="shared" si="44"/>
        <v>26000</v>
      </c>
      <c r="P68" s="760">
        <f t="shared" si="43"/>
        <v>632.54399999999998</v>
      </c>
      <c r="Q68" s="760">
        <f t="shared" ref="Q68:Q90" si="54">J68+P68</f>
        <v>4009.9065806451613</v>
      </c>
      <c r="R68" s="778" t="s">
        <v>158</v>
      </c>
      <c r="S68" s="785" t="s">
        <v>186</v>
      </c>
      <c r="T68" s="786">
        <v>41045</v>
      </c>
      <c r="U68" s="787">
        <v>41774</v>
      </c>
    </row>
    <row r="69" spans="1:21" s="453" customFormat="1" ht="13.5" customHeight="1">
      <c r="A69" s="762" t="s">
        <v>185</v>
      </c>
      <c r="B69" s="763">
        <v>1303</v>
      </c>
      <c r="C69" s="760">
        <v>191.68</v>
      </c>
      <c r="D69" s="760">
        <f t="shared" si="45"/>
        <v>17.619796434918413</v>
      </c>
      <c r="E69" s="760">
        <f t="shared" si="46"/>
        <v>109.24273789649416</v>
      </c>
      <c r="F69" s="760">
        <f t="shared" si="47"/>
        <v>17.619796434918413</v>
      </c>
      <c r="G69" s="760">
        <f t="shared" si="38"/>
        <v>109.24273789649416</v>
      </c>
      <c r="H69" s="761">
        <v>3.3</v>
      </c>
      <c r="I69" s="760">
        <f t="shared" si="48"/>
        <v>20939.648000000001</v>
      </c>
      <c r="J69" s="760">
        <f t="shared" si="49"/>
        <v>3377.3625806451614</v>
      </c>
      <c r="K69" s="760">
        <f t="shared" si="50"/>
        <v>3377.3625806451614</v>
      </c>
      <c r="L69" s="760">
        <f t="shared" si="51"/>
        <v>20939.648000000001</v>
      </c>
      <c r="M69" s="760">
        <f t="shared" si="52"/>
        <v>5060.3519999999999</v>
      </c>
      <c r="N69" s="774">
        <f t="shared" si="53"/>
        <v>3.6414245965498053</v>
      </c>
      <c r="O69" s="760">
        <f t="shared" si="44"/>
        <v>26000</v>
      </c>
      <c r="P69" s="760">
        <f t="shared" si="43"/>
        <v>632.54399999999998</v>
      </c>
      <c r="Q69" s="760">
        <f t="shared" si="54"/>
        <v>4009.9065806451613</v>
      </c>
      <c r="R69" s="778" t="s">
        <v>158</v>
      </c>
      <c r="S69" s="785" t="s">
        <v>186</v>
      </c>
      <c r="T69" s="786">
        <v>41045</v>
      </c>
      <c r="U69" s="787">
        <v>41774</v>
      </c>
    </row>
    <row r="70" spans="1:21" s="453" customFormat="1" ht="13.5" customHeight="1">
      <c r="A70" s="762" t="s">
        <v>185</v>
      </c>
      <c r="B70" s="763">
        <v>1503</v>
      </c>
      <c r="C70" s="760">
        <v>191.68</v>
      </c>
      <c r="D70" s="760">
        <f t="shared" si="45"/>
        <v>17.619796434918413</v>
      </c>
      <c r="E70" s="760">
        <f t="shared" si="46"/>
        <v>109.24273789649416</v>
      </c>
      <c r="F70" s="760">
        <f t="shared" si="47"/>
        <v>17.619796434918413</v>
      </c>
      <c r="G70" s="760">
        <f t="shared" si="38"/>
        <v>109.24273789649416</v>
      </c>
      <c r="H70" s="761">
        <v>3.3</v>
      </c>
      <c r="I70" s="760">
        <f t="shared" si="48"/>
        <v>20939.648000000001</v>
      </c>
      <c r="J70" s="760">
        <f t="shared" si="49"/>
        <v>3377.3625806451614</v>
      </c>
      <c r="K70" s="760">
        <f t="shared" si="50"/>
        <v>3377.3625806451614</v>
      </c>
      <c r="L70" s="760">
        <f t="shared" si="51"/>
        <v>20939.648000000001</v>
      </c>
      <c r="M70" s="760">
        <f t="shared" si="52"/>
        <v>5060.3519999999999</v>
      </c>
      <c r="N70" s="774">
        <f t="shared" si="53"/>
        <v>3.6414245965498053</v>
      </c>
      <c r="O70" s="760">
        <f t="shared" si="44"/>
        <v>26000</v>
      </c>
      <c r="P70" s="760">
        <f t="shared" si="43"/>
        <v>632.54399999999998</v>
      </c>
      <c r="Q70" s="760">
        <f t="shared" si="54"/>
        <v>4009.9065806451613</v>
      </c>
      <c r="R70" s="778" t="s">
        <v>158</v>
      </c>
      <c r="S70" s="785" t="s">
        <v>186</v>
      </c>
      <c r="T70" s="786">
        <v>41045</v>
      </c>
      <c r="U70" s="787">
        <v>41774</v>
      </c>
    </row>
    <row r="71" spans="1:21" s="453" customFormat="1" ht="14.25" customHeight="1">
      <c r="A71" s="758" t="s">
        <v>216</v>
      </c>
      <c r="B71" s="763">
        <v>2006</v>
      </c>
      <c r="C71" s="760">
        <v>222.2</v>
      </c>
      <c r="D71" s="760">
        <f t="shared" si="45"/>
        <v>23.325338985511454</v>
      </c>
      <c r="E71" s="760">
        <f t="shared" si="46"/>
        <v>144.61710171017103</v>
      </c>
      <c r="F71" s="760">
        <f t="shared" si="47"/>
        <v>23.325338985511454</v>
      </c>
      <c r="G71" s="760">
        <f t="shared" si="38"/>
        <v>144.61710171017103</v>
      </c>
      <c r="H71" s="761">
        <v>3.3</v>
      </c>
      <c r="I71" s="760">
        <f>38000-M71</f>
        <v>32133.920000000002</v>
      </c>
      <c r="J71" s="760">
        <f t="shared" si="49"/>
        <v>5182.8903225806453</v>
      </c>
      <c r="K71" s="760">
        <f t="shared" si="50"/>
        <v>5182.8903225806453</v>
      </c>
      <c r="L71" s="760">
        <f t="shared" si="51"/>
        <v>32133.920000000002</v>
      </c>
      <c r="M71" s="760">
        <f t="shared" si="52"/>
        <v>5866.079999999999</v>
      </c>
      <c r="N71" s="774">
        <f t="shared" si="53"/>
        <v>4.8205700570057006</v>
      </c>
      <c r="O71" s="760">
        <f t="shared" si="44"/>
        <v>38000</v>
      </c>
      <c r="P71" s="760">
        <f t="shared" si="43"/>
        <v>733.25999999999988</v>
      </c>
      <c r="Q71" s="760">
        <f t="shared" si="54"/>
        <v>5916.1503225806455</v>
      </c>
      <c r="R71" s="778" t="s">
        <v>167</v>
      </c>
      <c r="S71" s="789">
        <v>12</v>
      </c>
      <c r="T71" s="786">
        <v>41411</v>
      </c>
      <c r="U71" s="787">
        <v>41775</v>
      </c>
    </row>
    <row r="72" spans="1:21" s="744" customFormat="1" ht="12.75" customHeight="1">
      <c r="A72" s="758" t="s">
        <v>217</v>
      </c>
      <c r="B72" s="763">
        <v>2103</v>
      </c>
      <c r="C72" s="760">
        <v>191.68</v>
      </c>
      <c r="D72" s="760">
        <f t="shared" si="45"/>
        <v>23.930717863105176</v>
      </c>
      <c r="E72" s="760">
        <f t="shared" si="46"/>
        <v>148.37045075125209</v>
      </c>
      <c r="F72" s="760">
        <f t="shared" si="47"/>
        <v>23.930717863105176</v>
      </c>
      <c r="G72" s="760">
        <f t="shared" si="38"/>
        <v>148.37045075125209</v>
      </c>
      <c r="H72" s="761">
        <v>3.3</v>
      </c>
      <c r="I72" s="760">
        <f>33500-M72</f>
        <v>28439.648000000001</v>
      </c>
      <c r="J72" s="760">
        <f t="shared" si="49"/>
        <v>4587.04</v>
      </c>
      <c r="K72" s="760">
        <f t="shared" si="50"/>
        <v>4587.04</v>
      </c>
      <c r="L72" s="760">
        <f t="shared" si="51"/>
        <v>28439.648000000001</v>
      </c>
      <c r="M72" s="760">
        <f t="shared" si="52"/>
        <v>5060.3519999999999</v>
      </c>
      <c r="N72" s="774">
        <f t="shared" si="53"/>
        <v>4.945681691708403</v>
      </c>
      <c r="O72" s="760">
        <f t="shared" si="44"/>
        <v>33500</v>
      </c>
      <c r="P72" s="760">
        <f t="shared" si="43"/>
        <v>632.54399999999998</v>
      </c>
      <c r="Q72" s="760">
        <f t="shared" si="54"/>
        <v>5219.5839999999998</v>
      </c>
      <c r="R72" s="778" t="s">
        <v>158</v>
      </c>
      <c r="S72" s="785" t="s">
        <v>163</v>
      </c>
      <c r="T72" s="786">
        <v>41416</v>
      </c>
      <c r="U72" s="784">
        <v>41780</v>
      </c>
    </row>
    <row r="73" spans="1:21" s="453" customFormat="1" ht="13.5" customHeight="1">
      <c r="A73" s="758" t="s">
        <v>170</v>
      </c>
      <c r="B73" s="763">
        <v>601</v>
      </c>
      <c r="C73" s="760">
        <v>112.36</v>
      </c>
      <c r="D73" s="760">
        <f t="shared" si="45"/>
        <v>24.451498064975482</v>
      </c>
      <c r="E73" s="760">
        <f t="shared" si="46"/>
        <v>151.599288002848</v>
      </c>
      <c r="F73" s="760">
        <f t="shared" si="47"/>
        <v>24.451498064975482</v>
      </c>
      <c r="G73" s="760">
        <f t="shared" si="38"/>
        <v>151.599288002848</v>
      </c>
      <c r="H73" s="761">
        <v>3.3</v>
      </c>
      <c r="I73" s="760">
        <f>20000-M73</f>
        <v>17033.696</v>
      </c>
      <c r="J73" s="760">
        <f t="shared" si="49"/>
        <v>2747.3703225806453</v>
      </c>
      <c r="K73" s="760">
        <f t="shared" si="50"/>
        <v>2747.3703225806453</v>
      </c>
      <c r="L73" s="760">
        <f t="shared" si="51"/>
        <v>17033.696</v>
      </c>
      <c r="M73" s="760">
        <f t="shared" si="52"/>
        <v>2966.3039999999996</v>
      </c>
      <c r="N73" s="774">
        <f t="shared" si="53"/>
        <v>5.0533096000949325</v>
      </c>
      <c r="O73" s="760">
        <f t="shared" si="44"/>
        <v>20000</v>
      </c>
      <c r="P73" s="760">
        <f t="shared" si="43"/>
        <v>370.78799999999995</v>
      </c>
      <c r="Q73" s="760">
        <f t="shared" si="54"/>
        <v>3118.1583225806453</v>
      </c>
      <c r="R73" s="778" t="s">
        <v>158</v>
      </c>
      <c r="S73" s="785">
        <v>12</v>
      </c>
      <c r="T73" s="786">
        <v>41424</v>
      </c>
      <c r="U73" s="787">
        <v>41788</v>
      </c>
    </row>
    <row r="74" spans="1:21" s="453" customFormat="1" ht="14.25" customHeight="1">
      <c r="A74" s="758" t="s">
        <v>218</v>
      </c>
      <c r="B74" s="763">
        <v>1903</v>
      </c>
      <c r="C74" s="760">
        <v>191.68</v>
      </c>
      <c r="D74" s="760">
        <f t="shared" si="45"/>
        <v>23.509989767892723</v>
      </c>
      <c r="E74" s="760">
        <f t="shared" si="46"/>
        <v>145.76193656093488</v>
      </c>
      <c r="F74" s="760">
        <f t="shared" si="47"/>
        <v>23.509989767892723</v>
      </c>
      <c r="G74" s="760">
        <f t="shared" si="38"/>
        <v>145.76193656093488</v>
      </c>
      <c r="H74" s="761">
        <v>3.3</v>
      </c>
      <c r="I74" s="760">
        <f>33000-M74</f>
        <v>27939.648000000001</v>
      </c>
      <c r="J74" s="760">
        <f t="shared" si="49"/>
        <v>4506.3948387096771</v>
      </c>
      <c r="K74" s="760">
        <f t="shared" si="50"/>
        <v>4506.3948387096771</v>
      </c>
      <c r="L74" s="760">
        <f t="shared" si="51"/>
        <v>27939.647999999997</v>
      </c>
      <c r="M74" s="760">
        <f t="shared" si="52"/>
        <v>5060.3519999999999</v>
      </c>
      <c r="N74" s="774">
        <f t="shared" si="53"/>
        <v>4.8587312186978293</v>
      </c>
      <c r="O74" s="760">
        <f t="shared" si="44"/>
        <v>33000</v>
      </c>
      <c r="P74" s="760">
        <f t="shared" si="43"/>
        <v>632.54399999999998</v>
      </c>
      <c r="Q74" s="760">
        <f t="shared" si="54"/>
        <v>5138.9388387096769</v>
      </c>
      <c r="R74" s="778" t="s">
        <v>167</v>
      </c>
      <c r="S74" s="789">
        <v>12</v>
      </c>
      <c r="T74" s="786">
        <v>41399</v>
      </c>
      <c r="U74" s="787">
        <v>41763</v>
      </c>
    </row>
    <row r="75" spans="1:21" s="744" customFormat="1" ht="21.75" customHeight="1">
      <c r="A75" s="762" t="s">
        <v>219</v>
      </c>
      <c r="B75" s="759">
        <v>806</v>
      </c>
      <c r="C75" s="760">
        <v>182.53</v>
      </c>
      <c r="D75" s="760">
        <f t="shared" si="45"/>
        <v>21.36741817076468</v>
      </c>
      <c r="E75" s="760">
        <f t="shared" si="46"/>
        <v>132.47799265874102</v>
      </c>
      <c r="F75" s="760">
        <f t="shared" si="47"/>
        <v>21.36741817076468</v>
      </c>
      <c r="G75" s="760">
        <f t="shared" si="38"/>
        <v>132.47799265874102</v>
      </c>
      <c r="H75" s="761">
        <v>3.3</v>
      </c>
      <c r="I75" s="770">
        <f>29000-M75</f>
        <v>24181.207999999999</v>
      </c>
      <c r="J75" s="770">
        <f t="shared" si="49"/>
        <v>3900.1948387096772</v>
      </c>
      <c r="K75" s="770">
        <f t="shared" si="50"/>
        <v>3900.1948387096772</v>
      </c>
      <c r="L75" s="770">
        <f t="shared" si="51"/>
        <v>24181.207999999999</v>
      </c>
      <c r="M75" s="770">
        <f t="shared" si="52"/>
        <v>4818.7919999999995</v>
      </c>
      <c r="N75" s="773">
        <f t="shared" si="53"/>
        <v>4.4159330886247004</v>
      </c>
      <c r="O75" s="770">
        <f>SUM(L75:M75)</f>
        <v>29000</v>
      </c>
      <c r="P75" s="770">
        <f t="shared" si="43"/>
        <v>602.34899999999993</v>
      </c>
      <c r="Q75" s="770">
        <f t="shared" si="54"/>
        <v>4502.5438387096774</v>
      </c>
      <c r="R75" s="781" t="s">
        <v>158</v>
      </c>
      <c r="S75" s="782">
        <v>12</v>
      </c>
      <c r="T75" s="783">
        <v>41405</v>
      </c>
      <c r="U75" s="784">
        <v>41769</v>
      </c>
    </row>
    <row r="76" spans="1:21" s="744" customFormat="1" ht="21" customHeight="1">
      <c r="A76" s="765" t="s">
        <v>220</v>
      </c>
      <c r="B76" s="766">
        <v>707</v>
      </c>
      <c r="C76" s="760">
        <v>121.52</v>
      </c>
      <c r="D76" s="760">
        <f t="shared" si="45"/>
        <v>25.605597910339991</v>
      </c>
      <c r="E76" s="760">
        <f t="shared" si="46"/>
        <v>158.75470704410796</v>
      </c>
      <c r="F76" s="760">
        <f t="shared" si="47"/>
        <v>25.605597910339991</v>
      </c>
      <c r="G76" s="760">
        <f t="shared" si="38"/>
        <v>158.75470704410796</v>
      </c>
      <c r="H76" s="761">
        <v>3.3</v>
      </c>
      <c r="I76" s="770">
        <f>22500-M76</f>
        <v>19291.871999999999</v>
      </c>
      <c r="J76" s="770">
        <f t="shared" si="49"/>
        <v>3111.592258064516</v>
      </c>
      <c r="K76" s="770">
        <f t="shared" si="50"/>
        <v>3111.592258064516</v>
      </c>
      <c r="L76" s="770">
        <f t="shared" si="51"/>
        <v>19291.871999999999</v>
      </c>
      <c r="M76" s="770">
        <f t="shared" si="52"/>
        <v>3208.1279999999997</v>
      </c>
      <c r="N76" s="773">
        <f t="shared" si="53"/>
        <v>5.291823568136933</v>
      </c>
      <c r="O76" s="770">
        <f>SUM(L76:M76)</f>
        <v>22500</v>
      </c>
      <c r="P76" s="770">
        <f t="shared" si="43"/>
        <v>401.01599999999996</v>
      </c>
      <c r="Q76" s="770">
        <f t="shared" si="54"/>
        <v>3512.6082580645161</v>
      </c>
      <c r="R76" s="781" t="s">
        <v>158</v>
      </c>
      <c r="S76" s="782">
        <v>12</v>
      </c>
      <c r="T76" s="783">
        <v>41401</v>
      </c>
      <c r="U76" s="784">
        <v>41765</v>
      </c>
    </row>
    <row r="77" spans="1:21" s="453" customFormat="1" ht="12" customHeight="1">
      <c r="A77" s="758" t="s">
        <v>221</v>
      </c>
      <c r="B77" s="763">
        <v>1202</v>
      </c>
      <c r="C77" s="760">
        <v>78.03</v>
      </c>
      <c r="D77" s="760">
        <f t="shared" si="45"/>
        <v>38.736151934946449</v>
      </c>
      <c r="E77" s="760">
        <f t="shared" si="46"/>
        <v>240.16414199666798</v>
      </c>
      <c r="F77" s="760">
        <f t="shared" si="47"/>
        <v>38.736151934946449</v>
      </c>
      <c r="G77" s="760">
        <f t="shared" si="38"/>
        <v>240.16414199666798</v>
      </c>
      <c r="H77" s="761">
        <v>3.3</v>
      </c>
      <c r="I77" s="760">
        <f>20800-M77</f>
        <v>18740.008000000002</v>
      </c>
      <c r="J77" s="760">
        <f t="shared" si="49"/>
        <v>3022.5819354838713</v>
      </c>
      <c r="K77" s="760">
        <f t="shared" si="50"/>
        <v>3022.5819354838713</v>
      </c>
      <c r="L77" s="760">
        <f t="shared" si="51"/>
        <v>18740.008000000002</v>
      </c>
      <c r="M77" s="760">
        <f t="shared" si="52"/>
        <v>2059.9919999999997</v>
      </c>
      <c r="N77" s="774">
        <f t="shared" si="53"/>
        <v>8.0054713998889326</v>
      </c>
      <c r="O77" s="760">
        <f t="shared" ref="O77:O80" si="55">SUM(L77,M77)</f>
        <v>20800</v>
      </c>
      <c r="P77" s="760">
        <f t="shared" si="43"/>
        <v>257.49899999999997</v>
      </c>
      <c r="Q77" s="760">
        <f t="shared" si="54"/>
        <v>3280.0809354838711</v>
      </c>
      <c r="R77" s="781" t="s">
        <v>158</v>
      </c>
      <c r="S77" s="785" t="s">
        <v>163</v>
      </c>
      <c r="T77" s="786">
        <v>41410</v>
      </c>
      <c r="U77" s="787">
        <v>41774</v>
      </c>
    </row>
    <row r="78" spans="1:21" s="745" customFormat="1" ht="13.5" customHeight="1">
      <c r="A78" s="793" t="s">
        <v>222</v>
      </c>
      <c r="B78" s="794">
        <v>1702</v>
      </c>
      <c r="C78" s="795">
        <v>166.03</v>
      </c>
      <c r="D78" s="795">
        <f t="shared" si="45"/>
        <v>24.399795606312892</v>
      </c>
      <c r="E78" s="795">
        <f t="shared" si="46"/>
        <v>151.27873275913993</v>
      </c>
      <c r="F78" s="795">
        <f t="shared" si="47"/>
        <v>24.399795606312892</v>
      </c>
      <c r="G78" s="795">
        <f t="shared" si="38"/>
        <v>151.27873275913993</v>
      </c>
      <c r="H78" s="796">
        <v>3.3</v>
      </c>
      <c r="I78" s="795">
        <f>29500-M78</f>
        <v>25116.808000000001</v>
      </c>
      <c r="J78" s="795">
        <f t="shared" si="49"/>
        <v>4051.0980645161289</v>
      </c>
      <c r="K78" s="795">
        <f t="shared" si="50"/>
        <v>4051.0980645161289</v>
      </c>
      <c r="L78" s="795">
        <f t="shared" si="51"/>
        <v>25116.808000000001</v>
      </c>
      <c r="M78" s="795">
        <f t="shared" si="52"/>
        <v>4383.192</v>
      </c>
      <c r="N78" s="774">
        <f t="shared" si="53"/>
        <v>5.0426244253046644</v>
      </c>
      <c r="O78" s="795">
        <f t="shared" si="55"/>
        <v>29500</v>
      </c>
      <c r="P78" s="795">
        <f t="shared" si="43"/>
        <v>547.899</v>
      </c>
      <c r="Q78" s="795">
        <f t="shared" si="54"/>
        <v>4598.9970645161293</v>
      </c>
      <c r="R78" s="776" t="s">
        <v>158</v>
      </c>
      <c r="S78" s="815" t="s">
        <v>163</v>
      </c>
      <c r="T78" s="816">
        <v>41456</v>
      </c>
      <c r="U78" s="817">
        <v>41820</v>
      </c>
    </row>
    <row r="79" spans="1:21" s="746" customFormat="1" ht="14.25" customHeight="1">
      <c r="A79" s="797" t="s">
        <v>223</v>
      </c>
      <c r="B79" s="798">
        <v>1602</v>
      </c>
      <c r="C79" s="799">
        <v>166.03</v>
      </c>
      <c r="D79" s="799">
        <f t="shared" si="45"/>
        <v>22.94261627805313</v>
      </c>
      <c r="E79" s="799">
        <f t="shared" si="46"/>
        <v>142.24422092392942</v>
      </c>
      <c r="F79" s="799">
        <f t="shared" si="47"/>
        <v>22.94261627805313</v>
      </c>
      <c r="G79" s="799">
        <f t="shared" si="38"/>
        <v>142.24422092392942</v>
      </c>
      <c r="H79" s="800">
        <v>3.3</v>
      </c>
      <c r="I79" s="799">
        <f>28000-M79</f>
        <v>23616.808000000001</v>
      </c>
      <c r="J79" s="799">
        <f t="shared" si="49"/>
        <v>3809.1625806451611</v>
      </c>
      <c r="K79" s="799">
        <f t="shared" si="50"/>
        <v>3809.1625806451611</v>
      </c>
      <c r="L79" s="799">
        <f t="shared" si="51"/>
        <v>23616.808000000001</v>
      </c>
      <c r="M79" s="799">
        <f t="shared" si="52"/>
        <v>4383.192</v>
      </c>
      <c r="N79" s="774">
        <f t="shared" si="53"/>
        <v>4.7414740307976473</v>
      </c>
      <c r="O79" s="799">
        <f t="shared" si="55"/>
        <v>28000</v>
      </c>
      <c r="P79" s="799">
        <f t="shared" si="43"/>
        <v>547.899</v>
      </c>
      <c r="Q79" s="799">
        <f t="shared" si="54"/>
        <v>4357.0615806451615</v>
      </c>
      <c r="R79" s="818" t="s">
        <v>167</v>
      </c>
      <c r="S79" s="819">
        <v>12</v>
      </c>
      <c r="T79" s="820">
        <v>41445</v>
      </c>
      <c r="U79" s="821">
        <v>41809</v>
      </c>
    </row>
    <row r="80" spans="1:21" s="747" customFormat="1" ht="16.5" customHeight="1">
      <c r="A80" s="870" t="s">
        <v>224</v>
      </c>
      <c r="B80" s="801">
        <v>707</v>
      </c>
      <c r="C80" s="795">
        <v>83.34</v>
      </c>
      <c r="D80" s="795">
        <f t="shared" si="45"/>
        <v>32.513187332110206</v>
      </c>
      <c r="E80" s="795">
        <f t="shared" si="46"/>
        <v>201.58176145908328</v>
      </c>
      <c r="F80" s="795">
        <f t="shared" si="47"/>
        <v>32.513187332110206</v>
      </c>
      <c r="G80" s="795">
        <f t="shared" si="38"/>
        <v>201.58176145908328</v>
      </c>
      <c r="H80" s="796">
        <v>3.3</v>
      </c>
      <c r="I80" s="795">
        <f>19000-M80</f>
        <v>16799.824000000001</v>
      </c>
      <c r="J80" s="795">
        <f t="shared" si="49"/>
        <v>2709.6490322580644</v>
      </c>
      <c r="K80" s="795">
        <f t="shared" si="50"/>
        <v>2709.6490322580644</v>
      </c>
      <c r="L80" s="795">
        <f t="shared" si="51"/>
        <v>16799.824000000001</v>
      </c>
      <c r="M80" s="795">
        <f t="shared" si="52"/>
        <v>2200.1759999999999</v>
      </c>
      <c r="N80" s="774">
        <f t="shared" si="53"/>
        <v>6.7193920486361094</v>
      </c>
      <c r="O80" s="795">
        <f t="shared" si="55"/>
        <v>19000</v>
      </c>
      <c r="P80" s="795">
        <f t="shared" si="43"/>
        <v>275.02199999999999</v>
      </c>
      <c r="Q80" s="795">
        <f t="shared" si="54"/>
        <v>2984.6710322580643</v>
      </c>
      <c r="R80" s="776" t="s">
        <v>158</v>
      </c>
      <c r="S80" s="815">
        <v>12</v>
      </c>
      <c r="T80" s="822">
        <v>41452</v>
      </c>
      <c r="U80" s="823">
        <v>41816</v>
      </c>
    </row>
    <row r="81" spans="1:253" s="748" customFormat="1" ht="21.75" customHeight="1">
      <c r="A81" s="797" t="s">
        <v>225</v>
      </c>
      <c r="B81" s="802">
        <v>1004</v>
      </c>
      <c r="C81" s="799">
        <v>191.65</v>
      </c>
      <c r="D81" s="799">
        <f t="shared" si="45"/>
        <v>19.306396909689205</v>
      </c>
      <c r="E81" s="799">
        <f t="shared" si="46"/>
        <v>119.69966084007307</v>
      </c>
      <c r="F81" s="799">
        <f t="shared" si="47"/>
        <v>19.306396909689205</v>
      </c>
      <c r="G81" s="799">
        <f t="shared" si="38"/>
        <v>119.69966084007307</v>
      </c>
      <c r="H81" s="800">
        <v>3.3</v>
      </c>
      <c r="I81" s="813">
        <f>28000-M81</f>
        <v>22940.440000000002</v>
      </c>
      <c r="J81" s="813">
        <f t="shared" si="49"/>
        <v>3700.0709677419359</v>
      </c>
      <c r="K81" s="813">
        <f t="shared" si="50"/>
        <v>3700.0709677419359</v>
      </c>
      <c r="L81" s="813">
        <f t="shared" si="51"/>
        <v>22940.440000000002</v>
      </c>
      <c r="M81" s="813">
        <f t="shared" si="52"/>
        <v>5059.5599999999995</v>
      </c>
      <c r="N81" s="774">
        <f t="shared" si="53"/>
        <v>3.9899886946691021</v>
      </c>
      <c r="O81" s="813">
        <f t="shared" ref="O81:O83" si="56">SUM(L81:M81)</f>
        <v>28000</v>
      </c>
      <c r="P81" s="813">
        <f t="shared" si="43"/>
        <v>632.44499999999994</v>
      </c>
      <c r="Q81" s="799">
        <f t="shared" si="54"/>
        <v>4332.515967741936</v>
      </c>
      <c r="R81" s="824" t="s">
        <v>167</v>
      </c>
      <c r="S81" s="825">
        <v>12</v>
      </c>
      <c r="T81" s="826">
        <v>41453</v>
      </c>
      <c r="U81" s="827">
        <v>41817</v>
      </c>
    </row>
    <row r="82" spans="1:253" s="744" customFormat="1" ht="21" customHeight="1">
      <c r="A82" s="868" t="s">
        <v>226</v>
      </c>
      <c r="B82" s="759">
        <v>1108</v>
      </c>
      <c r="C82" s="760">
        <v>182.53</v>
      </c>
      <c r="D82" s="760">
        <f t="shared" si="45"/>
        <v>24.990331240291034</v>
      </c>
      <c r="E82" s="760">
        <f t="shared" si="46"/>
        <v>154.94005368980442</v>
      </c>
      <c r="F82" s="760">
        <f t="shared" si="47"/>
        <v>24.990331240291034</v>
      </c>
      <c r="G82" s="760">
        <f t="shared" si="38"/>
        <v>154.94005368980442</v>
      </c>
      <c r="H82" s="761">
        <v>3.3</v>
      </c>
      <c r="I82" s="770">
        <f>33100-M82</f>
        <v>28281.207999999999</v>
      </c>
      <c r="J82" s="770">
        <f t="shared" si="49"/>
        <v>4561.4851612903221</v>
      </c>
      <c r="K82" s="770">
        <f t="shared" si="50"/>
        <v>4561.4851612903221</v>
      </c>
      <c r="L82" s="770">
        <f t="shared" si="51"/>
        <v>28281.207999999999</v>
      </c>
      <c r="M82" s="760">
        <f t="shared" si="52"/>
        <v>4818.7919999999995</v>
      </c>
      <c r="N82" s="773">
        <f t="shared" si="53"/>
        <v>5.1646684563268135</v>
      </c>
      <c r="O82" s="760">
        <f t="shared" si="56"/>
        <v>33100</v>
      </c>
      <c r="P82" s="770">
        <f t="shared" si="43"/>
        <v>602.34899999999993</v>
      </c>
      <c r="Q82" s="770">
        <f t="shared" si="54"/>
        <v>5163.8341612903223</v>
      </c>
      <c r="R82" s="781" t="s">
        <v>158</v>
      </c>
      <c r="S82" s="782">
        <v>12</v>
      </c>
      <c r="T82" s="783">
        <v>41440</v>
      </c>
      <c r="U82" s="784">
        <v>41804</v>
      </c>
    </row>
    <row r="83" spans="1:253" s="744" customFormat="1" ht="21.75" customHeight="1">
      <c r="A83" s="762" t="s">
        <v>227</v>
      </c>
      <c r="B83" s="759">
        <v>901</v>
      </c>
      <c r="C83" s="760">
        <v>121.52</v>
      </c>
      <c r="D83" s="760">
        <f t="shared" si="45"/>
        <v>28.923782624392107</v>
      </c>
      <c r="E83" s="760">
        <f t="shared" si="46"/>
        <v>179.32745227123107</v>
      </c>
      <c r="F83" s="760">
        <f t="shared" si="47"/>
        <v>28.923782624392107</v>
      </c>
      <c r="G83" s="760">
        <f t="shared" si="38"/>
        <v>179.32745227123107</v>
      </c>
      <c r="H83" s="761">
        <v>3.3</v>
      </c>
      <c r="I83" s="770">
        <f>25000-M83</f>
        <v>21791.871999999999</v>
      </c>
      <c r="J83" s="770">
        <f t="shared" si="49"/>
        <v>3514.8180645161287</v>
      </c>
      <c r="K83" s="770">
        <f t="shared" si="50"/>
        <v>3514.8180645161287</v>
      </c>
      <c r="L83" s="770">
        <f t="shared" si="51"/>
        <v>21791.871999999999</v>
      </c>
      <c r="M83" s="770">
        <f t="shared" si="52"/>
        <v>3208.1279999999997</v>
      </c>
      <c r="N83" s="773">
        <f t="shared" si="53"/>
        <v>5.9775817423743689</v>
      </c>
      <c r="O83" s="770">
        <f t="shared" si="56"/>
        <v>25000</v>
      </c>
      <c r="P83" s="770">
        <f t="shared" si="43"/>
        <v>401.01599999999996</v>
      </c>
      <c r="Q83" s="770">
        <f t="shared" si="54"/>
        <v>3915.8340645161288</v>
      </c>
      <c r="R83" s="781" t="s">
        <v>167</v>
      </c>
      <c r="S83" s="782">
        <v>12</v>
      </c>
      <c r="T83" s="783">
        <v>41440</v>
      </c>
      <c r="U83" s="784">
        <v>41804</v>
      </c>
    </row>
    <row r="84" spans="1:253" s="746" customFormat="1" ht="14.25" customHeight="1">
      <c r="A84" s="797" t="s">
        <v>228</v>
      </c>
      <c r="B84" s="798">
        <v>1402</v>
      </c>
      <c r="C84" s="799">
        <v>166.03</v>
      </c>
      <c r="D84" s="799">
        <f t="shared" si="45"/>
        <v>24.399795606312892</v>
      </c>
      <c r="E84" s="799">
        <f t="shared" si="46"/>
        <v>151.27873275913993</v>
      </c>
      <c r="F84" s="799">
        <f t="shared" si="47"/>
        <v>24.399795606312892</v>
      </c>
      <c r="G84" s="799">
        <f t="shared" si="38"/>
        <v>151.27873275913993</v>
      </c>
      <c r="H84" s="800">
        <v>3.3</v>
      </c>
      <c r="I84" s="799">
        <f>29500-M84</f>
        <v>25116.808000000001</v>
      </c>
      <c r="J84" s="799">
        <f t="shared" si="49"/>
        <v>4051.0980645161289</v>
      </c>
      <c r="K84" s="799">
        <f t="shared" si="50"/>
        <v>4051.0980645161289</v>
      </c>
      <c r="L84" s="799">
        <f t="shared" si="51"/>
        <v>25116.808000000001</v>
      </c>
      <c r="M84" s="799">
        <f t="shared" si="52"/>
        <v>4383.192</v>
      </c>
      <c r="N84" s="774">
        <f t="shared" si="53"/>
        <v>5.0426244253046644</v>
      </c>
      <c r="O84" s="799">
        <f t="shared" ref="O84:O89" si="57">SUM(L84,M84)</f>
        <v>29500</v>
      </c>
      <c r="P84" s="799">
        <f t="shared" si="43"/>
        <v>547.899</v>
      </c>
      <c r="Q84" s="799">
        <f t="shared" si="54"/>
        <v>4598.9970645161293</v>
      </c>
      <c r="R84" s="818" t="s">
        <v>167</v>
      </c>
      <c r="S84" s="819">
        <v>12</v>
      </c>
      <c r="T84" s="820">
        <v>41433</v>
      </c>
      <c r="U84" s="821">
        <v>41797</v>
      </c>
    </row>
    <row r="85" spans="1:253" s="747" customFormat="1" ht="16.5" customHeight="1">
      <c r="A85" s="870" t="s">
        <v>220</v>
      </c>
      <c r="B85" s="801">
        <v>1301</v>
      </c>
      <c r="C85" s="795">
        <v>233.63</v>
      </c>
      <c r="D85" s="795">
        <f t="shared" si="45"/>
        <v>23.356595002022772</v>
      </c>
      <c r="E85" s="795">
        <f t="shared" si="46"/>
        <v>144.8108890125412</v>
      </c>
      <c r="F85" s="795">
        <f t="shared" si="47"/>
        <v>23.356595002022772</v>
      </c>
      <c r="G85" s="795">
        <f t="shared" si="38"/>
        <v>144.8108890125412</v>
      </c>
      <c r="H85" s="796">
        <v>3.3</v>
      </c>
      <c r="I85" s="795">
        <f>40000-M85</f>
        <v>33832.167999999998</v>
      </c>
      <c r="J85" s="795">
        <f t="shared" si="49"/>
        <v>5456.8012903225799</v>
      </c>
      <c r="K85" s="795">
        <f t="shared" si="50"/>
        <v>5456.8012903225799</v>
      </c>
      <c r="L85" s="795">
        <f t="shared" si="51"/>
        <v>33832.167999999998</v>
      </c>
      <c r="M85" s="795">
        <f t="shared" si="52"/>
        <v>6167.8319999999994</v>
      </c>
      <c r="N85" s="774">
        <f t="shared" si="53"/>
        <v>4.8270296337513736</v>
      </c>
      <c r="O85" s="795">
        <f t="shared" si="57"/>
        <v>40000</v>
      </c>
      <c r="P85" s="795">
        <f t="shared" si="43"/>
        <v>770.97899999999993</v>
      </c>
      <c r="Q85" s="795">
        <f t="shared" si="54"/>
        <v>6227.7802903225802</v>
      </c>
      <c r="R85" s="776" t="s">
        <v>158</v>
      </c>
      <c r="S85" s="815" t="s">
        <v>163</v>
      </c>
      <c r="T85" s="822">
        <v>41477</v>
      </c>
      <c r="U85" s="823">
        <v>41841</v>
      </c>
    </row>
    <row r="86" spans="1:253" s="745" customFormat="1" ht="13.5" customHeight="1">
      <c r="A86" s="793" t="s">
        <v>229</v>
      </c>
      <c r="B86" s="801">
        <v>2101</v>
      </c>
      <c r="C86" s="795">
        <v>233.63</v>
      </c>
      <c r="D86" s="795">
        <f t="shared" si="45"/>
        <v>20.940312294184494</v>
      </c>
      <c r="E86" s="795">
        <f t="shared" si="46"/>
        <v>129.82993622394386</v>
      </c>
      <c r="F86" s="795">
        <f t="shared" si="47"/>
        <v>20.940312294184494</v>
      </c>
      <c r="G86" s="795">
        <f t="shared" si="38"/>
        <v>129.82993622394383</v>
      </c>
      <c r="H86" s="796">
        <v>3.3</v>
      </c>
      <c r="I86" s="795">
        <f>36500-M86</f>
        <v>30332.168000000001</v>
      </c>
      <c r="J86" s="795">
        <f t="shared" si="49"/>
        <v>4892.2851612903223</v>
      </c>
      <c r="K86" s="795">
        <f t="shared" si="50"/>
        <v>4892.2851612903223</v>
      </c>
      <c r="L86" s="795">
        <f t="shared" si="51"/>
        <v>30332.167999999998</v>
      </c>
      <c r="M86" s="795">
        <f t="shared" si="52"/>
        <v>6167.8319999999994</v>
      </c>
      <c r="N86" s="774">
        <f t="shared" si="53"/>
        <v>4.3276645407981276</v>
      </c>
      <c r="O86" s="795">
        <f t="shared" si="57"/>
        <v>36500</v>
      </c>
      <c r="P86" s="795">
        <f t="shared" si="43"/>
        <v>770.97899999999993</v>
      </c>
      <c r="Q86" s="795">
        <f t="shared" si="54"/>
        <v>5663.2641612903226</v>
      </c>
      <c r="R86" s="828" t="s">
        <v>167</v>
      </c>
      <c r="S86" s="815" t="s">
        <v>163</v>
      </c>
      <c r="T86" s="816">
        <v>41464</v>
      </c>
      <c r="U86" s="817">
        <v>41828</v>
      </c>
    </row>
    <row r="87" spans="1:253" s="748" customFormat="1" ht="12.75" customHeight="1">
      <c r="A87" s="797" t="s">
        <v>230</v>
      </c>
      <c r="B87" s="798">
        <v>2002</v>
      </c>
      <c r="C87" s="799">
        <v>166.03</v>
      </c>
      <c r="D87" s="799">
        <f t="shared" si="45"/>
        <v>24.885522049066143</v>
      </c>
      <c r="E87" s="799">
        <f t="shared" si="46"/>
        <v>154.29023670421009</v>
      </c>
      <c r="F87" s="799">
        <f t="shared" si="47"/>
        <v>24.885522049066143</v>
      </c>
      <c r="G87" s="799">
        <f t="shared" si="38"/>
        <v>154.29023670421009</v>
      </c>
      <c r="H87" s="800">
        <v>3.3</v>
      </c>
      <c r="I87" s="799">
        <f>30000-M87</f>
        <v>25616.808000000001</v>
      </c>
      <c r="J87" s="799">
        <f t="shared" si="49"/>
        <v>4131.7432258064518</v>
      </c>
      <c r="K87" s="799">
        <f t="shared" si="50"/>
        <v>4131.7432258064518</v>
      </c>
      <c r="L87" s="799">
        <f t="shared" si="51"/>
        <v>25616.808000000001</v>
      </c>
      <c r="M87" s="799">
        <f t="shared" si="52"/>
        <v>4383.192</v>
      </c>
      <c r="N87" s="774">
        <f t="shared" si="53"/>
        <v>5.1430078901403364</v>
      </c>
      <c r="O87" s="799">
        <f t="shared" si="57"/>
        <v>30000</v>
      </c>
      <c r="P87" s="799">
        <f t="shared" si="43"/>
        <v>547.899</v>
      </c>
      <c r="Q87" s="799">
        <f t="shared" si="54"/>
        <v>4679.6422258064522</v>
      </c>
      <c r="R87" s="824" t="s">
        <v>167</v>
      </c>
      <c r="S87" s="829">
        <v>12</v>
      </c>
      <c r="T87" s="820">
        <v>41486</v>
      </c>
      <c r="U87" s="827">
        <v>41850</v>
      </c>
    </row>
    <row r="88" spans="1:253" s="746" customFormat="1" ht="14.25" customHeight="1">
      <c r="A88" s="797" t="s">
        <v>231</v>
      </c>
      <c r="B88" s="798">
        <v>1803</v>
      </c>
      <c r="C88" s="799">
        <v>191.68</v>
      </c>
      <c r="D88" s="799">
        <f t="shared" si="45"/>
        <v>24.351445958317623</v>
      </c>
      <c r="E88" s="799">
        <f t="shared" si="46"/>
        <v>150.97896494156927</v>
      </c>
      <c r="F88" s="799">
        <f t="shared" si="47"/>
        <v>24.351445958317623</v>
      </c>
      <c r="G88" s="799">
        <f t="shared" si="38"/>
        <v>150.97896494156927</v>
      </c>
      <c r="H88" s="800">
        <v>3.3</v>
      </c>
      <c r="I88" s="799">
        <f>34000-M88</f>
        <v>28939.648000000001</v>
      </c>
      <c r="J88" s="799">
        <f t="shared" si="49"/>
        <v>4667.6851612903229</v>
      </c>
      <c r="K88" s="799">
        <f t="shared" si="50"/>
        <v>4667.6851612903229</v>
      </c>
      <c r="L88" s="799">
        <f t="shared" si="51"/>
        <v>28939.648000000001</v>
      </c>
      <c r="M88" s="799">
        <f t="shared" si="52"/>
        <v>5060.3519999999999</v>
      </c>
      <c r="N88" s="774">
        <f t="shared" si="53"/>
        <v>5.0326321647189758</v>
      </c>
      <c r="O88" s="799">
        <f t="shared" si="57"/>
        <v>34000</v>
      </c>
      <c r="P88" s="799">
        <f t="shared" si="43"/>
        <v>632.54399999999998</v>
      </c>
      <c r="Q88" s="799">
        <f t="shared" si="54"/>
        <v>5300.2291612903227</v>
      </c>
      <c r="R88" s="818" t="s">
        <v>167</v>
      </c>
      <c r="S88" s="819">
        <v>12</v>
      </c>
      <c r="T88" s="820">
        <v>41469</v>
      </c>
      <c r="U88" s="821">
        <v>41833</v>
      </c>
    </row>
    <row r="89" spans="1:253" s="747" customFormat="1" ht="12.75" customHeight="1">
      <c r="A89" s="803" t="s">
        <v>165</v>
      </c>
      <c r="B89" s="801">
        <v>1802</v>
      </c>
      <c r="C89" s="795">
        <v>166.03</v>
      </c>
      <c r="D89" s="795">
        <f t="shared" si="45"/>
        <v>25.371248491819394</v>
      </c>
      <c r="E89" s="795">
        <f t="shared" si="46"/>
        <v>157.30174064928025</v>
      </c>
      <c r="F89" s="795">
        <f t="shared" si="47"/>
        <v>25.371248491819394</v>
      </c>
      <c r="G89" s="795">
        <f t="shared" si="38"/>
        <v>157.30174064928022</v>
      </c>
      <c r="H89" s="796">
        <v>3.3</v>
      </c>
      <c r="I89" s="795">
        <f>30500-M89</f>
        <v>26116.808000000001</v>
      </c>
      <c r="J89" s="795">
        <f t="shared" si="49"/>
        <v>4212.3883870967738</v>
      </c>
      <c r="K89" s="795">
        <f t="shared" si="50"/>
        <v>4212.3883870967738</v>
      </c>
      <c r="L89" s="795">
        <f t="shared" si="51"/>
        <v>26116.807999999997</v>
      </c>
      <c r="M89" s="795">
        <f t="shared" si="52"/>
        <v>4383.192</v>
      </c>
      <c r="N89" s="774">
        <f t="shared" si="53"/>
        <v>5.2433913549760076</v>
      </c>
      <c r="O89" s="795">
        <f t="shared" si="57"/>
        <v>30499.999999999996</v>
      </c>
      <c r="P89" s="795">
        <f t="shared" si="43"/>
        <v>547.899</v>
      </c>
      <c r="Q89" s="795">
        <f t="shared" si="54"/>
        <v>4760.2873870967742</v>
      </c>
      <c r="R89" s="828" t="s">
        <v>158</v>
      </c>
      <c r="S89" s="815">
        <v>12</v>
      </c>
      <c r="T89" s="816">
        <v>41486</v>
      </c>
      <c r="U89" s="823">
        <v>41850</v>
      </c>
    </row>
    <row r="90" spans="1:253" s="747" customFormat="1" ht="16.5" customHeight="1">
      <c r="A90" s="803" t="s">
        <v>232</v>
      </c>
      <c r="B90" s="794">
        <v>1204</v>
      </c>
      <c r="C90" s="795">
        <v>191.65</v>
      </c>
      <c r="D90" s="795">
        <f t="shared" si="45"/>
        <v>20.989572725819073</v>
      </c>
      <c r="E90" s="795">
        <f t="shared" si="46"/>
        <v>130.13535090007827</v>
      </c>
      <c r="F90" s="795">
        <f>K90/C90</f>
        <v>20.989572725819077</v>
      </c>
      <c r="G90" s="795">
        <f t="shared" si="38"/>
        <v>130.13535090007827</v>
      </c>
      <c r="H90" s="796">
        <v>3.3</v>
      </c>
      <c r="I90" s="795">
        <f>30000-M90</f>
        <v>24940.440000000002</v>
      </c>
      <c r="J90" s="795">
        <f t="shared" si="49"/>
        <v>4022.6516129032261</v>
      </c>
      <c r="K90" s="795">
        <f t="shared" si="50"/>
        <v>4022.6516129032261</v>
      </c>
      <c r="L90" s="795">
        <f t="shared" si="51"/>
        <v>24940.440000000002</v>
      </c>
      <c r="M90" s="795">
        <f t="shared" si="52"/>
        <v>5059.5599999999995</v>
      </c>
      <c r="N90" s="774">
        <f t="shared" si="53"/>
        <v>4.337845030002609</v>
      </c>
      <c r="O90" s="795">
        <f>SUM(I90,M90)</f>
        <v>30000</v>
      </c>
      <c r="P90" s="795">
        <f t="shared" si="43"/>
        <v>632.44499999999994</v>
      </c>
      <c r="Q90" s="795">
        <f t="shared" si="54"/>
        <v>4655.0966129032258</v>
      </c>
      <c r="R90" s="776" t="s">
        <v>158</v>
      </c>
      <c r="S90" s="815" t="s">
        <v>163</v>
      </c>
      <c r="T90" s="822">
        <v>41470</v>
      </c>
      <c r="U90" s="823">
        <v>41834</v>
      </c>
    </row>
    <row r="91" spans="1:253" s="749" customFormat="1" ht="21" customHeight="1">
      <c r="A91" s="793" t="s">
        <v>233</v>
      </c>
      <c r="B91" s="801">
        <v>1107</v>
      </c>
      <c r="C91" s="795">
        <v>75.180000000000007</v>
      </c>
      <c r="D91" s="795">
        <f t="shared" si="45"/>
        <v>36.504320812844867</v>
      </c>
      <c r="E91" s="795">
        <f t="shared" si="46"/>
        <v>226.32678903963819</v>
      </c>
      <c r="F91" s="795">
        <f t="shared" ref="F91:F96" si="58">D91</f>
        <v>36.504320812844867</v>
      </c>
      <c r="G91" s="795">
        <f t="shared" si="38"/>
        <v>226.32678903963819</v>
      </c>
      <c r="H91" s="796">
        <v>3.3</v>
      </c>
      <c r="I91" s="795">
        <f>19000-M91</f>
        <v>17015.248</v>
      </c>
      <c r="J91" s="795">
        <f t="shared" si="49"/>
        <v>2744.3948387096771</v>
      </c>
      <c r="K91" s="795">
        <f t="shared" si="50"/>
        <v>2744.3948387096771</v>
      </c>
      <c r="L91" s="795">
        <f t="shared" si="51"/>
        <v>17015.248</v>
      </c>
      <c r="M91" s="795">
        <f t="shared" si="52"/>
        <v>1984.7520000000002</v>
      </c>
      <c r="N91" s="774">
        <f t="shared" si="53"/>
        <v>7.5442263013212729</v>
      </c>
      <c r="O91" s="795">
        <f t="shared" ref="O91:O96" si="59">SUM(L91,M91)</f>
        <v>19000</v>
      </c>
      <c r="P91" s="795">
        <f t="shared" si="43"/>
        <v>248.09400000000002</v>
      </c>
      <c r="Q91" s="795">
        <v>40179</v>
      </c>
      <c r="R91" s="776" t="s">
        <v>158</v>
      </c>
      <c r="S91" s="815" t="s">
        <v>163</v>
      </c>
      <c r="T91" s="816">
        <v>41466</v>
      </c>
      <c r="U91" s="823">
        <v>41830</v>
      </c>
      <c r="V91" s="747"/>
      <c r="W91" s="747"/>
      <c r="X91" s="747"/>
      <c r="Y91" s="747"/>
      <c r="Z91" s="747"/>
      <c r="AA91" s="747"/>
      <c r="AB91" s="747"/>
      <c r="AC91" s="747"/>
      <c r="AD91" s="747"/>
      <c r="AE91" s="747"/>
      <c r="AF91" s="747"/>
      <c r="AG91" s="747"/>
      <c r="AH91" s="747"/>
      <c r="AI91" s="747"/>
      <c r="AJ91" s="747"/>
      <c r="AK91" s="747"/>
      <c r="AL91" s="747"/>
      <c r="AM91" s="747"/>
      <c r="AN91" s="747"/>
      <c r="AO91" s="747"/>
      <c r="AP91" s="747"/>
      <c r="AQ91" s="747"/>
      <c r="AR91" s="747"/>
      <c r="AS91" s="747"/>
      <c r="AT91" s="747"/>
      <c r="AU91" s="747"/>
      <c r="AV91" s="747"/>
      <c r="AW91" s="747"/>
      <c r="AX91" s="747"/>
      <c r="AY91" s="747"/>
      <c r="AZ91" s="747"/>
      <c r="BA91" s="747"/>
      <c r="BB91" s="747"/>
      <c r="BC91" s="747"/>
      <c r="BD91" s="747"/>
      <c r="BE91" s="747"/>
      <c r="BF91" s="747"/>
      <c r="BG91" s="747"/>
      <c r="BH91" s="747"/>
      <c r="BI91" s="747"/>
      <c r="BJ91" s="747"/>
      <c r="BK91" s="747"/>
      <c r="BL91" s="747"/>
      <c r="BM91" s="747"/>
      <c r="BN91" s="747"/>
      <c r="BO91" s="747"/>
      <c r="BP91" s="747"/>
      <c r="BQ91" s="747"/>
      <c r="BR91" s="747"/>
      <c r="BS91" s="747"/>
      <c r="BT91" s="747"/>
      <c r="BU91" s="747"/>
      <c r="BV91" s="747"/>
      <c r="BW91" s="747"/>
      <c r="BX91" s="747"/>
      <c r="BY91" s="747"/>
      <c r="BZ91" s="747"/>
      <c r="CA91" s="747"/>
      <c r="CB91" s="747"/>
      <c r="CC91" s="747"/>
      <c r="CD91" s="747"/>
      <c r="CE91" s="747"/>
      <c r="CF91" s="747"/>
      <c r="CG91" s="747"/>
      <c r="CH91" s="747"/>
      <c r="CI91" s="747"/>
      <c r="CJ91" s="747"/>
      <c r="CK91" s="747"/>
      <c r="CL91" s="747"/>
      <c r="CM91" s="747"/>
      <c r="CN91" s="747"/>
      <c r="CO91" s="747"/>
      <c r="CP91" s="747"/>
      <c r="CQ91" s="747"/>
      <c r="CR91" s="747"/>
      <c r="CS91" s="747"/>
      <c r="CT91" s="747"/>
      <c r="CU91" s="747"/>
      <c r="CV91" s="747"/>
      <c r="CW91" s="747"/>
      <c r="CX91" s="747"/>
      <c r="CY91" s="747"/>
      <c r="CZ91" s="747"/>
      <c r="DA91" s="747"/>
      <c r="DB91" s="747"/>
      <c r="DC91" s="747"/>
      <c r="DD91" s="747"/>
      <c r="DE91" s="747"/>
      <c r="DF91" s="747"/>
      <c r="DG91" s="747"/>
      <c r="DH91" s="747"/>
      <c r="DI91" s="747"/>
      <c r="DJ91" s="747"/>
      <c r="DK91" s="747"/>
      <c r="DL91" s="747"/>
      <c r="DM91" s="747"/>
      <c r="DN91" s="747"/>
      <c r="DO91" s="747"/>
      <c r="DP91" s="747"/>
      <c r="DQ91" s="747"/>
      <c r="DR91" s="747"/>
      <c r="DS91" s="747"/>
      <c r="DT91" s="747"/>
      <c r="DU91" s="747"/>
      <c r="DV91" s="747"/>
      <c r="DW91" s="747"/>
      <c r="DX91" s="747"/>
      <c r="DY91" s="747"/>
      <c r="DZ91" s="747"/>
      <c r="EA91" s="747"/>
      <c r="EB91" s="747"/>
      <c r="EC91" s="747"/>
      <c r="ED91" s="747"/>
      <c r="EE91" s="747"/>
      <c r="EF91" s="747"/>
      <c r="EG91" s="747"/>
      <c r="EH91" s="747"/>
      <c r="EI91" s="747"/>
      <c r="EJ91" s="747"/>
      <c r="EK91" s="747"/>
      <c r="EL91" s="747"/>
      <c r="EM91" s="747"/>
      <c r="EN91" s="747"/>
      <c r="EO91" s="747"/>
      <c r="EP91" s="747"/>
      <c r="EQ91" s="747"/>
      <c r="ER91" s="747"/>
      <c r="ES91" s="747"/>
      <c r="ET91" s="747"/>
      <c r="EU91" s="747"/>
      <c r="EV91" s="747"/>
      <c r="EW91" s="747"/>
      <c r="EX91" s="747"/>
      <c r="EY91" s="747"/>
      <c r="EZ91" s="747"/>
      <c r="FA91" s="747"/>
      <c r="FB91" s="747"/>
      <c r="FC91" s="747"/>
      <c r="FD91" s="747"/>
      <c r="FE91" s="747"/>
      <c r="FF91" s="747"/>
      <c r="FG91" s="747"/>
      <c r="FH91" s="747"/>
      <c r="FI91" s="747"/>
      <c r="FJ91" s="747"/>
      <c r="FK91" s="747"/>
      <c r="FL91" s="747"/>
      <c r="FM91" s="747"/>
      <c r="FN91" s="747"/>
      <c r="FO91" s="747"/>
      <c r="FP91" s="747"/>
      <c r="FQ91" s="747"/>
      <c r="FR91" s="747"/>
      <c r="FS91" s="747"/>
      <c r="FT91" s="747"/>
      <c r="FU91" s="747"/>
      <c r="FV91" s="747"/>
      <c r="FW91" s="747"/>
      <c r="FX91" s="747"/>
      <c r="FY91" s="747"/>
      <c r="FZ91" s="747"/>
      <c r="GA91" s="747"/>
      <c r="GB91" s="747"/>
      <c r="GC91" s="747"/>
      <c r="GD91" s="747"/>
      <c r="GE91" s="747"/>
      <c r="GF91" s="747"/>
      <c r="GG91" s="747"/>
      <c r="GH91" s="747"/>
      <c r="GI91" s="747"/>
      <c r="GJ91" s="747"/>
      <c r="GK91" s="747"/>
      <c r="GL91" s="747"/>
      <c r="GM91" s="747"/>
      <c r="GN91" s="747"/>
      <c r="GO91" s="747"/>
      <c r="GP91" s="747"/>
      <c r="GQ91" s="747"/>
      <c r="GR91" s="747"/>
      <c r="GS91" s="747"/>
      <c r="GT91" s="747"/>
      <c r="GU91" s="747"/>
      <c r="GV91" s="747"/>
      <c r="GW91" s="747"/>
      <c r="GX91" s="747"/>
      <c r="GY91" s="747"/>
      <c r="GZ91" s="747"/>
      <c r="HA91" s="747"/>
      <c r="HB91" s="747"/>
      <c r="HC91" s="747"/>
      <c r="HD91" s="747"/>
      <c r="HE91" s="747"/>
      <c r="HF91" s="747"/>
      <c r="HG91" s="747"/>
      <c r="HH91" s="747"/>
      <c r="HI91" s="747"/>
      <c r="HJ91" s="747"/>
      <c r="HK91" s="747"/>
      <c r="HL91" s="747"/>
      <c r="HM91" s="747"/>
      <c r="HN91" s="747"/>
      <c r="HO91" s="747"/>
      <c r="HP91" s="747"/>
      <c r="HQ91" s="747"/>
      <c r="HR91" s="747"/>
      <c r="HS91" s="747"/>
      <c r="HT91" s="747"/>
      <c r="HU91" s="747"/>
      <c r="HV91" s="747"/>
      <c r="HW91" s="747"/>
      <c r="HX91" s="747"/>
      <c r="HY91" s="747"/>
      <c r="HZ91" s="747"/>
      <c r="IA91" s="747"/>
      <c r="IB91" s="747"/>
      <c r="IC91" s="747"/>
      <c r="ID91" s="747"/>
      <c r="IE91" s="747"/>
      <c r="IF91" s="747"/>
      <c r="IG91" s="747"/>
      <c r="IH91" s="747"/>
      <c r="II91" s="747"/>
      <c r="IJ91" s="747"/>
      <c r="IK91" s="747"/>
      <c r="IL91" s="747"/>
      <c r="IM91" s="747"/>
      <c r="IN91" s="747"/>
      <c r="IO91" s="747"/>
      <c r="IP91" s="747"/>
      <c r="IQ91" s="747"/>
      <c r="IR91" s="747"/>
      <c r="IS91" s="747"/>
    </row>
    <row r="92" spans="1:253" s="453" customFormat="1" ht="13.5" customHeight="1">
      <c r="A92" s="762" t="s">
        <v>185</v>
      </c>
      <c r="B92" s="763">
        <v>1104</v>
      </c>
      <c r="C92" s="760">
        <v>191.65</v>
      </c>
      <c r="D92" s="760">
        <f t="shared" si="45"/>
        <v>17.202427139526861</v>
      </c>
      <c r="E92" s="760">
        <f t="shared" si="46"/>
        <v>106.65504826506654</v>
      </c>
      <c r="F92" s="760">
        <f t="shared" si="58"/>
        <v>17.202427139526861</v>
      </c>
      <c r="G92" s="760">
        <f t="shared" si="38"/>
        <v>106.65504826506654</v>
      </c>
      <c r="H92" s="761">
        <v>3.3</v>
      </c>
      <c r="I92" s="760">
        <f t="shared" ref="I92:I96" si="60">25500-M92</f>
        <v>20440.440000000002</v>
      </c>
      <c r="J92" s="760">
        <f t="shared" si="49"/>
        <v>3296.8451612903227</v>
      </c>
      <c r="K92" s="760">
        <f t="shared" si="50"/>
        <v>3296.8451612903227</v>
      </c>
      <c r="L92" s="760">
        <f t="shared" si="51"/>
        <v>20440.440000000002</v>
      </c>
      <c r="M92" s="760">
        <f t="shared" si="52"/>
        <v>5059.5599999999995</v>
      </c>
      <c r="N92" s="774">
        <f t="shared" si="53"/>
        <v>3.555168275502218</v>
      </c>
      <c r="O92" s="760">
        <f t="shared" si="59"/>
        <v>25500</v>
      </c>
      <c r="P92" s="760">
        <f t="shared" si="43"/>
        <v>632.44499999999994</v>
      </c>
      <c r="Q92" s="760">
        <f t="shared" ref="Q92:Q96" si="61">J92+P92</f>
        <v>3929.2901612903224</v>
      </c>
      <c r="R92" s="778" t="s">
        <v>158</v>
      </c>
      <c r="S92" s="785" t="s">
        <v>186</v>
      </c>
      <c r="T92" s="786">
        <v>41105</v>
      </c>
      <c r="U92" s="787">
        <v>41834</v>
      </c>
    </row>
    <row r="93" spans="1:253" s="453" customFormat="1" ht="13.5" customHeight="1">
      <c r="A93" s="762" t="s">
        <v>185</v>
      </c>
      <c r="B93" s="763">
        <v>904</v>
      </c>
      <c r="C93" s="760">
        <v>191.65</v>
      </c>
      <c r="D93" s="760">
        <f t="shared" si="45"/>
        <v>17.202427139526861</v>
      </c>
      <c r="E93" s="760">
        <f t="shared" si="46"/>
        <v>106.65504826506654</v>
      </c>
      <c r="F93" s="760">
        <f t="shared" si="58"/>
        <v>17.202427139526861</v>
      </c>
      <c r="G93" s="760">
        <f t="shared" si="38"/>
        <v>106.65504826506654</v>
      </c>
      <c r="H93" s="761">
        <v>3.3</v>
      </c>
      <c r="I93" s="760">
        <f t="shared" si="60"/>
        <v>20440.440000000002</v>
      </c>
      <c r="J93" s="760">
        <f t="shared" si="49"/>
        <v>3296.8451612903227</v>
      </c>
      <c r="K93" s="760">
        <f t="shared" si="50"/>
        <v>3296.8451612903227</v>
      </c>
      <c r="L93" s="760">
        <f t="shared" si="51"/>
        <v>20440.440000000002</v>
      </c>
      <c r="M93" s="775">
        <f t="shared" si="52"/>
        <v>5059.5599999999995</v>
      </c>
      <c r="N93" s="774">
        <f t="shared" si="53"/>
        <v>3.555168275502218</v>
      </c>
      <c r="O93" s="760">
        <f t="shared" si="59"/>
        <v>25500</v>
      </c>
      <c r="P93" s="770">
        <f t="shared" si="43"/>
        <v>632.44499999999994</v>
      </c>
      <c r="Q93" s="760">
        <f t="shared" si="61"/>
        <v>3929.2901612903224</v>
      </c>
      <c r="R93" s="778" t="s">
        <v>158</v>
      </c>
      <c r="S93" s="785" t="s">
        <v>186</v>
      </c>
      <c r="T93" s="786">
        <v>41105</v>
      </c>
      <c r="U93" s="788">
        <v>41834</v>
      </c>
    </row>
    <row r="94" spans="1:253" s="745" customFormat="1" ht="13.5" customHeight="1">
      <c r="A94" s="793" t="s">
        <v>230</v>
      </c>
      <c r="B94" s="794">
        <v>704</v>
      </c>
      <c r="C94" s="795">
        <v>189.08</v>
      </c>
      <c r="D94" s="795">
        <f t="shared" si="45"/>
        <v>20.906228461071265</v>
      </c>
      <c r="E94" s="795">
        <f t="shared" si="46"/>
        <v>129.61861645864184</v>
      </c>
      <c r="F94" s="795">
        <f t="shared" si="58"/>
        <v>20.906228461071265</v>
      </c>
      <c r="G94" s="795">
        <f t="shared" si="38"/>
        <v>129.61861645864184</v>
      </c>
      <c r="H94" s="796">
        <v>3.3</v>
      </c>
      <c r="I94" s="795">
        <f>29500-M94</f>
        <v>24508.288</v>
      </c>
      <c r="J94" s="795">
        <f t="shared" si="49"/>
        <v>3952.9496774193549</v>
      </c>
      <c r="K94" s="795">
        <f t="shared" si="50"/>
        <v>3952.9496774193549</v>
      </c>
      <c r="L94" s="795">
        <f t="shared" si="51"/>
        <v>24508.288</v>
      </c>
      <c r="M94" s="795">
        <f t="shared" si="52"/>
        <v>4991.7120000000004</v>
      </c>
      <c r="N94" s="774">
        <f t="shared" si="53"/>
        <v>4.3206205486213944</v>
      </c>
      <c r="O94" s="795">
        <f t="shared" si="59"/>
        <v>29500</v>
      </c>
      <c r="P94" s="795">
        <f t="shared" si="43"/>
        <v>623.96400000000006</v>
      </c>
      <c r="Q94" s="795">
        <f t="shared" si="61"/>
        <v>4576.9136774193548</v>
      </c>
      <c r="R94" s="828" t="s">
        <v>158</v>
      </c>
      <c r="S94" s="815" t="s">
        <v>163</v>
      </c>
      <c r="T94" s="816">
        <v>41471</v>
      </c>
      <c r="U94" s="817">
        <v>41835</v>
      </c>
    </row>
    <row r="95" spans="1:253" s="745" customFormat="1" ht="13.5" customHeight="1">
      <c r="A95" s="793" t="s">
        <v>234</v>
      </c>
      <c r="B95" s="794">
        <v>606</v>
      </c>
      <c r="C95" s="795">
        <v>86.79</v>
      </c>
      <c r="D95" s="795">
        <f t="shared" si="45"/>
        <v>29.193091221301696</v>
      </c>
      <c r="E95" s="795">
        <f t="shared" si="46"/>
        <v>180.99716557207051</v>
      </c>
      <c r="F95" s="795">
        <f t="shared" si="58"/>
        <v>29.193091221301696</v>
      </c>
      <c r="G95" s="795">
        <f t="shared" si="38"/>
        <v>180.99716557207049</v>
      </c>
      <c r="H95" s="796">
        <v>3.3</v>
      </c>
      <c r="I95" s="795">
        <f>18000-M95</f>
        <v>15708.744000000001</v>
      </c>
      <c r="J95" s="795">
        <f t="shared" si="49"/>
        <v>2533.668387096774</v>
      </c>
      <c r="K95" s="795">
        <f t="shared" si="50"/>
        <v>2533.668387096774</v>
      </c>
      <c r="L95" s="795">
        <f t="shared" si="51"/>
        <v>15708.743999999999</v>
      </c>
      <c r="M95" s="795">
        <f t="shared" si="52"/>
        <v>2291.2559999999999</v>
      </c>
      <c r="N95" s="774">
        <f t="shared" si="53"/>
        <v>6.0332388524023495</v>
      </c>
      <c r="O95" s="795">
        <f t="shared" si="59"/>
        <v>18000</v>
      </c>
      <c r="P95" s="795">
        <f t="shared" si="43"/>
        <v>286.40699999999998</v>
      </c>
      <c r="Q95" s="795">
        <f t="shared" si="61"/>
        <v>2820.0753870967742</v>
      </c>
      <c r="R95" s="776" t="s">
        <v>158</v>
      </c>
      <c r="S95" s="815" t="s">
        <v>163</v>
      </c>
      <c r="T95" s="816">
        <v>41467</v>
      </c>
      <c r="U95" s="817">
        <v>41831</v>
      </c>
    </row>
    <row r="96" spans="1:253" s="453" customFormat="1" ht="12.75" customHeight="1">
      <c r="A96" s="762" t="s">
        <v>185</v>
      </c>
      <c r="B96" s="763">
        <v>604</v>
      </c>
      <c r="C96" s="760">
        <v>189.08</v>
      </c>
      <c r="D96" s="760">
        <f t="shared" si="45"/>
        <v>17.49412093873902</v>
      </c>
      <c r="E96" s="760">
        <f t="shared" si="46"/>
        <v>108.46354982018192</v>
      </c>
      <c r="F96" s="760">
        <f t="shared" si="58"/>
        <v>17.49412093873902</v>
      </c>
      <c r="G96" s="760">
        <f t="shared" si="38"/>
        <v>108.46354982018192</v>
      </c>
      <c r="H96" s="761">
        <v>3.3</v>
      </c>
      <c r="I96" s="760">
        <f t="shared" si="60"/>
        <v>20508.288</v>
      </c>
      <c r="J96" s="760">
        <f t="shared" si="49"/>
        <v>3307.7883870967744</v>
      </c>
      <c r="K96" s="760">
        <f t="shared" si="50"/>
        <v>3307.7883870967744</v>
      </c>
      <c r="L96" s="760">
        <f t="shared" si="51"/>
        <v>20508.288</v>
      </c>
      <c r="M96" s="760">
        <f t="shared" si="52"/>
        <v>4991.7120000000004</v>
      </c>
      <c r="N96" s="774">
        <f t="shared" si="53"/>
        <v>3.6154516606727309</v>
      </c>
      <c r="O96" s="760">
        <f t="shared" si="59"/>
        <v>25500</v>
      </c>
      <c r="P96" s="760">
        <f t="shared" si="43"/>
        <v>623.96400000000006</v>
      </c>
      <c r="Q96" s="760">
        <f t="shared" si="61"/>
        <v>3931.7523870967743</v>
      </c>
      <c r="R96" s="778" t="s">
        <v>158</v>
      </c>
      <c r="S96" s="785">
        <v>24</v>
      </c>
      <c r="T96" s="786">
        <v>41105</v>
      </c>
      <c r="U96" s="790">
        <v>41834</v>
      </c>
    </row>
    <row r="97" spans="1:21" s="750" customFormat="1" ht="18" customHeight="1">
      <c r="A97" s="804"/>
      <c r="B97" s="805"/>
      <c r="C97" s="806">
        <f>SUM(C4:C96)</f>
        <v>14914.640000000009</v>
      </c>
      <c r="D97" s="806"/>
      <c r="E97" s="806"/>
      <c r="F97" s="806"/>
      <c r="G97" s="806"/>
      <c r="H97" s="807"/>
      <c r="I97" s="814"/>
      <c r="J97" s="814"/>
      <c r="K97" s="814"/>
      <c r="L97" s="814">
        <f>SUM(L4:M96)</f>
        <v>2578700</v>
      </c>
      <c r="M97" s="814"/>
      <c r="N97" s="814">
        <f t="shared" si="53"/>
        <v>5.7632411286270822</v>
      </c>
      <c r="O97" s="814"/>
      <c r="P97" s="814"/>
      <c r="Q97" s="814"/>
      <c r="R97" s="830"/>
      <c r="S97" s="831"/>
      <c r="T97" s="832"/>
      <c r="U97" s="833"/>
    </row>
    <row r="98" spans="1:21" s="744" customFormat="1" ht="12.75" customHeight="1">
      <c r="A98" s="758" t="s">
        <v>235</v>
      </c>
      <c r="B98" s="763">
        <v>808</v>
      </c>
      <c r="C98" s="760">
        <v>214.39</v>
      </c>
      <c r="D98" s="760">
        <f>E98/6.2</f>
        <v>19.816240827313504</v>
      </c>
      <c r="E98" s="760">
        <f>I98/C98</f>
        <v>122.86069312934373</v>
      </c>
      <c r="F98" s="760">
        <f>D98</f>
        <v>19.816240827313504</v>
      </c>
      <c r="G98" s="760">
        <f>L98/C98</f>
        <v>122.86069312934373</v>
      </c>
      <c r="H98" s="761">
        <v>3.3</v>
      </c>
      <c r="I98" s="760">
        <f>32000-M98</f>
        <v>26340.103999999999</v>
      </c>
      <c r="J98" s="760">
        <f>I98/6.2</f>
        <v>4248.4038709677416</v>
      </c>
      <c r="K98" s="760">
        <f>J98</f>
        <v>4248.4038709677416</v>
      </c>
      <c r="L98" s="760">
        <f>K98*6.2</f>
        <v>26340.103999999999</v>
      </c>
      <c r="M98" s="775">
        <f>P98*8</f>
        <v>5659.8959999999997</v>
      </c>
      <c r="N98" s="774">
        <f t="shared" si="53"/>
        <v>4.0953564376447913</v>
      </c>
      <c r="O98" s="760">
        <f>SUM(L98,M98)</f>
        <v>32000</v>
      </c>
      <c r="P98" s="770">
        <f>H98*C98</f>
        <v>707.48699999999997</v>
      </c>
      <c r="Q98" s="760">
        <f>J98+P98</f>
        <v>4955.8908709677416</v>
      </c>
      <c r="R98" s="778" t="s">
        <v>167</v>
      </c>
      <c r="S98" s="785">
        <v>24</v>
      </c>
      <c r="T98" s="786">
        <v>41306</v>
      </c>
      <c r="U98" s="784">
        <v>42035</v>
      </c>
    </row>
    <row r="99" spans="1:21" s="453" customFormat="1" ht="13.5" customHeight="1">
      <c r="A99" s="762" t="s">
        <v>185</v>
      </c>
      <c r="B99" s="763">
        <v>1605</v>
      </c>
      <c r="C99" s="760">
        <v>166.03</v>
      </c>
      <c r="D99" s="760">
        <f>E99/6.2</f>
        <v>20.99971050704012</v>
      </c>
      <c r="E99" s="760">
        <f>I99/C99</f>
        <v>130.19820514364875</v>
      </c>
      <c r="F99" s="760">
        <f>D99</f>
        <v>20.99971050704012</v>
      </c>
      <c r="G99" s="760">
        <f>L99/C99</f>
        <v>130.19820514364875</v>
      </c>
      <c r="H99" s="761">
        <v>3.3</v>
      </c>
      <c r="I99" s="760">
        <f>26000-M99</f>
        <v>21616.808000000001</v>
      </c>
      <c r="J99" s="760">
        <f>I99/6.2</f>
        <v>3486.5819354838709</v>
      </c>
      <c r="K99" s="760">
        <f>J99</f>
        <v>3486.5819354838709</v>
      </c>
      <c r="L99" s="760">
        <f>K99*6.2</f>
        <v>21616.808000000001</v>
      </c>
      <c r="M99" s="760">
        <f>P99*8</f>
        <v>4383.192</v>
      </c>
      <c r="N99" s="774">
        <f t="shared" si="53"/>
        <v>4.3399401714549581</v>
      </c>
      <c r="O99" s="760">
        <f>SUM(L99,M99)</f>
        <v>26000</v>
      </c>
      <c r="P99" s="760">
        <f>C99*H99</f>
        <v>547.899</v>
      </c>
      <c r="Q99" s="760">
        <f>J99+P99</f>
        <v>4034.4809354838708</v>
      </c>
      <c r="R99" s="778" t="s">
        <v>158</v>
      </c>
      <c r="S99" s="785">
        <v>24</v>
      </c>
      <c r="T99" s="786">
        <v>41334</v>
      </c>
      <c r="U99" s="787">
        <v>42063</v>
      </c>
    </row>
    <row r="100" spans="1:21" s="751" customFormat="1" ht="14.25" customHeight="1">
      <c r="A100" s="808" t="s">
        <v>236</v>
      </c>
      <c r="B100" s="809"/>
      <c r="C100" s="810">
        <f>SUM(C98:C99)</f>
        <v>380.41999999999996</v>
      </c>
      <c r="D100" s="811"/>
      <c r="E100" s="811"/>
      <c r="F100" s="811"/>
      <c r="G100" s="811"/>
      <c r="H100" s="811"/>
      <c r="I100" s="810"/>
      <c r="J100" s="810"/>
      <c r="K100" s="810"/>
      <c r="L100" s="810">
        <f>SUM(L98:L99)</f>
        <v>47956.911999999997</v>
      </c>
      <c r="M100" s="810">
        <f>SUM(M10:M96)</f>
        <v>370582.60800000001</v>
      </c>
      <c r="N100" s="814">
        <f t="shared" si="53"/>
        <v>4.2021022378774333</v>
      </c>
      <c r="O100" s="810"/>
      <c r="P100" s="810"/>
      <c r="Q100" s="810"/>
      <c r="R100" s="834"/>
      <c r="S100" s="835"/>
      <c r="T100" s="836"/>
      <c r="U100" s="837"/>
    </row>
    <row r="101" spans="1:21" s="456" customFormat="1">
      <c r="A101" s="584"/>
      <c r="B101" s="766"/>
      <c r="D101" s="812"/>
      <c r="E101" s="812"/>
      <c r="N101" s="555"/>
    </row>
    <row r="102" spans="1:21" s="456" customFormat="1">
      <c r="A102" s="584"/>
      <c r="B102" s="766"/>
      <c r="D102" s="812"/>
      <c r="E102" s="812"/>
      <c r="N102" s="555"/>
    </row>
    <row r="103" spans="1:21" s="456" customFormat="1">
      <c r="A103" s="584"/>
      <c r="B103" s="766"/>
      <c r="D103" s="812"/>
      <c r="E103" s="812"/>
      <c r="N103" s="555"/>
    </row>
    <row r="104" spans="1:21" s="456" customFormat="1">
      <c r="A104" s="584"/>
      <c r="B104" s="766"/>
      <c r="D104" s="812"/>
      <c r="E104" s="812"/>
      <c r="N104" s="555"/>
    </row>
    <row r="105" spans="1:21" s="456" customFormat="1">
      <c r="A105" s="584"/>
      <c r="B105" s="766"/>
      <c r="D105" s="812"/>
      <c r="E105" s="812"/>
      <c r="N105" s="555"/>
    </row>
    <row r="106" spans="1:21" s="456" customFormat="1">
      <c r="A106" s="584"/>
      <c r="B106" s="766"/>
      <c r="D106" s="812"/>
      <c r="E106" s="812"/>
      <c r="N106" s="555"/>
    </row>
    <row r="107" spans="1:21" s="456" customFormat="1">
      <c r="A107" s="584"/>
      <c r="B107" s="766"/>
      <c r="D107" s="812"/>
      <c r="E107" s="812"/>
      <c r="N107" s="555"/>
    </row>
    <row r="108" spans="1:21" s="456" customFormat="1">
      <c r="A108" s="584"/>
      <c r="B108" s="766"/>
      <c r="D108" s="812"/>
      <c r="E108" s="812"/>
      <c r="N108" s="555"/>
    </row>
    <row r="109" spans="1:21" s="456" customFormat="1">
      <c r="A109" s="584"/>
      <c r="B109" s="766"/>
      <c r="D109" s="812"/>
      <c r="E109" s="812"/>
      <c r="N109" s="555"/>
    </row>
    <row r="110" spans="1:21" s="456" customFormat="1">
      <c r="A110" s="584"/>
      <c r="B110" s="766"/>
      <c r="D110" s="812"/>
      <c r="E110" s="812"/>
      <c r="N110" s="555"/>
    </row>
    <row r="111" spans="1:21" s="456" customFormat="1">
      <c r="A111" s="584"/>
      <c r="B111" s="766"/>
      <c r="D111" s="812"/>
      <c r="E111" s="812"/>
      <c r="N111" s="555"/>
    </row>
    <row r="112" spans="1:21" s="456" customFormat="1">
      <c r="A112" s="584"/>
      <c r="B112" s="766"/>
      <c r="D112" s="812"/>
      <c r="E112" s="812"/>
      <c r="N112" s="555"/>
    </row>
    <row r="113" spans="1:14" s="456" customFormat="1">
      <c r="A113" s="584"/>
      <c r="B113" s="766"/>
      <c r="D113" s="812"/>
      <c r="E113" s="812"/>
      <c r="N113" s="555"/>
    </row>
    <row r="114" spans="1:14" s="456" customFormat="1">
      <c r="A114" s="584"/>
      <c r="B114" s="766"/>
      <c r="D114" s="812"/>
      <c r="E114" s="812"/>
      <c r="N114" s="555"/>
    </row>
    <row r="115" spans="1:14" s="456" customFormat="1">
      <c r="A115" s="584"/>
      <c r="B115" s="766"/>
      <c r="D115" s="812"/>
      <c r="E115" s="812"/>
      <c r="N115" s="555"/>
    </row>
    <row r="116" spans="1:14" s="456" customFormat="1">
      <c r="A116" s="584"/>
      <c r="B116" s="766"/>
      <c r="D116" s="812"/>
      <c r="E116" s="812"/>
      <c r="N116" s="555"/>
    </row>
    <row r="117" spans="1:14" s="456" customFormat="1">
      <c r="A117" s="584"/>
      <c r="B117" s="766"/>
      <c r="D117" s="812"/>
      <c r="E117" s="812"/>
      <c r="N117" s="555"/>
    </row>
    <row r="118" spans="1:14" s="456" customFormat="1">
      <c r="A118" s="584"/>
      <c r="B118" s="766"/>
      <c r="D118" s="812"/>
      <c r="E118" s="812"/>
      <c r="N118" s="555"/>
    </row>
    <row r="119" spans="1:14" s="456" customFormat="1">
      <c r="A119" s="584"/>
      <c r="B119" s="766"/>
      <c r="D119" s="812"/>
      <c r="E119" s="812"/>
      <c r="N119" s="555"/>
    </row>
    <row r="120" spans="1:14" s="456" customFormat="1">
      <c r="A120" s="584"/>
      <c r="B120" s="766"/>
      <c r="D120" s="812"/>
      <c r="E120" s="812"/>
      <c r="N120" s="555"/>
    </row>
    <row r="121" spans="1:14" s="456" customFormat="1">
      <c r="A121" s="584"/>
      <c r="B121" s="766"/>
      <c r="D121" s="812"/>
      <c r="E121" s="812"/>
      <c r="N121" s="555"/>
    </row>
    <row r="122" spans="1:14" s="456" customFormat="1">
      <c r="A122" s="584"/>
      <c r="B122" s="766"/>
      <c r="D122" s="812"/>
      <c r="E122" s="812"/>
      <c r="N122" s="555"/>
    </row>
    <row r="123" spans="1:14" s="456" customFormat="1">
      <c r="A123" s="584"/>
      <c r="B123" s="766"/>
      <c r="D123" s="812"/>
      <c r="E123" s="812"/>
      <c r="N123" s="555"/>
    </row>
    <row r="124" spans="1:14" s="456" customFormat="1">
      <c r="A124" s="584"/>
      <c r="B124" s="766"/>
      <c r="D124" s="812"/>
      <c r="E124" s="812"/>
      <c r="N124" s="555"/>
    </row>
    <row r="125" spans="1:14" s="456" customFormat="1">
      <c r="A125" s="584"/>
      <c r="B125" s="766"/>
      <c r="D125" s="812"/>
      <c r="E125" s="812"/>
      <c r="N125" s="555"/>
    </row>
    <row r="126" spans="1:14" s="456" customFormat="1">
      <c r="A126" s="584"/>
      <c r="B126" s="766"/>
      <c r="D126" s="812"/>
      <c r="E126" s="812"/>
      <c r="N126" s="555"/>
    </row>
    <row r="127" spans="1:14" s="456" customFormat="1">
      <c r="A127" s="584"/>
      <c r="B127" s="766"/>
      <c r="D127" s="812"/>
      <c r="E127" s="812"/>
      <c r="N127" s="555"/>
    </row>
    <row r="128" spans="1:14" s="456" customFormat="1">
      <c r="A128" s="584"/>
      <c r="B128" s="766"/>
      <c r="D128" s="812"/>
      <c r="E128" s="812"/>
      <c r="N128" s="555"/>
    </row>
  </sheetData>
  <mergeCells count="16">
    <mergeCell ref="R1:R2"/>
    <mergeCell ref="T1:U1"/>
    <mergeCell ref="C1:C2"/>
    <mergeCell ref="D1:D2"/>
    <mergeCell ref="E1:E2"/>
    <mergeCell ref="F1:F2"/>
    <mergeCell ref="G1:G2"/>
    <mergeCell ref="H1:H2"/>
    <mergeCell ref="I1:I2"/>
    <mergeCell ref="J1:J2"/>
    <mergeCell ref="K1:K2"/>
    <mergeCell ref="L1:L2"/>
    <mergeCell ref="M1:M2"/>
    <mergeCell ref="O1:O2"/>
    <mergeCell ref="P1:P2"/>
    <mergeCell ref="Q1:Q2"/>
  </mergeCells>
  <phoneticPr fontId="97" type="noConversion"/>
  <pageMargins left="0.69861111111111107" right="0.69861111111111107" top="0.75" bottom="0.75" header="0.3" footer="0.3"/>
  <pageSetup paperSize="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1"/>
  </sheetPr>
  <dimension ref="A1:Y50"/>
  <sheetViews>
    <sheetView view="pageBreakPreview" topLeftCell="A19" workbookViewId="0">
      <selection activeCell="N28" sqref="N28"/>
    </sheetView>
  </sheetViews>
  <sheetFormatPr defaultColWidth="9" defaultRowHeight="13.5"/>
  <cols>
    <col min="1" max="1" width="7.5" customWidth="1"/>
  </cols>
  <sheetData>
    <row r="1" spans="1:25" ht="14.25">
      <c r="A1" s="1009" t="s">
        <v>237</v>
      </c>
      <c r="B1" s="1010"/>
      <c r="C1" s="1010"/>
      <c r="D1" s="1010"/>
      <c r="E1" s="1010"/>
      <c r="F1" s="1010"/>
      <c r="G1" s="1010"/>
      <c r="H1" s="1010"/>
      <c r="I1" s="1010"/>
      <c r="J1" s="1010"/>
      <c r="K1" s="1010"/>
      <c r="L1" s="1010"/>
      <c r="M1" s="1010"/>
      <c r="N1" s="1010"/>
      <c r="O1" s="1010"/>
      <c r="P1" s="1010"/>
      <c r="Q1" s="1010"/>
      <c r="R1" s="1010"/>
      <c r="S1" s="1010"/>
      <c r="T1" s="1010"/>
      <c r="U1" s="1010"/>
      <c r="V1" s="1010"/>
      <c r="W1" s="1010"/>
      <c r="X1" s="1010"/>
      <c r="Y1" s="1011"/>
    </row>
    <row r="2" spans="1:25">
      <c r="A2" s="1012" t="s">
        <v>238</v>
      </c>
      <c r="B2" s="1012"/>
      <c r="C2" s="1012"/>
      <c r="D2" s="1012"/>
      <c r="E2" s="1012"/>
      <c r="F2" s="1012"/>
      <c r="G2" s="1012"/>
      <c r="H2" s="1012"/>
      <c r="I2" s="1012"/>
      <c r="J2" s="1012"/>
      <c r="K2" s="1023"/>
      <c r="L2" s="1012" t="s">
        <v>239</v>
      </c>
      <c r="M2" s="1012"/>
      <c r="N2" s="1012"/>
      <c r="O2" s="1012"/>
      <c r="P2" s="1012"/>
      <c r="Q2" s="1012"/>
      <c r="R2" s="1012"/>
      <c r="S2" s="1012"/>
      <c r="T2" s="1023"/>
      <c r="U2" s="1013" t="s">
        <v>240</v>
      </c>
      <c r="V2" s="1012"/>
      <c r="W2" s="1012"/>
      <c r="X2" s="1012"/>
      <c r="Y2" s="1014"/>
    </row>
    <row r="3" spans="1:25">
      <c r="A3" s="1017" t="s">
        <v>241</v>
      </c>
      <c r="B3" s="1018"/>
      <c r="C3" s="1015" t="s">
        <v>242</v>
      </c>
      <c r="D3" s="1016"/>
      <c r="E3" s="1015" t="s">
        <v>243</v>
      </c>
      <c r="F3" s="1016"/>
      <c r="G3" s="1015" t="s">
        <v>244</v>
      </c>
      <c r="H3" s="1016"/>
      <c r="I3" s="1015" t="s">
        <v>245</v>
      </c>
      <c r="J3" s="1016"/>
      <c r="K3" s="1024"/>
      <c r="L3" s="1017" t="s">
        <v>241</v>
      </c>
      <c r="M3" s="1018"/>
      <c r="N3" s="1017" t="str">
        <f t="shared" ref="N3:R3" si="0">E3</f>
        <v>案例A</v>
      </c>
      <c r="O3" s="1018"/>
      <c r="P3" s="1017" t="str">
        <f t="shared" si="0"/>
        <v>案例B</v>
      </c>
      <c r="Q3" s="1018"/>
      <c r="R3" s="1017" t="str">
        <f t="shared" si="0"/>
        <v>案例C</v>
      </c>
      <c r="S3" s="1018"/>
      <c r="T3" s="1024"/>
      <c r="U3" s="1017" t="s">
        <v>241</v>
      </c>
      <c r="V3" s="1018"/>
      <c r="W3" s="1021" t="str">
        <f>N3</f>
        <v>案例A</v>
      </c>
      <c r="X3" s="1021" t="str">
        <f>P3</f>
        <v>案例B</v>
      </c>
      <c r="Y3" s="1021" t="str">
        <f>R3</f>
        <v>案例C</v>
      </c>
    </row>
    <row r="4" spans="1:25">
      <c r="A4" s="1019"/>
      <c r="B4" s="1020"/>
      <c r="C4" s="1015" t="s">
        <v>246</v>
      </c>
      <c r="D4" s="1016"/>
      <c r="E4" s="1015" t="s">
        <v>247</v>
      </c>
      <c r="F4" s="1016"/>
      <c r="G4" s="1015" t="s">
        <v>248</v>
      </c>
      <c r="H4" s="1016"/>
      <c r="I4" s="1015" t="s">
        <v>249</v>
      </c>
      <c r="J4" s="1016"/>
      <c r="K4" s="1024"/>
      <c r="L4" s="1019"/>
      <c r="M4" s="1020"/>
      <c r="N4" s="1029"/>
      <c r="O4" s="1030"/>
      <c r="P4" s="1019"/>
      <c r="Q4" s="1020"/>
      <c r="R4" s="1019"/>
      <c r="S4" s="1020"/>
      <c r="T4" s="1024"/>
      <c r="U4" s="1019"/>
      <c r="V4" s="1020"/>
      <c r="W4" s="1022"/>
      <c r="X4" s="1022"/>
      <c r="Y4" s="1022"/>
    </row>
    <row r="5" spans="1:25">
      <c r="A5" s="1007" t="s">
        <v>250</v>
      </c>
      <c r="B5" s="1036"/>
      <c r="C5" s="116" t="s">
        <v>251</v>
      </c>
      <c r="D5" s="117">
        <v>100</v>
      </c>
      <c r="E5" s="116" t="s">
        <v>251</v>
      </c>
      <c r="F5" s="117">
        <v>100</v>
      </c>
      <c r="G5" s="116" t="s">
        <v>251</v>
      </c>
      <c r="H5" s="117">
        <v>100</v>
      </c>
      <c r="I5" s="116" t="s">
        <v>251</v>
      </c>
      <c r="J5" s="117">
        <v>100</v>
      </c>
      <c r="K5" s="1024"/>
      <c r="L5" s="1007" t="str">
        <f t="shared" ref="L5:L7" si="1">A5</f>
        <v>交易时间</v>
      </c>
      <c r="M5" s="1008"/>
      <c r="N5" s="135" t="s">
        <v>252</v>
      </c>
      <c r="O5" s="136">
        <f t="shared" ref="O5:S5" si="2">F5</f>
        <v>100</v>
      </c>
      <c r="P5" s="135" t="s">
        <v>252</v>
      </c>
      <c r="Q5" s="136">
        <f t="shared" si="2"/>
        <v>100</v>
      </c>
      <c r="R5" s="135" t="s">
        <v>252</v>
      </c>
      <c r="S5" s="136">
        <f t="shared" si="2"/>
        <v>100</v>
      </c>
      <c r="T5" s="1024"/>
      <c r="U5" s="1007" t="str">
        <f t="shared" ref="U5:U7" si="3">L5</f>
        <v>交易时间</v>
      </c>
      <c r="V5" s="1036"/>
      <c r="W5" s="117">
        <f t="shared" ref="W5:W8" si="4">D5/F5</f>
        <v>1</v>
      </c>
      <c r="X5" s="117">
        <f t="shared" ref="X5:X8" si="5">D5/H5</f>
        <v>1</v>
      </c>
      <c r="Y5" s="117">
        <f t="shared" ref="Y5:Y8" si="6">D5/J5</f>
        <v>1</v>
      </c>
    </row>
    <row r="6" spans="1:25">
      <c r="A6" s="1007" t="s">
        <v>253</v>
      </c>
      <c r="B6" s="1036"/>
      <c r="C6" s="116" t="s">
        <v>254</v>
      </c>
      <c r="D6" s="117">
        <v>100</v>
      </c>
      <c r="E6" s="116" t="s">
        <v>254</v>
      </c>
      <c r="F6" s="117">
        <v>100</v>
      </c>
      <c r="G6" s="116" t="s">
        <v>254</v>
      </c>
      <c r="H6" s="117">
        <v>100</v>
      </c>
      <c r="I6" s="116" t="s">
        <v>254</v>
      </c>
      <c r="J6" s="117">
        <v>100</v>
      </c>
      <c r="K6" s="1024"/>
      <c r="L6" s="1007" t="str">
        <f t="shared" si="1"/>
        <v>交易情况</v>
      </c>
      <c r="M6" s="1008"/>
      <c r="N6" s="135" t="s">
        <v>252</v>
      </c>
      <c r="O6" s="136">
        <f t="shared" ref="O6:S6" si="7">F6</f>
        <v>100</v>
      </c>
      <c r="P6" s="135" t="s">
        <v>252</v>
      </c>
      <c r="Q6" s="136">
        <f t="shared" si="7"/>
        <v>100</v>
      </c>
      <c r="R6" s="135" t="s">
        <v>252</v>
      </c>
      <c r="S6" s="136">
        <f t="shared" si="7"/>
        <v>100</v>
      </c>
      <c r="T6" s="1024"/>
      <c r="U6" s="1007" t="str">
        <f t="shared" si="3"/>
        <v>交易情况</v>
      </c>
      <c r="V6" s="1036"/>
      <c r="W6" s="117">
        <f t="shared" si="4"/>
        <v>1</v>
      </c>
      <c r="X6" s="117">
        <f t="shared" si="5"/>
        <v>1</v>
      </c>
      <c r="Y6" s="117">
        <f t="shared" si="6"/>
        <v>1</v>
      </c>
    </row>
    <row r="7" spans="1:25">
      <c r="A7" s="1049" t="s">
        <v>255</v>
      </c>
      <c r="B7" s="727" t="s">
        <v>256</v>
      </c>
      <c r="C7" s="119" t="s">
        <v>257</v>
      </c>
      <c r="D7" s="117">
        <v>100</v>
      </c>
      <c r="E7" s="119" t="s">
        <v>257</v>
      </c>
      <c r="F7" s="117">
        <v>100</v>
      </c>
      <c r="G7" s="119" t="s">
        <v>257</v>
      </c>
      <c r="H7" s="117">
        <v>100</v>
      </c>
      <c r="I7" s="119" t="s">
        <v>257</v>
      </c>
      <c r="J7" s="117">
        <v>100</v>
      </c>
      <c r="K7" s="1024"/>
      <c r="L7" s="1027" t="str">
        <f t="shared" si="1"/>
        <v>权益状况</v>
      </c>
      <c r="M7" s="739" t="str">
        <f>B7</f>
        <v>土地用途</v>
      </c>
      <c r="N7" s="135" t="s">
        <v>252</v>
      </c>
      <c r="O7" s="136">
        <f t="shared" ref="O7:S7" si="8">F7</f>
        <v>100</v>
      </c>
      <c r="P7" s="135" t="s">
        <v>252</v>
      </c>
      <c r="Q7" s="136">
        <f t="shared" si="8"/>
        <v>100</v>
      </c>
      <c r="R7" s="135" t="s">
        <v>252</v>
      </c>
      <c r="S7" s="136">
        <f t="shared" si="8"/>
        <v>100</v>
      </c>
      <c r="T7" s="1024"/>
      <c r="U7" s="1027" t="str">
        <f t="shared" si="3"/>
        <v>权益状况</v>
      </c>
      <c r="V7" s="739" t="str">
        <f>M7</f>
        <v>土地用途</v>
      </c>
      <c r="W7" s="117">
        <f t="shared" si="4"/>
        <v>1</v>
      </c>
      <c r="X7" s="117">
        <f t="shared" si="5"/>
        <v>1</v>
      </c>
      <c r="Y7" s="117">
        <f t="shared" si="6"/>
        <v>1</v>
      </c>
    </row>
    <row r="8" spans="1:25" s="114" customFormat="1">
      <c r="A8" s="1050"/>
      <c r="B8" s="728" t="s">
        <v>258</v>
      </c>
      <c r="C8" s="121" t="s">
        <v>259</v>
      </c>
      <c r="D8" s="122">
        <v>100</v>
      </c>
      <c r="E8" s="121" t="s">
        <v>260</v>
      </c>
      <c r="F8" s="122">
        <v>102</v>
      </c>
      <c r="G8" s="121" t="s">
        <v>260</v>
      </c>
      <c r="H8" s="122">
        <v>102</v>
      </c>
      <c r="I8" s="121" t="s">
        <v>260</v>
      </c>
      <c r="J8" s="122">
        <v>102</v>
      </c>
      <c r="K8" s="1024"/>
      <c r="L8" s="1028"/>
      <c r="M8" s="740" t="str">
        <f>B8</f>
        <v>土地使用年限</v>
      </c>
      <c r="N8" s="139" t="s">
        <v>252</v>
      </c>
      <c r="O8" s="140">
        <f t="shared" ref="O8:O21" si="9">F8</f>
        <v>102</v>
      </c>
      <c r="P8" s="139" t="s">
        <v>252</v>
      </c>
      <c r="Q8" s="140">
        <f t="shared" ref="Q8:Q21" si="10">H8</f>
        <v>102</v>
      </c>
      <c r="R8" s="139" t="s">
        <v>252</v>
      </c>
      <c r="S8" s="140">
        <f t="shared" ref="S8:S21" si="11">J8</f>
        <v>102</v>
      </c>
      <c r="T8" s="1024"/>
      <c r="U8" s="1028"/>
      <c r="V8" s="740" t="str">
        <f t="shared" ref="V8:V21" si="12">M8</f>
        <v>土地使用年限</v>
      </c>
      <c r="W8" s="122">
        <f t="shared" si="4"/>
        <v>0.98039215686274506</v>
      </c>
      <c r="X8" s="122">
        <f t="shared" si="5"/>
        <v>0.98039215686274506</v>
      </c>
      <c r="Y8" s="122">
        <f t="shared" si="6"/>
        <v>0.98039215686274506</v>
      </c>
    </row>
    <row r="9" spans="1:25">
      <c r="A9" s="1051" t="s">
        <v>261</v>
      </c>
      <c r="B9" s="729" t="s">
        <v>262</v>
      </c>
      <c r="C9" s="119" t="s">
        <v>263</v>
      </c>
      <c r="D9" s="117">
        <v>100</v>
      </c>
      <c r="E9" s="119" t="s">
        <v>263</v>
      </c>
      <c r="F9" s="117">
        <v>100</v>
      </c>
      <c r="G9" s="119" t="s">
        <v>263</v>
      </c>
      <c r="H9" s="117">
        <v>100</v>
      </c>
      <c r="I9" s="119" t="s">
        <v>263</v>
      </c>
      <c r="J9" s="117">
        <v>100</v>
      </c>
      <c r="K9" s="1024"/>
      <c r="L9" s="1031" t="str">
        <f>A9</f>
        <v>区位状况</v>
      </c>
      <c r="M9" s="739" t="str">
        <f t="shared" ref="M9:M21" si="13">B9</f>
        <v>土地级别</v>
      </c>
      <c r="N9" s="135" t="s">
        <v>252</v>
      </c>
      <c r="O9" s="136">
        <f t="shared" si="9"/>
        <v>100</v>
      </c>
      <c r="P9" s="135" t="s">
        <v>252</v>
      </c>
      <c r="Q9" s="136">
        <f t="shared" si="10"/>
        <v>100</v>
      </c>
      <c r="R9" s="135" t="s">
        <v>252</v>
      </c>
      <c r="S9" s="136">
        <f t="shared" si="11"/>
        <v>100</v>
      </c>
      <c r="T9" s="1024"/>
      <c r="U9" s="1031" t="str">
        <f>A9</f>
        <v>区位状况</v>
      </c>
      <c r="V9" s="739" t="str">
        <f t="shared" si="12"/>
        <v>土地级别</v>
      </c>
      <c r="W9" s="117">
        <f t="shared" ref="W9:W15" si="14">D9/F9</f>
        <v>1</v>
      </c>
      <c r="X9" s="117">
        <f t="shared" ref="X9:X15" si="15">D9/H9</f>
        <v>1</v>
      </c>
      <c r="Y9" s="117">
        <f t="shared" ref="Y9:Y15" si="16">D9/J9</f>
        <v>1</v>
      </c>
    </row>
    <row r="10" spans="1:25">
      <c r="A10" s="1052"/>
      <c r="B10" s="730" t="s">
        <v>264</v>
      </c>
      <c r="C10" s="119" t="s">
        <v>265</v>
      </c>
      <c r="D10" s="117">
        <v>100</v>
      </c>
      <c r="E10" s="119" t="s">
        <v>265</v>
      </c>
      <c r="F10" s="117">
        <v>100</v>
      </c>
      <c r="G10" s="119" t="s">
        <v>265</v>
      </c>
      <c r="H10" s="117">
        <v>100</v>
      </c>
      <c r="I10" s="119" t="s">
        <v>265</v>
      </c>
      <c r="J10" s="117">
        <v>100</v>
      </c>
      <c r="K10" s="1024"/>
      <c r="L10" s="1032"/>
      <c r="M10" s="739" t="str">
        <f t="shared" si="13"/>
        <v>居住社区成熟度</v>
      </c>
      <c r="N10" s="135" t="s">
        <v>252</v>
      </c>
      <c r="O10" s="136">
        <f t="shared" si="9"/>
        <v>100</v>
      </c>
      <c r="P10" s="135" t="s">
        <v>252</v>
      </c>
      <c r="Q10" s="136">
        <f t="shared" si="10"/>
        <v>100</v>
      </c>
      <c r="R10" s="135" t="s">
        <v>252</v>
      </c>
      <c r="S10" s="136">
        <f t="shared" si="11"/>
        <v>100</v>
      </c>
      <c r="T10" s="1024"/>
      <c r="U10" s="1032"/>
      <c r="V10" s="739" t="str">
        <f t="shared" si="12"/>
        <v>居住社区成熟度</v>
      </c>
      <c r="W10" s="117">
        <f t="shared" si="14"/>
        <v>1</v>
      </c>
      <c r="X10" s="117">
        <f t="shared" si="15"/>
        <v>1</v>
      </c>
      <c r="Y10" s="117">
        <f t="shared" si="16"/>
        <v>1</v>
      </c>
    </row>
    <row r="11" spans="1:25">
      <c r="A11" s="1052"/>
      <c r="B11" s="730" t="s">
        <v>266</v>
      </c>
      <c r="C11" s="119" t="s">
        <v>265</v>
      </c>
      <c r="D11" s="117">
        <v>100</v>
      </c>
      <c r="E11" s="119" t="s">
        <v>265</v>
      </c>
      <c r="F11" s="117">
        <v>100</v>
      </c>
      <c r="G11" s="119" t="s">
        <v>265</v>
      </c>
      <c r="H11" s="117">
        <v>100</v>
      </c>
      <c r="I11" s="119" t="s">
        <v>265</v>
      </c>
      <c r="J11" s="117">
        <v>100</v>
      </c>
      <c r="K11" s="1024"/>
      <c r="L11" s="1032"/>
      <c r="M11" s="739" t="str">
        <f t="shared" si="13"/>
        <v>交通便捷度</v>
      </c>
      <c r="N11" s="135" t="s">
        <v>252</v>
      </c>
      <c r="O11" s="136">
        <f t="shared" si="9"/>
        <v>100</v>
      </c>
      <c r="P11" s="135" t="s">
        <v>252</v>
      </c>
      <c r="Q11" s="136">
        <f t="shared" si="10"/>
        <v>100</v>
      </c>
      <c r="R11" s="135" t="s">
        <v>252</v>
      </c>
      <c r="S11" s="136">
        <f t="shared" si="11"/>
        <v>100</v>
      </c>
      <c r="T11" s="1024"/>
      <c r="U11" s="1032"/>
      <c r="V11" s="739" t="str">
        <f t="shared" si="12"/>
        <v>交通便捷度</v>
      </c>
      <c r="W11" s="117">
        <f t="shared" si="14"/>
        <v>1</v>
      </c>
      <c r="X11" s="117">
        <f t="shared" si="15"/>
        <v>1</v>
      </c>
      <c r="Y11" s="117">
        <f t="shared" si="16"/>
        <v>1</v>
      </c>
    </row>
    <row r="12" spans="1:25" s="114" customFormat="1">
      <c r="A12" s="1052"/>
      <c r="B12" s="731" t="s">
        <v>267</v>
      </c>
      <c r="C12" s="121" t="s">
        <v>268</v>
      </c>
      <c r="D12" s="122">
        <v>100</v>
      </c>
      <c r="E12" s="121" t="s">
        <v>268</v>
      </c>
      <c r="F12" s="122">
        <v>100</v>
      </c>
      <c r="G12" s="121" t="s">
        <v>269</v>
      </c>
      <c r="H12" s="122">
        <v>102</v>
      </c>
      <c r="I12" s="121" t="s">
        <v>268</v>
      </c>
      <c r="J12" s="122">
        <v>100</v>
      </c>
      <c r="K12" s="1024"/>
      <c r="L12" s="1032"/>
      <c r="M12" s="740" t="str">
        <f t="shared" si="13"/>
        <v>临路状况</v>
      </c>
      <c r="N12" s="139" t="s">
        <v>252</v>
      </c>
      <c r="O12" s="140">
        <f t="shared" si="9"/>
        <v>100</v>
      </c>
      <c r="P12" s="139" t="s">
        <v>252</v>
      </c>
      <c r="Q12" s="140">
        <f t="shared" si="10"/>
        <v>102</v>
      </c>
      <c r="R12" s="139" t="s">
        <v>252</v>
      </c>
      <c r="S12" s="140">
        <f t="shared" si="11"/>
        <v>100</v>
      </c>
      <c r="T12" s="1024"/>
      <c r="U12" s="1032"/>
      <c r="V12" s="740" t="str">
        <f t="shared" si="12"/>
        <v>临路状况</v>
      </c>
      <c r="W12" s="122">
        <f t="shared" si="14"/>
        <v>1</v>
      </c>
      <c r="X12" s="122">
        <f t="shared" si="15"/>
        <v>0.98039215686274506</v>
      </c>
      <c r="Y12" s="122">
        <f t="shared" si="16"/>
        <v>1</v>
      </c>
    </row>
    <row r="13" spans="1:25">
      <c r="A13" s="1052"/>
      <c r="B13" s="730" t="s">
        <v>270</v>
      </c>
      <c r="C13" s="119" t="s">
        <v>265</v>
      </c>
      <c r="D13" s="117">
        <v>100</v>
      </c>
      <c r="E13" s="119" t="s">
        <v>265</v>
      </c>
      <c r="F13" s="117">
        <v>100</v>
      </c>
      <c r="G13" s="119" t="s">
        <v>265</v>
      </c>
      <c r="H13" s="117">
        <v>100</v>
      </c>
      <c r="I13" s="119" t="s">
        <v>265</v>
      </c>
      <c r="J13" s="117">
        <v>100</v>
      </c>
      <c r="K13" s="1024"/>
      <c r="L13" s="1032"/>
      <c r="M13" s="739" t="str">
        <f t="shared" si="13"/>
        <v>自然及人文环境</v>
      </c>
      <c r="N13" s="135" t="s">
        <v>252</v>
      </c>
      <c r="O13" s="136">
        <f t="shared" si="9"/>
        <v>100</v>
      </c>
      <c r="P13" s="135" t="s">
        <v>252</v>
      </c>
      <c r="Q13" s="136">
        <f t="shared" si="10"/>
        <v>100</v>
      </c>
      <c r="R13" s="135" t="s">
        <v>252</v>
      </c>
      <c r="S13" s="136">
        <f t="shared" si="11"/>
        <v>100</v>
      </c>
      <c r="T13" s="1024"/>
      <c r="U13" s="1032"/>
      <c r="V13" s="739" t="str">
        <f t="shared" si="12"/>
        <v>自然及人文环境</v>
      </c>
      <c r="W13" s="117">
        <f t="shared" si="14"/>
        <v>1</v>
      </c>
      <c r="X13" s="117">
        <f t="shared" si="15"/>
        <v>1</v>
      </c>
      <c r="Y13" s="117">
        <f t="shared" si="16"/>
        <v>1</v>
      </c>
    </row>
    <row r="14" spans="1:25">
      <c r="A14" s="1053"/>
      <c r="B14" s="730" t="s">
        <v>271</v>
      </c>
      <c r="C14" s="119" t="s">
        <v>265</v>
      </c>
      <c r="D14" s="117">
        <v>100</v>
      </c>
      <c r="E14" s="119" t="s">
        <v>265</v>
      </c>
      <c r="F14" s="117">
        <v>100</v>
      </c>
      <c r="G14" s="119" t="s">
        <v>265</v>
      </c>
      <c r="H14" s="117">
        <v>100</v>
      </c>
      <c r="I14" s="119" t="s">
        <v>265</v>
      </c>
      <c r="J14" s="117">
        <v>100</v>
      </c>
      <c r="K14" s="1024"/>
      <c r="L14" s="1033"/>
      <c r="M14" s="739" t="str">
        <f t="shared" si="13"/>
        <v>基础设施情况及公共服务设施状况</v>
      </c>
      <c r="N14" s="135" t="s">
        <v>252</v>
      </c>
      <c r="O14" s="136">
        <f t="shared" si="9"/>
        <v>100</v>
      </c>
      <c r="P14" s="135" t="s">
        <v>252</v>
      </c>
      <c r="Q14" s="136">
        <f t="shared" si="10"/>
        <v>100</v>
      </c>
      <c r="R14" s="135" t="s">
        <v>252</v>
      </c>
      <c r="S14" s="136">
        <f t="shared" si="11"/>
        <v>100</v>
      </c>
      <c r="T14" s="1024"/>
      <c r="U14" s="1033"/>
      <c r="V14" s="739" t="str">
        <f t="shared" si="12"/>
        <v>基础设施情况及公共服务设施状况</v>
      </c>
      <c r="W14" s="117">
        <f t="shared" si="14"/>
        <v>1</v>
      </c>
      <c r="X14" s="117">
        <f t="shared" si="15"/>
        <v>1</v>
      </c>
      <c r="Y14" s="117">
        <f t="shared" si="16"/>
        <v>1</v>
      </c>
    </row>
    <row r="15" spans="1:25">
      <c r="A15" s="1054" t="s">
        <v>272</v>
      </c>
      <c r="B15" s="730" t="s">
        <v>273</v>
      </c>
      <c r="C15" s="130" t="s">
        <v>274</v>
      </c>
      <c r="D15" s="117">
        <v>100</v>
      </c>
      <c r="E15" s="130" t="s">
        <v>274</v>
      </c>
      <c r="F15" s="117">
        <v>100</v>
      </c>
      <c r="G15" s="130" t="s">
        <v>274</v>
      </c>
      <c r="H15" s="117">
        <v>100</v>
      </c>
      <c r="I15" s="130" t="s">
        <v>274</v>
      </c>
      <c r="J15" s="117">
        <v>100</v>
      </c>
      <c r="K15" s="1024"/>
      <c r="L15" s="1031" t="str">
        <f>A15</f>
        <v>实物状况</v>
      </c>
      <c r="M15" s="739" t="str">
        <f t="shared" si="13"/>
        <v>建筑物结构</v>
      </c>
      <c r="N15" s="135" t="s">
        <v>252</v>
      </c>
      <c r="O15" s="136">
        <f t="shared" si="9"/>
        <v>100</v>
      </c>
      <c r="P15" s="135" t="s">
        <v>252</v>
      </c>
      <c r="Q15" s="136">
        <f t="shared" si="10"/>
        <v>100</v>
      </c>
      <c r="R15" s="135" t="s">
        <v>252</v>
      </c>
      <c r="S15" s="136">
        <f t="shared" si="11"/>
        <v>100</v>
      </c>
      <c r="T15" s="1025"/>
      <c r="U15" s="1034" t="str">
        <f>A15</f>
        <v>实物状况</v>
      </c>
      <c r="V15" s="739" t="str">
        <f t="shared" si="12"/>
        <v>建筑物结构</v>
      </c>
      <c r="W15" s="117">
        <f t="shared" si="14"/>
        <v>1</v>
      </c>
      <c r="X15" s="117">
        <f t="shared" si="15"/>
        <v>1</v>
      </c>
      <c r="Y15" s="117">
        <f t="shared" si="16"/>
        <v>1</v>
      </c>
    </row>
    <row r="16" spans="1:25" s="114" customFormat="1">
      <c r="A16" s="1055"/>
      <c r="B16" s="732" t="s">
        <v>275</v>
      </c>
      <c r="C16" s="121" t="s">
        <v>276</v>
      </c>
      <c r="D16" s="122">
        <v>100</v>
      </c>
      <c r="E16" s="121" t="s">
        <v>276</v>
      </c>
      <c r="F16" s="122">
        <v>100</v>
      </c>
      <c r="G16" s="121" t="s">
        <v>277</v>
      </c>
      <c r="H16" s="122">
        <v>102</v>
      </c>
      <c r="I16" s="121" t="s">
        <v>278</v>
      </c>
      <c r="J16" s="122">
        <v>104</v>
      </c>
      <c r="K16" s="1024"/>
      <c r="L16" s="1032"/>
      <c r="M16" s="740" t="str">
        <f t="shared" si="13"/>
        <v>建筑类型</v>
      </c>
      <c r="N16" s="139" t="s">
        <v>252</v>
      </c>
      <c r="O16" s="140">
        <f t="shared" si="9"/>
        <v>100</v>
      </c>
      <c r="P16" s="139" t="s">
        <v>252</v>
      </c>
      <c r="Q16" s="140">
        <f t="shared" si="10"/>
        <v>102</v>
      </c>
      <c r="R16" s="139" t="s">
        <v>252</v>
      </c>
      <c r="S16" s="140">
        <f t="shared" si="11"/>
        <v>104</v>
      </c>
      <c r="T16" s="1025"/>
      <c r="U16" s="1034"/>
      <c r="V16" s="740" t="str">
        <f t="shared" si="12"/>
        <v>建筑类型</v>
      </c>
      <c r="W16" s="122">
        <f t="shared" ref="W16:W21" si="17">D16/F16</f>
        <v>1</v>
      </c>
      <c r="X16" s="122">
        <f t="shared" ref="X16:X21" si="18">D16/H16</f>
        <v>0.98039215686274506</v>
      </c>
      <c r="Y16" s="122">
        <f t="shared" ref="Y16:Y21" si="19">D16/J16</f>
        <v>0.96153846153846156</v>
      </c>
    </row>
    <row r="17" spans="1:25" s="114" customFormat="1">
      <c r="A17" s="1055"/>
      <c r="B17" s="732" t="s">
        <v>279</v>
      </c>
      <c r="C17" s="733">
        <v>1999</v>
      </c>
      <c r="D17" s="122">
        <v>100</v>
      </c>
      <c r="E17" s="733">
        <v>2012</v>
      </c>
      <c r="F17" s="122">
        <v>103.25</v>
      </c>
      <c r="G17" s="733">
        <v>2005</v>
      </c>
      <c r="H17" s="122">
        <v>101.5</v>
      </c>
      <c r="I17" s="733">
        <v>2013</v>
      </c>
      <c r="J17" s="122">
        <v>103.5</v>
      </c>
      <c r="K17" s="1024"/>
      <c r="L17" s="1032"/>
      <c r="M17" s="740" t="str">
        <f t="shared" si="13"/>
        <v>建成年代</v>
      </c>
      <c r="N17" s="139" t="s">
        <v>252</v>
      </c>
      <c r="O17" s="140">
        <f t="shared" si="9"/>
        <v>103.25</v>
      </c>
      <c r="P17" s="139" t="s">
        <v>252</v>
      </c>
      <c r="Q17" s="140">
        <f t="shared" si="10"/>
        <v>101.5</v>
      </c>
      <c r="R17" s="139" t="s">
        <v>252</v>
      </c>
      <c r="S17" s="140">
        <f t="shared" si="11"/>
        <v>103.5</v>
      </c>
      <c r="T17" s="1025"/>
      <c r="U17" s="1034"/>
      <c r="V17" s="740" t="str">
        <f t="shared" si="12"/>
        <v>建成年代</v>
      </c>
      <c r="W17" s="122">
        <f t="shared" si="17"/>
        <v>0.96852300242130751</v>
      </c>
      <c r="X17" s="122">
        <f t="shared" si="18"/>
        <v>0.98522167487684731</v>
      </c>
      <c r="Y17" s="122">
        <f t="shared" si="19"/>
        <v>0.96618357487922701</v>
      </c>
    </row>
    <row r="18" spans="1:25">
      <c r="A18" s="1026"/>
      <c r="B18" s="734" t="s">
        <v>280</v>
      </c>
      <c r="C18" s="119" t="s">
        <v>281</v>
      </c>
      <c r="D18" s="117">
        <v>100</v>
      </c>
      <c r="E18" s="119" t="s">
        <v>281</v>
      </c>
      <c r="F18" s="117">
        <v>100</v>
      </c>
      <c r="G18" s="119" t="s">
        <v>281</v>
      </c>
      <c r="H18" s="117">
        <v>100</v>
      </c>
      <c r="I18" s="119" t="s">
        <v>281</v>
      </c>
      <c r="J18" s="117">
        <v>100</v>
      </c>
      <c r="K18" s="1026"/>
      <c r="L18" s="1026"/>
      <c r="M18" s="739" t="str">
        <f t="shared" si="13"/>
        <v>套均面积</v>
      </c>
      <c r="N18" s="135" t="s">
        <v>252</v>
      </c>
      <c r="O18" s="136">
        <f t="shared" si="9"/>
        <v>100</v>
      </c>
      <c r="P18" s="135" t="s">
        <v>252</v>
      </c>
      <c r="Q18" s="136">
        <f t="shared" si="10"/>
        <v>100</v>
      </c>
      <c r="R18" s="135" t="s">
        <v>252</v>
      </c>
      <c r="S18" s="136">
        <f t="shared" si="11"/>
        <v>100</v>
      </c>
      <c r="T18" s="1026"/>
      <c r="U18" s="1035"/>
      <c r="V18" s="739" t="str">
        <f t="shared" si="12"/>
        <v>套均面积</v>
      </c>
      <c r="W18" s="117">
        <f t="shared" si="17"/>
        <v>1</v>
      </c>
      <c r="X18" s="117">
        <f t="shared" si="18"/>
        <v>1</v>
      </c>
      <c r="Y18" s="117">
        <f t="shared" si="19"/>
        <v>1</v>
      </c>
    </row>
    <row r="19" spans="1:25">
      <c r="A19" s="1055"/>
      <c r="B19" s="734" t="s">
        <v>282</v>
      </c>
      <c r="C19" s="115" t="s">
        <v>283</v>
      </c>
      <c r="D19" s="117">
        <v>100</v>
      </c>
      <c r="E19" s="115" t="s">
        <v>283</v>
      </c>
      <c r="F19" s="117">
        <v>100</v>
      </c>
      <c r="G19" s="115" t="s">
        <v>283</v>
      </c>
      <c r="H19" s="117">
        <v>100</v>
      </c>
      <c r="I19" s="115" t="s">
        <v>283</v>
      </c>
      <c r="J19" s="117">
        <v>100</v>
      </c>
      <c r="K19" s="1024"/>
      <c r="L19" s="1032"/>
      <c r="M19" s="739" t="str">
        <f t="shared" si="13"/>
        <v>公共部分装修</v>
      </c>
      <c r="N19" s="135" t="s">
        <v>252</v>
      </c>
      <c r="O19" s="136">
        <f t="shared" si="9"/>
        <v>100</v>
      </c>
      <c r="P19" s="135" t="s">
        <v>252</v>
      </c>
      <c r="Q19" s="136">
        <f t="shared" si="10"/>
        <v>100</v>
      </c>
      <c r="R19" s="135" t="s">
        <v>252</v>
      </c>
      <c r="S19" s="136">
        <f t="shared" si="11"/>
        <v>100</v>
      </c>
      <c r="T19" s="1025"/>
      <c r="U19" s="1034"/>
      <c r="V19" s="739" t="str">
        <f t="shared" si="12"/>
        <v>公共部分装修</v>
      </c>
      <c r="W19" s="117">
        <f t="shared" si="17"/>
        <v>1</v>
      </c>
      <c r="X19" s="117">
        <f t="shared" si="18"/>
        <v>1</v>
      </c>
      <c r="Y19" s="117">
        <f t="shared" si="19"/>
        <v>1</v>
      </c>
    </row>
    <row r="20" spans="1:25">
      <c r="A20" s="1055"/>
      <c r="B20" s="730" t="s">
        <v>284</v>
      </c>
      <c r="C20" s="115" t="s">
        <v>283</v>
      </c>
      <c r="D20" s="117">
        <v>100</v>
      </c>
      <c r="E20" s="115" t="s">
        <v>283</v>
      </c>
      <c r="F20" s="117">
        <v>100</v>
      </c>
      <c r="G20" s="115" t="s">
        <v>283</v>
      </c>
      <c r="H20" s="117">
        <v>100</v>
      </c>
      <c r="I20" s="115" t="s">
        <v>283</v>
      </c>
      <c r="J20" s="117">
        <v>100</v>
      </c>
      <c r="K20" s="1024"/>
      <c r="L20" s="1032"/>
      <c r="M20" s="739" t="str">
        <f t="shared" si="13"/>
        <v>室内装修</v>
      </c>
      <c r="N20" s="135" t="s">
        <v>252</v>
      </c>
      <c r="O20" s="136">
        <f t="shared" si="9"/>
        <v>100</v>
      </c>
      <c r="P20" s="135" t="s">
        <v>252</v>
      </c>
      <c r="Q20" s="136">
        <f t="shared" si="10"/>
        <v>100</v>
      </c>
      <c r="R20" s="135" t="s">
        <v>252</v>
      </c>
      <c r="S20" s="136">
        <f t="shared" si="11"/>
        <v>100</v>
      </c>
      <c r="T20" s="1025"/>
      <c r="U20" s="1034"/>
      <c r="V20" s="739" t="str">
        <f t="shared" si="12"/>
        <v>室内装修</v>
      </c>
      <c r="W20" s="117">
        <f t="shared" si="17"/>
        <v>1</v>
      </c>
      <c r="X20" s="117">
        <f t="shared" si="18"/>
        <v>1</v>
      </c>
      <c r="Y20" s="117">
        <f t="shared" si="19"/>
        <v>1</v>
      </c>
    </row>
    <row r="21" spans="1:25">
      <c r="A21" s="1056"/>
      <c r="B21" s="730" t="s">
        <v>285</v>
      </c>
      <c r="C21" s="119" t="s">
        <v>265</v>
      </c>
      <c r="D21" s="117">
        <v>100</v>
      </c>
      <c r="E21" s="119" t="s">
        <v>265</v>
      </c>
      <c r="F21" s="117">
        <v>100</v>
      </c>
      <c r="G21" s="119" t="s">
        <v>265</v>
      </c>
      <c r="H21" s="117">
        <v>100</v>
      </c>
      <c r="I21" s="119" t="s">
        <v>265</v>
      </c>
      <c r="J21" s="117">
        <v>100</v>
      </c>
      <c r="K21" s="1024"/>
      <c r="L21" s="1032"/>
      <c r="M21" s="739" t="str">
        <f t="shared" si="13"/>
        <v>物业服务条件</v>
      </c>
      <c r="N21" s="135" t="s">
        <v>252</v>
      </c>
      <c r="O21" s="136">
        <f t="shared" si="9"/>
        <v>100</v>
      </c>
      <c r="P21" s="135" t="s">
        <v>252</v>
      </c>
      <c r="Q21" s="136">
        <f t="shared" si="10"/>
        <v>100</v>
      </c>
      <c r="R21" s="135" t="s">
        <v>252</v>
      </c>
      <c r="S21" s="136">
        <f t="shared" si="11"/>
        <v>100</v>
      </c>
      <c r="T21" s="1025"/>
      <c r="U21" s="1034"/>
      <c r="V21" s="739" t="str">
        <f t="shared" si="12"/>
        <v>物业服务条件</v>
      </c>
      <c r="W21" s="117">
        <f t="shared" si="17"/>
        <v>1</v>
      </c>
      <c r="X21" s="117">
        <f t="shared" si="18"/>
        <v>1</v>
      </c>
      <c r="Y21" s="117">
        <f t="shared" si="19"/>
        <v>1</v>
      </c>
    </row>
    <row r="22" spans="1:25">
      <c r="A22" s="128"/>
      <c r="B22" s="128"/>
      <c r="C22" s="128"/>
      <c r="D22" s="128"/>
      <c r="E22" s="128"/>
      <c r="F22" s="128"/>
      <c r="G22" s="128"/>
      <c r="H22" s="128"/>
      <c r="I22" s="128"/>
      <c r="J22" s="128"/>
      <c r="K22" s="128"/>
      <c r="L22" s="1007" t="s">
        <v>286</v>
      </c>
      <c r="M22" s="1036"/>
      <c r="N22" s="1015">
        <f>ROUND(N26/M26,0)</f>
        <v>55000</v>
      </c>
      <c r="O22" s="1016"/>
      <c r="P22" s="1015">
        <v>55500</v>
      </c>
      <c r="Q22" s="1016"/>
      <c r="R22" s="1015">
        <v>66909</v>
      </c>
      <c r="S22" s="1016"/>
      <c r="T22" s="128"/>
      <c r="U22" s="128"/>
      <c r="V22" s="128"/>
      <c r="W22" s="128"/>
      <c r="X22" s="128"/>
      <c r="Y22" s="128"/>
    </row>
    <row r="23" spans="1:25">
      <c r="A23" s="1037" t="s">
        <v>262</v>
      </c>
      <c r="B23" s="1037"/>
      <c r="C23" s="735"/>
      <c r="D23" s="1038" t="s">
        <v>287</v>
      </c>
      <c r="E23" s="1038"/>
      <c r="F23" s="736"/>
      <c r="G23" s="1038" t="s">
        <v>266</v>
      </c>
      <c r="H23" s="1038"/>
      <c r="I23" s="736"/>
      <c r="J23" s="736" t="s">
        <v>267</v>
      </c>
      <c r="K23" s="736"/>
      <c r="L23" s="1007" t="s">
        <v>288</v>
      </c>
      <c r="M23" s="1036"/>
      <c r="N23" s="1039">
        <f>ROUND(N22*W5*W6*W7*W8*W9*W10*W11*W12*W13*W14*W15*W16*W17*W18*W19*W20*W21,0)</f>
        <v>52224</v>
      </c>
      <c r="O23" s="1040"/>
      <c r="P23" s="1039">
        <f>ROUND(P22*X5*X6*X7*X8*X9*X10*X11*X12*X13*X14*X15*X16*X17*X18*X19*X20*X21,0)</f>
        <v>51526</v>
      </c>
      <c r="Q23" s="1040"/>
      <c r="R23" s="1039">
        <f>ROUND(R22*Y5*Y6*Y7*Y8*Y9*Y10*Y11*Y12*Y13*Y14*Y15*Y16*Y17*Y18*Y19*Y20*Y21,0)</f>
        <v>60941</v>
      </c>
      <c r="S23" s="1040"/>
      <c r="T23" s="128"/>
      <c r="U23" s="128"/>
      <c r="V23" s="128"/>
      <c r="W23" s="128"/>
      <c r="X23" s="128"/>
      <c r="Y23" s="128"/>
    </row>
    <row r="24" spans="1:25">
      <c r="A24" s="736" t="s">
        <v>289</v>
      </c>
      <c r="B24" s="735"/>
      <c r="C24" s="735"/>
      <c r="D24" s="736" t="s">
        <v>290</v>
      </c>
      <c r="E24" s="735"/>
      <c r="F24" s="736"/>
      <c r="G24" s="736" t="s">
        <v>290</v>
      </c>
      <c r="H24" s="736"/>
      <c r="I24" s="736"/>
      <c r="J24" s="736" t="s">
        <v>291</v>
      </c>
      <c r="K24" s="736"/>
      <c r="L24" s="1041" t="s">
        <v>292</v>
      </c>
      <c r="M24" s="1042"/>
      <c r="N24" s="1043">
        <f>ROUND(AVERAGE(N23:S23),0)</f>
        <v>54897</v>
      </c>
      <c r="O24" s="1044"/>
      <c r="P24" s="1044"/>
      <c r="Q24" s="1044"/>
      <c r="R24" s="1044"/>
      <c r="S24" s="1045"/>
      <c r="T24" s="128"/>
      <c r="U24" s="128"/>
      <c r="V24" s="128"/>
      <c r="W24" s="128"/>
      <c r="X24" s="128"/>
      <c r="Y24" s="128"/>
    </row>
    <row r="25" spans="1:25">
      <c r="A25" s="736" t="s">
        <v>293</v>
      </c>
      <c r="B25" s="735"/>
      <c r="C25" s="735"/>
      <c r="D25" s="736" t="s">
        <v>265</v>
      </c>
      <c r="E25" s="735"/>
      <c r="F25" s="736"/>
      <c r="G25" s="736" t="s">
        <v>265</v>
      </c>
      <c r="H25" s="736"/>
      <c r="I25" s="736"/>
      <c r="J25" s="736" t="s">
        <v>294</v>
      </c>
      <c r="K25" s="736"/>
      <c r="L25" s="1046" t="s">
        <v>295</v>
      </c>
      <c r="M25" s="1047"/>
      <c r="N25" s="1046" t="e">
        <f>ROUND(N24*#REF!/10000,0)</f>
        <v>#REF!</v>
      </c>
      <c r="O25" s="1048"/>
      <c r="P25" s="1048"/>
      <c r="Q25" s="1048"/>
      <c r="R25" s="1048"/>
      <c r="S25" s="1047"/>
      <c r="T25" s="128"/>
      <c r="U25" s="128"/>
      <c r="V25" s="128"/>
      <c r="W25" s="128"/>
      <c r="X25" s="128"/>
      <c r="Y25" s="128"/>
    </row>
    <row r="26" spans="1:25">
      <c r="A26" s="736" t="s">
        <v>296</v>
      </c>
      <c r="B26" s="735"/>
      <c r="C26" s="735"/>
      <c r="D26" s="736" t="s">
        <v>297</v>
      </c>
      <c r="E26" s="735"/>
      <c r="F26" s="736"/>
      <c r="G26" s="736" t="s">
        <v>297</v>
      </c>
      <c r="H26" s="736"/>
      <c r="I26" s="736"/>
      <c r="J26" s="736" t="s">
        <v>298</v>
      </c>
      <c r="K26" s="736"/>
      <c r="L26" s="128"/>
      <c r="M26" s="741">
        <v>1</v>
      </c>
      <c r="N26" s="1015">
        <v>55000</v>
      </c>
      <c r="O26" s="1016"/>
      <c r="P26" s="1015">
        <v>55973</v>
      </c>
      <c r="Q26" s="1016"/>
      <c r="R26" s="1015">
        <v>54297</v>
      </c>
      <c r="S26" s="1016"/>
      <c r="T26" s="128"/>
      <c r="U26" s="128"/>
      <c r="V26" s="128"/>
      <c r="W26" s="128"/>
      <c r="X26" s="128"/>
      <c r="Y26" s="128"/>
    </row>
    <row r="27" spans="1:25">
      <c r="A27" s="736" t="s">
        <v>299</v>
      </c>
      <c r="B27" s="735"/>
      <c r="C27" s="735"/>
      <c r="D27" s="736" t="s">
        <v>300</v>
      </c>
      <c r="E27" s="735"/>
      <c r="F27" s="736"/>
      <c r="G27" s="736" t="s">
        <v>300</v>
      </c>
      <c r="H27" s="736"/>
      <c r="I27" s="736"/>
      <c r="J27" s="736" t="s">
        <v>301</v>
      </c>
      <c r="K27" s="736"/>
      <c r="L27" s="128"/>
      <c r="M27" s="128"/>
      <c r="N27" s="128"/>
      <c r="O27" s="128"/>
      <c r="P27" s="128"/>
      <c r="Q27" s="141"/>
      <c r="R27" s="128"/>
      <c r="S27" s="128"/>
      <c r="T27" s="128"/>
      <c r="U27" s="128"/>
      <c r="V27" s="128"/>
      <c r="W27" s="128"/>
      <c r="X27" s="128"/>
      <c r="Y27" s="128"/>
    </row>
    <row r="28" spans="1:25">
      <c r="A28" s="736" t="s">
        <v>302</v>
      </c>
      <c r="B28" s="735"/>
      <c r="C28" s="735"/>
      <c r="D28" s="736" t="s">
        <v>303</v>
      </c>
      <c r="E28" s="735"/>
      <c r="F28" s="736"/>
      <c r="G28" s="736" t="s">
        <v>303</v>
      </c>
      <c r="H28" s="736"/>
      <c r="I28" s="736"/>
      <c r="J28" s="736" t="s">
        <v>304</v>
      </c>
      <c r="K28" s="736"/>
      <c r="L28" s="128"/>
      <c r="M28" s="128"/>
      <c r="N28" s="128"/>
      <c r="O28" s="128"/>
      <c r="P28" s="128"/>
      <c r="Q28" s="141"/>
      <c r="R28" s="128"/>
      <c r="S28" s="128"/>
      <c r="T28" s="128"/>
      <c r="U28" s="128"/>
      <c r="V28" s="128"/>
      <c r="W28" s="128"/>
      <c r="X28" s="128"/>
      <c r="Y28" s="128"/>
    </row>
    <row r="29" spans="1:25">
      <c r="A29" s="736" t="s">
        <v>305</v>
      </c>
      <c r="B29" s="736"/>
      <c r="C29" s="735"/>
      <c r="D29" s="736"/>
      <c r="E29" s="736"/>
      <c r="F29" s="736"/>
      <c r="G29" s="736"/>
      <c r="H29" s="736"/>
      <c r="I29" s="736"/>
      <c r="J29" s="736"/>
      <c r="K29" s="736"/>
      <c r="L29" s="128"/>
      <c r="M29" s="128"/>
      <c r="N29" s="128"/>
      <c r="O29" s="128"/>
      <c r="P29" s="128"/>
      <c r="Q29" s="141"/>
      <c r="R29" s="128"/>
      <c r="S29" s="128"/>
      <c r="T29" s="128"/>
      <c r="U29" s="128"/>
      <c r="V29" s="128"/>
      <c r="W29" s="128"/>
      <c r="X29" s="128"/>
      <c r="Y29" s="128"/>
    </row>
    <row r="30" spans="1:25">
      <c r="A30" s="736" t="s">
        <v>306</v>
      </c>
      <c r="B30" s="736"/>
      <c r="C30" s="736"/>
      <c r="D30" s="736"/>
      <c r="E30" s="736"/>
      <c r="F30" s="736"/>
      <c r="G30" s="736"/>
      <c r="H30" s="736"/>
      <c r="I30" s="736"/>
      <c r="J30" s="736"/>
      <c r="K30" s="736"/>
      <c r="L30" s="128"/>
      <c r="M30" s="128"/>
      <c r="N30" s="128"/>
      <c r="O30" s="128"/>
      <c r="P30" s="128"/>
      <c r="Q30" s="141"/>
      <c r="R30" s="128"/>
      <c r="S30" s="128"/>
      <c r="T30" s="128"/>
      <c r="U30" s="128"/>
      <c r="V30" s="128"/>
      <c r="W30" s="128"/>
      <c r="X30" s="128"/>
      <c r="Y30" s="128"/>
    </row>
    <row r="31" spans="1:25">
      <c r="A31" s="736"/>
      <c r="B31" s="736"/>
      <c r="C31" s="736"/>
      <c r="D31" s="736"/>
      <c r="E31" s="736"/>
      <c r="F31" s="737"/>
      <c r="G31" s="736"/>
      <c r="H31" s="736"/>
      <c r="I31" s="736"/>
      <c r="J31" s="736"/>
      <c r="K31" s="737"/>
      <c r="L31" s="132"/>
      <c r="M31" s="128"/>
      <c r="N31" s="128"/>
      <c r="O31" s="128"/>
      <c r="P31" s="128"/>
      <c r="Q31" s="141"/>
      <c r="R31" s="128"/>
      <c r="S31" s="128"/>
      <c r="T31" s="128"/>
      <c r="U31" s="128"/>
      <c r="V31" s="128"/>
      <c r="W31" s="128"/>
      <c r="X31" s="128"/>
      <c r="Y31" s="128"/>
    </row>
    <row r="32" spans="1:25">
      <c r="A32" s="1038" t="s">
        <v>270</v>
      </c>
      <c r="B32" s="1038"/>
      <c r="C32" s="736"/>
      <c r="D32" s="1038" t="s">
        <v>307</v>
      </c>
      <c r="E32" s="1038"/>
      <c r="F32" s="738"/>
      <c r="G32" s="1038" t="s">
        <v>273</v>
      </c>
      <c r="H32" s="1038"/>
      <c r="I32" s="736"/>
      <c r="J32" s="1038" t="s">
        <v>308</v>
      </c>
      <c r="K32" s="1038"/>
      <c r="L32" s="131"/>
      <c r="M32" s="128"/>
      <c r="N32" s="128"/>
      <c r="O32" s="128"/>
      <c r="P32" s="128"/>
      <c r="Q32" s="141"/>
      <c r="R32" s="128"/>
      <c r="S32" s="128"/>
      <c r="T32" s="128"/>
      <c r="U32" s="128"/>
      <c r="V32" s="128"/>
      <c r="W32" s="128"/>
      <c r="X32" s="128"/>
      <c r="Y32" s="128"/>
    </row>
    <row r="33" spans="1:25">
      <c r="A33" s="736" t="s">
        <v>290</v>
      </c>
      <c r="B33" s="736"/>
      <c r="C33" s="736"/>
      <c r="D33" s="736" t="s">
        <v>290</v>
      </c>
      <c r="E33" s="736"/>
      <c r="F33" s="736"/>
      <c r="G33" s="736" t="s">
        <v>274</v>
      </c>
      <c r="H33" s="736"/>
      <c r="I33" s="736"/>
      <c r="J33" s="736" t="s">
        <v>276</v>
      </c>
      <c r="K33" s="736"/>
      <c r="L33" s="128"/>
      <c r="M33" s="128"/>
      <c r="N33" s="128"/>
      <c r="O33" s="128"/>
      <c r="P33" s="128"/>
      <c r="Q33" s="141"/>
      <c r="R33" s="128"/>
      <c r="S33" s="128"/>
      <c r="T33" s="128"/>
      <c r="U33" s="128"/>
      <c r="V33" s="128"/>
      <c r="W33" s="128"/>
      <c r="X33" s="128"/>
      <c r="Y33" s="128"/>
    </row>
    <row r="34" spans="1:25">
      <c r="A34" s="736" t="s">
        <v>265</v>
      </c>
      <c r="B34" s="736"/>
      <c r="C34" s="736"/>
      <c r="D34" s="736" t="s">
        <v>265</v>
      </c>
      <c r="E34" s="736"/>
      <c r="F34" s="736"/>
      <c r="G34" s="736" t="s">
        <v>309</v>
      </c>
      <c r="H34" s="736"/>
      <c r="I34" s="736"/>
      <c r="J34" s="736" t="s">
        <v>277</v>
      </c>
      <c r="K34" s="736"/>
      <c r="L34" s="128"/>
      <c r="M34" s="128"/>
      <c r="N34" s="128"/>
      <c r="O34" s="128"/>
      <c r="P34" s="128"/>
      <c r="Q34" s="141"/>
      <c r="R34" s="128"/>
      <c r="S34" s="128"/>
      <c r="T34" s="128"/>
      <c r="U34" s="128"/>
      <c r="V34" s="128"/>
      <c r="W34" s="128"/>
      <c r="X34" s="128"/>
      <c r="Y34" s="128"/>
    </row>
    <row r="35" spans="1:25">
      <c r="A35" s="736" t="s">
        <v>297</v>
      </c>
      <c r="B35" s="736"/>
      <c r="C35" s="736"/>
      <c r="D35" s="736" t="s">
        <v>297</v>
      </c>
      <c r="E35" s="736"/>
      <c r="F35" s="736"/>
      <c r="G35" s="736"/>
      <c r="H35" s="736"/>
      <c r="I35" s="736"/>
      <c r="J35" s="736" t="s">
        <v>310</v>
      </c>
      <c r="K35" s="736"/>
      <c r="L35" s="128"/>
      <c r="M35" s="128"/>
      <c r="N35" s="128"/>
      <c r="O35" s="128"/>
      <c r="P35" s="128"/>
      <c r="Q35" s="141"/>
      <c r="R35" s="128"/>
      <c r="S35" s="128"/>
      <c r="T35" s="128"/>
      <c r="U35" s="128"/>
      <c r="V35" s="128"/>
      <c r="W35" s="128"/>
      <c r="X35" s="128"/>
      <c r="Y35" s="128"/>
    </row>
    <row r="36" spans="1:25">
      <c r="A36" s="736" t="s">
        <v>300</v>
      </c>
      <c r="B36" s="736"/>
      <c r="C36" s="736"/>
      <c r="D36" s="736" t="s">
        <v>300</v>
      </c>
      <c r="E36" s="736"/>
      <c r="F36" s="736"/>
      <c r="G36" s="736"/>
      <c r="H36" s="736"/>
      <c r="I36" s="736"/>
      <c r="J36" s="736"/>
      <c r="K36" s="736"/>
      <c r="L36" s="128"/>
      <c r="M36" s="128"/>
      <c r="N36" s="128"/>
      <c r="O36" s="128"/>
      <c r="P36" s="128"/>
      <c r="Q36" s="141"/>
      <c r="R36" s="128"/>
      <c r="S36" s="128"/>
      <c r="T36" s="128"/>
      <c r="U36" s="128"/>
      <c r="V36" s="128"/>
      <c r="W36" s="128"/>
      <c r="X36" s="128"/>
      <c r="Y36" s="128"/>
    </row>
    <row r="37" spans="1:25">
      <c r="A37" s="736" t="s">
        <v>303</v>
      </c>
      <c r="B37" s="736"/>
      <c r="C37" s="736"/>
      <c r="D37" s="736" t="s">
        <v>303</v>
      </c>
      <c r="E37" s="736"/>
      <c r="F37" s="736"/>
      <c r="G37" s="736"/>
      <c r="H37" s="736"/>
      <c r="I37" s="736"/>
      <c r="J37" s="736"/>
      <c r="K37" s="736"/>
      <c r="L37" s="128"/>
      <c r="M37" s="128"/>
      <c r="N37" s="128"/>
      <c r="O37" s="128"/>
      <c r="P37" s="128"/>
      <c r="Q37" s="141"/>
      <c r="R37" s="128"/>
      <c r="S37" s="128"/>
      <c r="T37" s="128"/>
      <c r="U37" s="128"/>
      <c r="V37" s="128"/>
      <c r="W37" s="128"/>
      <c r="X37" s="128"/>
      <c r="Y37" s="128"/>
    </row>
    <row r="38" spans="1:25">
      <c r="A38" s="736"/>
      <c r="B38" s="736"/>
      <c r="C38" s="736"/>
      <c r="D38" s="736"/>
      <c r="E38" s="736"/>
      <c r="F38" s="736"/>
      <c r="G38" s="736"/>
      <c r="H38" s="736"/>
      <c r="I38" s="736"/>
      <c r="J38" s="736"/>
      <c r="K38" s="736"/>
      <c r="L38" s="128"/>
      <c r="M38" s="128"/>
      <c r="N38" s="128"/>
      <c r="O38" s="128"/>
      <c r="P38" s="128"/>
      <c r="Q38" s="141"/>
      <c r="R38" s="128"/>
      <c r="S38" s="128"/>
      <c r="T38" s="128"/>
      <c r="U38" s="128"/>
      <c r="V38" s="128"/>
      <c r="W38" s="128"/>
      <c r="X38" s="128"/>
      <c r="Y38" s="128"/>
    </row>
    <row r="39" spans="1:25">
      <c r="A39" s="1038" t="s">
        <v>279</v>
      </c>
      <c r="B39" s="1038"/>
      <c r="C39" s="736"/>
      <c r="D39" s="736" t="s">
        <v>280</v>
      </c>
      <c r="E39" s="736"/>
      <c r="F39" s="736"/>
      <c r="G39" s="1038" t="s">
        <v>282</v>
      </c>
      <c r="H39" s="1038"/>
      <c r="I39" s="736"/>
      <c r="J39" s="1038" t="s">
        <v>311</v>
      </c>
      <c r="K39" s="1038"/>
      <c r="L39" s="128"/>
      <c r="M39" s="128"/>
      <c r="N39" s="128"/>
      <c r="O39" s="128"/>
      <c r="P39" s="128"/>
      <c r="Q39" s="141"/>
      <c r="R39" s="128"/>
      <c r="S39" s="128"/>
      <c r="T39" s="128"/>
      <c r="U39" s="128"/>
      <c r="V39" s="128"/>
      <c r="W39" s="128"/>
      <c r="X39" s="128"/>
      <c r="Y39" s="128"/>
    </row>
    <row r="40" spans="1:25">
      <c r="A40" s="736"/>
      <c r="B40" s="736"/>
      <c r="C40" s="736"/>
      <c r="D40" s="736"/>
      <c r="E40" s="736"/>
      <c r="F40" s="736"/>
      <c r="G40" s="736" t="s">
        <v>283</v>
      </c>
      <c r="H40" s="736"/>
      <c r="I40" s="736"/>
      <c r="J40" s="736" t="s">
        <v>283</v>
      </c>
      <c r="K40" s="736"/>
      <c r="L40" s="128"/>
      <c r="M40" s="128"/>
      <c r="N40" s="128"/>
      <c r="O40" s="128"/>
      <c r="P40" s="128"/>
      <c r="Q40" s="141"/>
      <c r="R40" s="128"/>
      <c r="S40" s="128"/>
      <c r="T40" s="128"/>
      <c r="U40" s="128"/>
      <c r="V40" s="128"/>
      <c r="W40" s="128"/>
      <c r="X40" s="128"/>
      <c r="Y40" s="128"/>
    </row>
    <row r="41" spans="1:25">
      <c r="A41" s="736"/>
      <c r="B41" s="736"/>
      <c r="C41" s="736"/>
      <c r="D41" s="736"/>
      <c r="E41" s="736"/>
      <c r="F41" s="736"/>
      <c r="G41" s="736" t="s">
        <v>312</v>
      </c>
      <c r="H41" s="736"/>
      <c r="I41" s="736"/>
      <c r="J41" s="736" t="s">
        <v>312</v>
      </c>
      <c r="K41" s="736"/>
      <c r="L41" s="128"/>
      <c r="M41" s="128"/>
      <c r="N41" s="128"/>
      <c r="O41" s="128"/>
      <c r="P41" s="128"/>
      <c r="Q41" s="141"/>
      <c r="R41" s="128"/>
      <c r="S41" s="128"/>
      <c r="T41" s="128"/>
      <c r="U41" s="128"/>
      <c r="V41" s="128"/>
      <c r="W41" s="128"/>
      <c r="X41" s="128"/>
      <c r="Y41" s="128"/>
    </row>
    <row r="42" spans="1:25">
      <c r="A42" s="735"/>
      <c r="B42" s="735"/>
      <c r="C42" s="735"/>
      <c r="D42" s="735"/>
      <c r="E42" s="735"/>
      <c r="F42" s="735"/>
      <c r="G42" s="736" t="s">
        <v>313</v>
      </c>
      <c r="H42" s="735"/>
      <c r="I42" s="735"/>
      <c r="J42" s="736" t="s">
        <v>313</v>
      </c>
      <c r="K42" s="735"/>
    </row>
    <row r="43" spans="1:25">
      <c r="A43" s="735"/>
      <c r="B43" s="735"/>
      <c r="C43" s="735"/>
      <c r="D43" s="735"/>
      <c r="E43" s="735"/>
      <c r="F43" s="735"/>
      <c r="G43" s="736" t="s">
        <v>314</v>
      </c>
      <c r="H43" s="735"/>
      <c r="I43" s="735"/>
      <c r="J43" s="736" t="s">
        <v>314</v>
      </c>
      <c r="K43" s="735"/>
    </row>
    <row r="44" spans="1:25">
      <c r="A44" s="735"/>
      <c r="B44" s="735"/>
      <c r="C44" s="735"/>
      <c r="D44" s="735"/>
      <c r="E44" s="735"/>
      <c r="F44" s="735"/>
      <c r="G44" s="735"/>
      <c r="H44" s="735"/>
      <c r="I44" s="735"/>
      <c r="J44" s="735"/>
      <c r="K44" s="735"/>
    </row>
    <row r="45" spans="1:25">
      <c r="A45" s="1037" t="s">
        <v>285</v>
      </c>
      <c r="B45" s="1037"/>
      <c r="C45" s="735"/>
      <c r="D45" s="735"/>
      <c r="E45" s="735"/>
      <c r="F45" s="735"/>
      <c r="G45" s="735"/>
      <c r="H45" s="735"/>
      <c r="I45" s="735"/>
      <c r="J45" s="735"/>
      <c r="K45" s="735"/>
    </row>
    <row r="46" spans="1:25">
      <c r="A46" s="736" t="s">
        <v>290</v>
      </c>
      <c r="B46" s="735"/>
      <c r="C46" s="735"/>
      <c r="D46" s="735"/>
      <c r="E46" s="735"/>
      <c r="F46" s="735"/>
      <c r="G46" s="735"/>
      <c r="H46" s="735"/>
      <c r="I46" s="735"/>
      <c r="J46" s="735"/>
      <c r="K46" s="735"/>
    </row>
    <row r="47" spans="1:25">
      <c r="A47" s="736" t="s">
        <v>265</v>
      </c>
      <c r="B47" s="735"/>
      <c r="C47" s="735"/>
      <c r="D47" s="735"/>
      <c r="E47" s="735"/>
      <c r="F47" s="735"/>
      <c r="G47" s="735"/>
      <c r="H47" s="735"/>
      <c r="I47" s="735"/>
      <c r="J47" s="735"/>
      <c r="K47" s="735"/>
    </row>
    <row r="48" spans="1:25">
      <c r="A48" s="736" t="s">
        <v>297</v>
      </c>
      <c r="B48" s="735"/>
      <c r="C48" s="735"/>
      <c r="D48" s="735"/>
      <c r="E48" s="735"/>
      <c r="F48" s="735"/>
      <c r="G48" s="735"/>
      <c r="H48" s="735"/>
      <c r="I48" s="735"/>
      <c r="J48" s="735"/>
      <c r="K48" s="735"/>
    </row>
    <row r="49" spans="1:11">
      <c r="A49" s="736" t="s">
        <v>300</v>
      </c>
      <c r="B49" s="735"/>
      <c r="C49" s="735"/>
      <c r="D49" s="735"/>
      <c r="E49" s="735"/>
      <c r="F49" s="735"/>
      <c r="G49" s="735"/>
      <c r="H49" s="735"/>
      <c r="I49" s="735"/>
      <c r="J49" s="735"/>
      <c r="K49" s="735"/>
    </row>
    <row r="50" spans="1:11">
      <c r="A50" s="736" t="s">
        <v>303</v>
      </c>
      <c r="B50" s="735"/>
      <c r="C50" s="735"/>
      <c r="D50" s="735"/>
      <c r="E50" s="735"/>
      <c r="F50" s="735"/>
      <c r="G50" s="735"/>
      <c r="H50" s="735"/>
      <c r="I50" s="735"/>
      <c r="J50" s="735"/>
      <c r="K50" s="735"/>
    </row>
  </sheetData>
  <mergeCells count="64">
    <mergeCell ref="A45:B45"/>
    <mergeCell ref="A7:A8"/>
    <mergeCell ref="A9:A14"/>
    <mergeCell ref="A15:A21"/>
    <mergeCell ref="K2:K21"/>
    <mergeCell ref="A39:B39"/>
    <mergeCell ref="G39:H39"/>
    <mergeCell ref="J39:K39"/>
    <mergeCell ref="L7:L8"/>
    <mergeCell ref="L9:L14"/>
    <mergeCell ref="L15:L21"/>
    <mergeCell ref="A3:B4"/>
    <mergeCell ref="A32:B32"/>
    <mergeCell ref="D32:E32"/>
    <mergeCell ref="G32:H32"/>
    <mergeCell ref="J32:K32"/>
    <mergeCell ref="A6:B6"/>
    <mergeCell ref="L6:M6"/>
    <mergeCell ref="L22:M22"/>
    <mergeCell ref="C4:D4"/>
    <mergeCell ref="E4:F4"/>
    <mergeCell ref="G4:H4"/>
    <mergeCell ref="I4:J4"/>
    <mergeCell ref="A5:B5"/>
    <mergeCell ref="N26:O26"/>
    <mergeCell ref="P26:Q26"/>
    <mergeCell ref="R26:S26"/>
    <mergeCell ref="A23:B23"/>
    <mergeCell ref="D23:E23"/>
    <mergeCell ref="G23:H23"/>
    <mergeCell ref="L23:M23"/>
    <mergeCell ref="N23:O23"/>
    <mergeCell ref="P23:Q23"/>
    <mergeCell ref="R23:S23"/>
    <mergeCell ref="L24:M24"/>
    <mergeCell ref="N24:S24"/>
    <mergeCell ref="L25:M25"/>
    <mergeCell ref="N25:S25"/>
    <mergeCell ref="N22:O22"/>
    <mergeCell ref="P22:Q22"/>
    <mergeCell ref="R22:S22"/>
    <mergeCell ref="T2:T21"/>
    <mergeCell ref="U7:U8"/>
    <mergeCell ref="N3:O4"/>
    <mergeCell ref="P3:Q4"/>
    <mergeCell ref="R3:S4"/>
    <mergeCell ref="U3:V4"/>
    <mergeCell ref="U9:U14"/>
    <mergeCell ref="U15:U21"/>
    <mergeCell ref="U5:V5"/>
    <mergeCell ref="U6:V6"/>
    <mergeCell ref="L5:M5"/>
    <mergeCell ref="A1:Y1"/>
    <mergeCell ref="A2:J2"/>
    <mergeCell ref="L2:S2"/>
    <mergeCell ref="U2:Y2"/>
    <mergeCell ref="C3:D3"/>
    <mergeCell ref="E3:F3"/>
    <mergeCell ref="G3:H3"/>
    <mergeCell ref="I3:J3"/>
    <mergeCell ref="L3:M4"/>
    <mergeCell ref="W3:W4"/>
    <mergeCell ref="X3:X4"/>
    <mergeCell ref="Y3:Y4"/>
  </mergeCells>
  <phoneticPr fontId="97" type="noConversion"/>
  <pageMargins left="0.69861111111111107" right="0.69861111111111107" top="0.75" bottom="0.75" header="0.3" footer="0.3"/>
  <pageSetup paperSize="9" scale="6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1"/>
  </sheetPr>
  <dimension ref="A1:X46"/>
  <sheetViews>
    <sheetView view="pageBreakPreview" topLeftCell="A13" workbookViewId="0">
      <selection activeCell="A24" sqref="A24:IV24"/>
    </sheetView>
  </sheetViews>
  <sheetFormatPr defaultColWidth="9" defaultRowHeight="13.5"/>
  <cols>
    <col min="1" max="1" width="9" style="307"/>
    <col min="2" max="2" width="11" style="307" customWidth="1"/>
    <col min="3" max="3" width="10.75" style="307" customWidth="1"/>
    <col min="4" max="4" width="12" style="307" customWidth="1"/>
    <col min="5" max="6" width="12.25" style="307" customWidth="1"/>
    <col min="7" max="7" width="11.875" style="307" hidden="1" customWidth="1"/>
    <col min="8" max="11" width="12" style="307" hidden="1" customWidth="1"/>
    <col min="12" max="16" width="12" style="307" customWidth="1"/>
    <col min="17" max="17" width="10.125" style="307" customWidth="1"/>
    <col min="18" max="18" width="10.5" style="307" bestFit="1" customWidth="1"/>
    <col min="19" max="19" width="26.5" style="307" customWidth="1"/>
    <col min="20" max="20" width="25.625" style="307" customWidth="1"/>
    <col min="21" max="16384" width="9" style="307"/>
  </cols>
  <sheetData>
    <row r="1" spans="1:18" ht="14.25">
      <c r="A1" s="1057" t="s">
        <v>315</v>
      </c>
      <c r="B1" s="1057"/>
      <c r="C1" s="307">
        <v>2013</v>
      </c>
      <c r="D1" s="307">
        <v>11</v>
      </c>
      <c r="E1" s="307">
        <v>20</v>
      </c>
      <c r="N1" s="346"/>
      <c r="O1" s="347" t="s">
        <v>279</v>
      </c>
      <c r="P1" s="347">
        <v>1999</v>
      </c>
      <c r="Q1" s="346" t="s">
        <v>316</v>
      </c>
      <c r="R1" s="366">
        <v>0</v>
      </c>
    </row>
    <row r="2" spans="1:18" ht="14.25">
      <c r="A2" s="1069" t="s">
        <v>317</v>
      </c>
      <c r="B2" s="1057"/>
      <c r="N2" s="346"/>
      <c r="O2" s="347" t="s">
        <v>318</v>
      </c>
      <c r="P2" s="347">
        <v>60</v>
      </c>
      <c r="Q2" s="346" t="s">
        <v>319</v>
      </c>
      <c r="R2" s="307">
        <v>14</v>
      </c>
    </row>
    <row r="3" spans="1:18" ht="14.25">
      <c r="A3" s="1057"/>
      <c r="B3" s="1057"/>
      <c r="K3" s="307">
        <f>1-14/60</f>
        <v>0.76666666666666661</v>
      </c>
      <c r="N3" s="348"/>
      <c r="O3" s="197" t="s">
        <v>320</v>
      </c>
      <c r="P3" s="197" t="s">
        <v>321</v>
      </c>
    </row>
    <row r="4" spans="1:18" ht="14.25">
      <c r="A4" s="1057" t="s">
        <v>322</v>
      </c>
      <c r="B4" s="1057"/>
      <c r="D4" s="307" t="s">
        <v>323</v>
      </c>
      <c r="E4" s="308"/>
      <c r="F4" s="309"/>
      <c r="N4" s="197" t="s">
        <v>324</v>
      </c>
      <c r="O4" s="349">
        <f>ROUND(1-(1-$R$1)*14/$P$2,2)</f>
        <v>0.77</v>
      </c>
      <c r="P4" s="350">
        <f>ROUND('建筑（住）'!$D$22*'收（住租约）'!O4,0)</f>
        <v>5726</v>
      </c>
    </row>
    <row r="5" spans="1:18" ht="14.25">
      <c r="A5" s="1058" t="s">
        <v>325</v>
      </c>
      <c r="B5" s="1058"/>
      <c r="D5" s="307" t="s">
        <v>323</v>
      </c>
      <c r="E5" s="309"/>
      <c r="N5" s="197" t="s">
        <v>326</v>
      </c>
      <c r="O5" s="349">
        <f>ROUND(1-(1-$R$1)*15/$P$2,2)</f>
        <v>0.75</v>
      </c>
      <c r="P5" s="350">
        <f>ROUND('建筑（住）'!$D$22*'收（住租约）'!O5,0)</f>
        <v>5577</v>
      </c>
    </row>
    <row r="6" spans="1:18" ht="14.25">
      <c r="A6" s="1057" t="s">
        <v>327</v>
      </c>
      <c r="B6" s="1057"/>
      <c r="C6" s="306"/>
      <c r="D6" s="307" t="s">
        <v>323</v>
      </c>
      <c r="N6" s="197" t="s">
        <v>328</v>
      </c>
      <c r="O6" s="349">
        <f>ROUND(1-(1-$R$1)*16/$P$2,2)</f>
        <v>0.73</v>
      </c>
      <c r="P6" s="350">
        <f>ROUND('建筑（住）'!$D$22*'收（住租约）'!O6,0)</f>
        <v>5428</v>
      </c>
    </row>
    <row r="7" spans="1:18" ht="14.25">
      <c r="B7" s="310"/>
      <c r="N7" s="197" t="s">
        <v>329</v>
      </c>
      <c r="O7" s="349">
        <f>ROUND(1-(1-$R$1)*17/$P$2,2)</f>
        <v>0.72</v>
      </c>
      <c r="P7" s="350">
        <f>ROUND('建筑（住）'!$D$22*'收（住租约）'!O7,0)</f>
        <v>5354</v>
      </c>
    </row>
    <row r="8" spans="1:18" ht="42">
      <c r="A8" s="311" t="s">
        <v>330</v>
      </c>
      <c r="B8" s="312" t="s">
        <v>331</v>
      </c>
      <c r="C8" s="312" t="s">
        <v>332</v>
      </c>
      <c r="D8" s="313" t="s">
        <v>333</v>
      </c>
      <c r="E8" s="313" t="s">
        <v>334</v>
      </c>
      <c r="F8" s="314"/>
      <c r="G8" s="314"/>
      <c r="H8" s="315"/>
      <c r="I8" s="315"/>
      <c r="J8" s="351"/>
      <c r="K8" s="351"/>
      <c r="L8" s="352" t="s">
        <v>335</v>
      </c>
      <c r="N8" s="197" t="s">
        <v>336</v>
      </c>
      <c r="O8" s="349">
        <f>ROUND(1-(1-$R$1)*18/$P$2,2)</f>
        <v>0.7</v>
      </c>
      <c r="P8" s="350">
        <f>ROUND('建筑（住）'!$D$22*'收（住租约）'!O8,0)</f>
        <v>5205</v>
      </c>
    </row>
    <row r="9" spans="1:18" ht="14.25">
      <c r="A9" s="311" t="s">
        <v>130</v>
      </c>
      <c r="B9" s="316">
        <f>ROUND(B11*10000/B10/365,2)</f>
        <v>5.68</v>
      </c>
      <c r="C9" s="316">
        <f>ROUND(L9+L9*D33,2)</f>
        <v>5.72</v>
      </c>
      <c r="D9" s="316">
        <f>ROUND(D11*10000/D10/365,2)</f>
        <v>4.18</v>
      </c>
      <c r="E9" s="316">
        <f>ROUND(C9+C9*D33,2)</f>
        <v>5.95</v>
      </c>
      <c r="F9" s="316"/>
      <c r="G9" s="316"/>
      <c r="H9" s="316"/>
      <c r="I9" s="316"/>
      <c r="J9" s="316"/>
      <c r="K9" s="316"/>
      <c r="L9" s="320">
        <v>5.5</v>
      </c>
      <c r="N9" s="197" t="s">
        <v>337</v>
      </c>
      <c r="O9" s="349">
        <f>ROUND(1-(1-$R$1)*15/$P$2,2)</f>
        <v>0.75</v>
      </c>
      <c r="P9" s="350">
        <f>ROUND('建筑（住）'!$D$22*'收（住租约）'!O9,0)</f>
        <v>5577</v>
      </c>
    </row>
    <row r="10" spans="1:18" ht="14.25">
      <c r="A10" s="311" t="s">
        <v>338</v>
      </c>
      <c r="B10" s="316">
        <f>住租约!C97</f>
        <v>14914.640000000009</v>
      </c>
      <c r="C10" s="316">
        <f>B10</f>
        <v>14914.640000000009</v>
      </c>
      <c r="D10" s="316">
        <f>住租约!C100</f>
        <v>380.41999999999996</v>
      </c>
      <c r="E10" s="316">
        <f>D10</f>
        <v>380.41999999999996</v>
      </c>
      <c r="F10" s="316"/>
      <c r="G10" s="316"/>
      <c r="H10" s="316"/>
      <c r="I10" s="316"/>
      <c r="J10" s="316"/>
      <c r="K10" s="316"/>
      <c r="L10" s="320" t="e">
        <f>#REF!-住租约!C97-住租约!C100</f>
        <v>#REF!</v>
      </c>
      <c r="N10" s="197"/>
      <c r="O10" s="354"/>
      <c r="P10" s="350">
        <f>ROUND('建筑（住）'!$D$22*'收（住租约）'!O10,0)</f>
        <v>0</v>
      </c>
    </row>
    <row r="11" spans="1:18" ht="14.25">
      <c r="A11" s="311" t="s">
        <v>339</v>
      </c>
      <c r="B11" s="317">
        <f>ROUND(住租约!L97*12/10000,0)</f>
        <v>3094</v>
      </c>
      <c r="C11" s="317">
        <f>ROUND(C9*C10*365*(1-D21)/10000,0)</f>
        <v>2802</v>
      </c>
      <c r="D11" s="318">
        <f>ROUND(住租约!L100*12/10000,0)</f>
        <v>58</v>
      </c>
      <c r="E11" s="317">
        <f>ROUND(E9*365*E10*(1-F21)/10000,0)</f>
        <v>74</v>
      </c>
      <c r="F11" s="317"/>
      <c r="G11" s="317"/>
      <c r="H11" s="317"/>
      <c r="I11" s="317"/>
      <c r="J11" s="317"/>
      <c r="K11" s="317"/>
      <c r="L11" s="319" t="e">
        <f>ROUND(L9*L10*(1-M21)*365/10000,0)</f>
        <v>#REF!</v>
      </c>
      <c r="N11" s="197"/>
      <c r="O11" s="354"/>
      <c r="P11" s="350">
        <f>ROUND('建筑（住）'!$D$22*'收（住租约）'!O11,0)</f>
        <v>0</v>
      </c>
    </row>
    <row r="12" spans="1:18" ht="14.25">
      <c r="A12" s="311" t="s">
        <v>340</v>
      </c>
      <c r="B12" s="319">
        <v>0.69</v>
      </c>
      <c r="C12" s="319">
        <f>L12-B12</f>
        <v>49.43</v>
      </c>
      <c r="D12" s="319">
        <v>1.27</v>
      </c>
      <c r="E12" s="319">
        <f>L12-D12</f>
        <v>48.849999999999994</v>
      </c>
      <c r="F12" s="317"/>
      <c r="G12" s="317"/>
      <c r="H12" s="317"/>
      <c r="I12" s="317"/>
      <c r="J12" s="317"/>
      <c r="K12" s="317"/>
      <c r="L12" s="319">
        <v>50.12</v>
      </c>
      <c r="N12" s="197" t="s">
        <v>341</v>
      </c>
      <c r="O12" s="354">
        <v>0.78</v>
      </c>
      <c r="P12" s="350">
        <f>ROUND('建筑（住）'!$D$22*'收（住租约）'!O12,0)</f>
        <v>5800</v>
      </c>
    </row>
    <row r="13" spans="1:18" ht="14.25">
      <c r="A13" s="311" t="s">
        <v>71</v>
      </c>
      <c r="B13" s="316" t="e">
        <f>ROUND(B10/#REF!*(权属依据!B10+权属依据!E10),2)</f>
        <v>#REF!</v>
      </c>
      <c r="C13" s="320" t="e">
        <f>B13</f>
        <v>#REF!</v>
      </c>
      <c r="D13" s="320" t="e">
        <f>ROUND(D10/#REF!*(权属依据!B10+权属依据!E10),2)</f>
        <v>#REF!</v>
      </c>
      <c r="E13" s="320" t="e">
        <f>D13</f>
        <v>#REF!</v>
      </c>
      <c r="F13" s="320"/>
      <c r="G13" s="320"/>
      <c r="H13" s="320"/>
      <c r="I13" s="320"/>
      <c r="J13" s="320"/>
      <c r="K13" s="320"/>
      <c r="L13" s="320" t="e">
        <f>ROUND(L10/#REF!*(权属依据!B10+权属依据!E10),2)</f>
        <v>#REF!</v>
      </c>
      <c r="N13" s="197" t="s">
        <v>342</v>
      </c>
      <c r="O13" s="354">
        <v>0.77</v>
      </c>
      <c r="P13" s="350">
        <f>ROUND('建筑（住）'!$D$22*'收（住租约）'!O13,0)</f>
        <v>5726</v>
      </c>
    </row>
    <row r="14" spans="1:18" ht="14.25">
      <c r="A14" s="321"/>
      <c r="N14" s="197" t="s">
        <v>343</v>
      </c>
      <c r="O14" s="354">
        <v>0.75</v>
      </c>
      <c r="P14" s="350">
        <f>ROUND('建筑（住）'!$D$22*'收（住租约）'!O14,0)</f>
        <v>5577</v>
      </c>
    </row>
    <row r="15" spans="1:18">
      <c r="A15" s="321"/>
      <c r="B15" s="316"/>
      <c r="C15" s="316"/>
      <c r="D15" s="322"/>
    </row>
    <row r="16" spans="1:18" ht="14.25">
      <c r="A16" s="321"/>
      <c r="B16" s="323"/>
      <c r="C16" s="323"/>
      <c r="D16" s="322">
        <f>B10+D10+F10+H10+J10</f>
        <v>15295.060000000009</v>
      </c>
      <c r="N16" s="197" t="s">
        <v>344</v>
      </c>
      <c r="O16" s="354">
        <v>0.72</v>
      </c>
      <c r="P16" s="350" t="e">
        <f>ROUND([2]建筑物部分!$C$18*'[2]收益法（公寓用房）'!O16,0)</f>
        <v>#REF!</v>
      </c>
    </row>
    <row r="17" spans="1:17" ht="14.25">
      <c r="A17" s="321"/>
      <c r="B17" s="321"/>
      <c r="N17" s="197"/>
      <c r="O17" s="354"/>
      <c r="P17" s="350"/>
    </row>
    <row r="18" spans="1:17" ht="42" customHeight="1">
      <c r="A18" s="324" t="s">
        <v>69</v>
      </c>
      <c r="B18" s="325" t="s">
        <v>124</v>
      </c>
      <c r="C18" s="326" t="str">
        <f>B8</f>
        <v>2014年租期租约期内（2013.11.20至2014.7.30）</v>
      </c>
      <c r="D18" s="326" t="str">
        <f>C8</f>
        <v>2014年租期租约期外（2014.7.31至2064.1.3）</v>
      </c>
      <c r="E18" s="326" t="str">
        <f>D8</f>
        <v>2015租约期内（2013.11.20至2015.2.28）</v>
      </c>
      <c r="F18" s="326" t="str">
        <f>E8</f>
        <v>2015租约期外（2015.3.1至2064.1.3）</v>
      </c>
      <c r="G18" s="326"/>
      <c r="H18" s="326"/>
      <c r="I18" s="326"/>
      <c r="J18" s="326"/>
      <c r="K18" s="326"/>
      <c r="L18" s="326"/>
      <c r="M18" s="326" t="str">
        <f>L8</f>
        <v>租约期外</v>
      </c>
      <c r="N18" s="326"/>
      <c r="O18" s="230" t="s">
        <v>345</v>
      </c>
      <c r="P18" s="230" t="s">
        <v>346</v>
      </c>
    </row>
    <row r="19" spans="1:17">
      <c r="A19" s="229" t="s">
        <v>347</v>
      </c>
      <c r="B19" s="230" t="s">
        <v>348</v>
      </c>
      <c r="C19" s="231">
        <f>B10</f>
        <v>14914.640000000009</v>
      </c>
      <c r="D19" s="231">
        <f>C10</f>
        <v>14914.640000000009</v>
      </c>
      <c r="E19" s="231">
        <f>D10</f>
        <v>380.41999999999996</v>
      </c>
      <c r="F19" s="231">
        <f>E10</f>
        <v>380.41999999999996</v>
      </c>
      <c r="G19" s="231"/>
      <c r="H19" s="231"/>
      <c r="I19" s="231"/>
      <c r="J19" s="231"/>
      <c r="K19" s="231"/>
      <c r="L19" s="231"/>
      <c r="M19" s="231" t="e">
        <f>L10</f>
        <v>#REF!</v>
      </c>
      <c r="N19" s="231"/>
      <c r="O19" s="230"/>
      <c r="P19" s="355"/>
    </row>
    <row r="20" spans="1:17">
      <c r="A20" s="229" t="s">
        <v>349</v>
      </c>
      <c r="B20" s="232" t="s">
        <v>130</v>
      </c>
      <c r="C20" s="327">
        <f>B9</f>
        <v>5.68</v>
      </c>
      <c r="D20" s="327">
        <f>C9</f>
        <v>5.72</v>
      </c>
      <c r="E20" s="327">
        <f>D9</f>
        <v>4.18</v>
      </c>
      <c r="F20" s="327">
        <f>E9</f>
        <v>5.95</v>
      </c>
      <c r="G20" s="327"/>
      <c r="H20" s="327"/>
      <c r="I20" s="327"/>
      <c r="J20" s="327"/>
      <c r="K20" s="327"/>
      <c r="L20" s="327"/>
      <c r="M20" s="327">
        <f>L9</f>
        <v>5.5</v>
      </c>
      <c r="N20" s="327"/>
      <c r="O20" s="230"/>
      <c r="P20" s="355"/>
    </row>
    <row r="21" spans="1:17">
      <c r="A21" s="229" t="s">
        <v>350</v>
      </c>
      <c r="B21" s="232" t="s">
        <v>351</v>
      </c>
      <c r="C21" s="328" t="s">
        <v>281</v>
      </c>
      <c r="D21" s="329">
        <v>0.1</v>
      </c>
      <c r="E21" s="328" t="s">
        <v>281</v>
      </c>
      <c r="F21" s="329">
        <f>D21</f>
        <v>0.1</v>
      </c>
      <c r="G21" s="329"/>
      <c r="H21" s="329"/>
      <c r="I21" s="329"/>
      <c r="J21" s="329"/>
      <c r="K21" s="329"/>
      <c r="L21" s="329"/>
      <c r="M21" s="329">
        <f>F21</f>
        <v>0.1</v>
      </c>
      <c r="N21" s="329"/>
      <c r="O21" s="230"/>
      <c r="P21" s="355"/>
    </row>
    <row r="22" spans="1:17" s="305" customFormat="1" ht="21.75" customHeight="1">
      <c r="A22" s="330">
        <v>1</v>
      </c>
      <c r="B22" s="233" t="s">
        <v>352</v>
      </c>
      <c r="C22" s="331">
        <f>B11</f>
        <v>3094</v>
      </c>
      <c r="D22" s="331">
        <f>C11</f>
        <v>2802</v>
      </c>
      <c r="E22" s="331">
        <f>D11</f>
        <v>58</v>
      </c>
      <c r="F22" s="331">
        <f>E11</f>
        <v>74</v>
      </c>
      <c r="G22" s="331"/>
      <c r="H22" s="331"/>
      <c r="I22" s="331"/>
      <c r="J22" s="331"/>
      <c r="K22" s="331"/>
      <c r="L22" s="331"/>
      <c r="M22" s="331" t="e">
        <f>L11</f>
        <v>#REF!</v>
      </c>
      <c r="N22" s="331"/>
      <c r="O22" s="1059" t="s">
        <v>353</v>
      </c>
      <c r="P22" s="1060"/>
    </row>
    <row r="23" spans="1:17" ht="22.5" customHeight="1">
      <c r="A23" s="229" t="s">
        <v>354</v>
      </c>
      <c r="B23" s="234" t="s">
        <v>355</v>
      </c>
      <c r="C23" s="332">
        <f t="shared" ref="C23:F23" si="0">ROUND(C22*$O$23,2)</f>
        <v>173.26</v>
      </c>
      <c r="D23" s="332">
        <f t="shared" si="0"/>
        <v>156.91</v>
      </c>
      <c r="E23" s="332">
        <f t="shared" si="0"/>
        <v>3.25</v>
      </c>
      <c r="F23" s="332">
        <f t="shared" si="0"/>
        <v>4.1399999999999997</v>
      </c>
      <c r="G23" s="332"/>
      <c r="H23" s="332"/>
      <c r="I23" s="332"/>
      <c r="J23" s="332"/>
      <c r="K23" s="332"/>
      <c r="L23" s="332"/>
      <c r="M23" s="332" t="e">
        <f>ROUND(M22*$O$23,2)</f>
        <v>#REF!</v>
      </c>
      <c r="N23" s="332"/>
      <c r="O23" s="243">
        <v>5.6000000000000001E-2</v>
      </c>
      <c r="P23" s="240" t="s">
        <v>356</v>
      </c>
    </row>
    <row r="24" spans="1:17" ht="22.9" customHeight="1">
      <c r="A24" s="229" t="s">
        <v>357</v>
      </c>
      <c r="B24" s="333" t="s">
        <v>358</v>
      </c>
      <c r="C24" s="334">
        <f>ROUND(('建筑（住）'!$D$22*(1-'建筑（住）'!$D$20)-'建筑（住）'!$D$19)*70%*1.2%*C19/10000,2)</f>
        <v>76.78</v>
      </c>
      <c r="D24" s="334">
        <f>ROUND(('建筑（住）'!$D$22*(1-'建筑（住）'!$D$20)-'建筑（住）'!$D$19)*70%*1.2%*D19/10000,2)</f>
        <v>76.78</v>
      </c>
      <c r="E24" s="334">
        <f>ROUND(('建筑（住）'!$D$22*(1-'建筑（住）'!$D$20)-'建筑（住）'!$D$19)*70%*1.2%*E19/10000,2)</f>
        <v>1.96</v>
      </c>
      <c r="F24" s="334">
        <f>ROUND(('建筑（住）'!$D$22*(1-'建筑（住）'!$D$20)-'建筑（住）'!$D$19)*70%*1.2%*F19/10000,2)</f>
        <v>1.96</v>
      </c>
      <c r="G24" s="334">
        <f>ROUND(('建筑（住）'!$D$22*(1-'建筑（住）'!$D$20)-'建筑（住）'!$D$19)*70%*1.2%*G19/10000,2)</f>
        <v>0</v>
      </c>
      <c r="H24" s="334">
        <f>ROUND(('建筑（住）'!$D$22*(1-'建筑（住）'!$D$20)-'建筑（住）'!$D$19)*70%*1.2%*H19/10000,2)</f>
        <v>0</v>
      </c>
      <c r="I24" s="334">
        <f>ROUND(('建筑（住）'!$D$22*(1-'建筑（住）'!$D$20)-'建筑（住）'!$D$19)*70%*1.2%*I19/10000,2)</f>
        <v>0</v>
      </c>
      <c r="J24" s="334">
        <f>ROUND(('建筑（住）'!$D$22*(1-'建筑（住）'!$D$20)-'建筑（住）'!$D$19)*70%*1.2%*J19/10000,2)</f>
        <v>0</v>
      </c>
      <c r="K24" s="334">
        <f>ROUND(('建筑（住）'!$D$22*(1-'建筑（住）'!$D$20)-'建筑（住）'!$D$19)*70%*1.2%*K19/10000,2)</f>
        <v>0</v>
      </c>
      <c r="L24" s="334"/>
      <c r="M24" s="334" t="e">
        <f>ROUND(('建筑（住）'!$D$22*(1-'建筑（住）'!$D$20)-'建筑（住）'!$D$19)*70%*1.2%*M19/10000,2)</f>
        <v>#REF!</v>
      </c>
      <c r="N24" s="334"/>
      <c r="O24" s="243">
        <v>1.2E-2</v>
      </c>
      <c r="P24" s="240" t="s">
        <v>359</v>
      </c>
    </row>
    <row r="25" spans="1:17" ht="22.9" customHeight="1">
      <c r="A25" s="229" t="s">
        <v>360</v>
      </c>
      <c r="B25" s="333" t="s">
        <v>361</v>
      </c>
      <c r="C25" s="334" t="e">
        <f>ROUND(B13*$O$25/10000,2)</f>
        <v>#REF!</v>
      </c>
      <c r="D25" s="334" t="e">
        <f>ROUND(C13*$O$25/10000,2)</f>
        <v>#REF!</v>
      </c>
      <c r="E25" s="334" t="e">
        <f>ROUND(D13*$O$25/10000,2)</f>
        <v>#REF!</v>
      </c>
      <c r="F25" s="334" t="e">
        <f>ROUND(E13*$O$25/10000,2)</f>
        <v>#REF!</v>
      </c>
      <c r="G25" s="334"/>
      <c r="H25" s="334"/>
      <c r="I25" s="334"/>
      <c r="J25" s="334"/>
      <c r="K25" s="334"/>
      <c r="L25" s="334"/>
      <c r="M25" s="334" t="e">
        <f>ROUND(L13*$O$25/10000,2)</f>
        <v>#REF!</v>
      </c>
      <c r="N25" s="357"/>
      <c r="O25" s="244">
        <v>24</v>
      </c>
      <c r="P25" s="358" t="s">
        <v>362</v>
      </c>
    </row>
    <row r="26" spans="1:17" ht="24" customHeight="1">
      <c r="A26" s="235" t="s">
        <v>363</v>
      </c>
      <c r="B26" s="335" t="s">
        <v>364</v>
      </c>
      <c r="C26" s="331" t="e">
        <f t="shared" ref="C26:F26" si="1">ROUND(SUM(C23:C25,0),0)</f>
        <v>#REF!</v>
      </c>
      <c r="D26" s="331" t="e">
        <f t="shared" si="1"/>
        <v>#REF!</v>
      </c>
      <c r="E26" s="331" t="e">
        <f>ROUND(SUM(E23:E25),0)</f>
        <v>#REF!</v>
      </c>
      <c r="F26" s="331" t="e">
        <f t="shared" si="1"/>
        <v>#REF!</v>
      </c>
      <c r="G26" s="331"/>
      <c r="H26" s="331"/>
      <c r="I26" s="331"/>
      <c r="J26" s="331"/>
      <c r="K26" s="331"/>
      <c r="L26" s="331"/>
      <c r="M26" s="331" t="e">
        <f>ROUND(SUM(M23:M25),0)</f>
        <v>#REF!</v>
      </c>
      <c r="N26" s="331"/>
      <c r="O26" s="359"/>
      <c r="P26" s="360" t="s">
        <v>365</v>
      </c>
    </row>
    <row r="27" spans="1:17" ht="19.899999999999999" customHeight="1">
      <c r="A27" s="229" t="s">
        <v>366</v>
      </c>
      <c r="B27" s="236" t="s">
        <v>367</v>
      </c>
      <c r="C27" s="332">
        <f>ROUND('建筑（住）'!$D$22*'收（住租约）'!C19*$O$27/10000,2)</f>
        <v>22.18</v>
      </c>
      <c r="D27" s="332">
        <f>ROUND('建筑（住）'!$D$22*'收（住租约）'!D19*$O$27/10000,2)</f>
        <v>22.18</v>
      </c>
      <c r="E27" s="332">
        <f>ROUND('建筑（住）'!$D$22*'收（住租约）'!E19*$O$27/10000,2)</f>
        <v>0.56999999999999995</v>
      </c>
      <c r="F27" s="332">
        <f>ROUND('建筑（住）'!$D$22*'收（住租约）'!F19*$O$27/10000,2)</f>
        <v>0.56999999999999995</v>
      </c>
      <c r="G27" s="332">
        <f>ROUND('建筑（住）'!$D$22*'收（住租约）'!G19*$O$27/10000,2)</f>
        <v>0</v>
      </c>
      <c r="H27" s="332">
        <f>ROUND('建筑（住）'!$D$22*'收（住租约）'!H19*$O$27/10000,2)</f>
        <v>0</v>
      </c>
      <c r="I27" s="332">
        <f>ROUND('建筑（住）'!$D$22*'收（住租约）'!I19*$O$27/10000,2)</f>
        <v>0</v>
      </c>
      <c r="J27" s="332">
        <f>ROUND('建筑（住）'!$D$22*'收（住租约）'!J19*$O$27/10000,2)</f>
        <v>0</v>
      </c>
      <c r="K27" s="332">
        <f>ROUND('建筑（住）'!$D$22*'收（住租约）'!K19*$O$27/10000,2)</f>
        <v>0</v>
      </c>
      <c r="L27" s="332"/>
      <c r="M27" s="332" t="e">
        <f>ROUND('建筑（住）'!$D$22*'收（住租约）'!M19*$O$27/10000,2)</f>
        <v>#REF!</v>
      </c>
      <c r="N27" s="332"/>
      <c r="O27" s="245">
        <v>2E-3</v>
      </c>
      <c r="P27" s="358" t="s">
        <v>368</v>
      </c>
    </row>
    <row r="28" spans="1:17" ht="19.899999999999999" customHeight="1">
      <c r="A28" s="229" t="s">
        <v>369</v>
      </c>
      <c r="B28" s="236" t="s">
        <v>370</v>
      </c>
      <c r="C28" s="332">
        <f>ROUND(P4*C19*$O$28/10000,2)</f>
        <v>2.14</v>
      </c>
      <c r="D28" s="332">
        <f>ROUND(P5*D19*$O$28/10000,2)</f>
        <v>2.08</v>
      </c>
      <c r="E28" s="332">
        <f>ROUND(P4*E19*$O$28/10000,5)</f>
        <v>5.4460000000000001E-2</v>
      </c>
      <c r="F28" s="332">
        <f>ROUND(P6*F19*$O$28/10000,2)</f>
        <v>0.05</v>
      </c>
      <c r="G28" s="332"/>
      <c r="H28" s="332"/>
      <c r="I28" s="332"/>
      <c r="J28" s="332"/>
      <c r="K28" s="332"/>
      <c r="L28" s="332"/>
      <c r="M28" s="332" t="e">
        <f>ROUND(P4*M19*$O$28/10000,2)</f>
        <v>#REF!</v>
      </c>
      <c r="N28" s="332"/>
      <c r="O28" s="246">
        <v>2.5000000000000001E-4</v>
      </c>
      <c r="P28" s="247" t="s">
        <v>371</v>
      </c>
    </row>
    <row r="29" spans="1:17" ht="19.899999999999999" customHeight="1">
      <c r="A29" s="229" t="s">
        <v>372</v>
      </c>
      <c r="B29" s="236" t="s">
        <v>373</v>
      </c>
      <c r="C29" s="332">
        <f t="shared" ref="C29:F29" si="2">ROUND(C22*$O$29,2)</f>
        <v>61.88</v>
      </c>
      <c r="D29" s="332">
        <f t="shared" si="2"/>
        <v>56.04</v>
      </c>
      <c r="E29" s="332">
        <f t="shared" si="2"/>
        <v>1.1599999999999999</v>
      </c>
      <c r="F29" s="332">
        <f t="shared" si="2"/>
        <v>1.48</v>
      </c>
      <c r="G29" s="332"/>
      <c r="H29" s="332"/>
      <c r="I29" s="332"/>
      <c r="J29" s="332"/>
      <c r="K29" s="332"/>
      <c r="L29" s="332"/>
      <c r="M29" s="332" t="e">
        <f>ROUND(M22*$O$29,2)</f>
        <v>#REF!</v>
      </c>
      <c r="N29" s="332"/>
      <c r="O29" s="248">
        <v>0.02</v>
      </c>
      <c r="P29" s="242" t="s">
        <v>356</v>
      </c>
      <c r="Q29" s="307">
        <f>('建筑（住）'!D22*(1-'建筑（住）'!D20)-'建筑（住）'!D16)</f>
        <v>6918.2300000000005</v>
      </c>
    </row>
    <row r="30" spans="1:17" ht="24">
      <c r="A30" s="229">
        <v>2</v>
      </c>
      <c r="B30" s="232" t="s">
        <v>374</v>
      </c>
      <c r="C30" s="336" t="e">
        <f t="shared" ref="C30:F30" si="3">ROUND(SUM(C26:C29),0)</f>
        <v>#REF!</v>
      </c>
      <c r="D30" s="336" t="e">
        <f t="shared" si="3"/>
        <v>#REF!</v>
      </c>
      <c r="E30" s="336" t="e">
        <f t="shared" si="3"/>
        <v>#REF!</v>
      </c>
      <c r="F30" s="336" t="e">
        <f t="shared" si="3"/>
        <v>#REF!</v>
      </c>
      <c r="G30" s="336"/>
      <c r="H30" s="336"/>
      <c r="I30" s="336"/>
      <c r="J30" s="336"/>
      <c r="K30" s="336"/>
      <c r="L30" s="336"/>
      <c r="M30" s="336" t="e">
        <f>ROUND(SUM(M26:M29),0)</f>
        <v>#REF!</v>
      </c>
      <c r="N30" s="336"/>
      <c r="O30" s="232"/>
      <c r="P30" s="361" t="s">
        <v>375</v>
      </c>
    </row>
    <row r="31" spans="1:17" ht="24">
      <c r="A31" s="229" t="s">
        <v>376</v>
      </c>
      <c r="B31" s="232" t="s">
        <v>377</v>
      </c>
      <c r="C31" s="336" t="e">
        <f t="shared" ref="C31:F31" si="4">ROUND(C22-C30,0)</f>
        <v>#REF!</v>
      </c>
      <c r="D31" s="336" t="e">
        <f t="shared" si="4"/>
        <v>#REF!</v>
      </c>
      <c r="E31" s="336" t="e">
        <f t="shared" si="4"/>
        <v>#REF!</v>
      </c>
      <c r="F31" s="336" t="e">
        <f t="shared" si="4"/>
        <v>#REF!</v>
      </c>
      <c r="G31" s="336"/>
      <c r="H31" s="336"/>
      <c r="I31" s="336"/>
      <c r="J31" s="336"/>
      <c r="K31" s="336"/>
      <c r="L31" s="336"/>
      <c r="M31" s="336" t="e">
        <f>ROUND(M22-M30,0)</f>
        <v>#REF!</v>
      </c>
      <c r="N31" s="336"/>
      <c r="O31" s="232"/>
      <c r="P31" s="249" t="s">
        <v>349</v>
      </c>
    </row>
    <row r="32" spans="1:17" ht="60">
      <c r="A32" s="229" t="s">
        <v>378</v>
      </c>
      <c r="B32" s="237" t="s">
        <v>379</v>
      </c>
      <c r="C32" s="337">
        <v>0.06</v>
      </c>
      <c r="D32" s="337">
        <f>C32</f>
        <v>0.06</v>
      </c>
      <c r="E32" s="337">
        <f>D32</f>
        <v>0.06</v>
      </c>
      <c r="F32" s="337">
        <f>E32</f>
        <v>0.06</v>
      </c>
      <c r="G32" s="337"/>
      <c r="H32" s="337"/>
      <c r="I32" s="337"/>
      <c r="J32" s="337"/>
      <c r="K32" s="337"/>
      <c r="L32" s="337"/>
      <c r="M32" s="337">
        <f>F32</f>
        <v>0.06</v>
      </c>
      <c r="N32" s="337"/>
      <c r="O32" s="250"/>
      <c r="P32" s="362" t="s">
        <v>380</v>
      </c>
    </row>
    <row r="33" spans="1:24" ht="19.5" customHeight="1">
      <c r="A33" s="229" t="s">
        <v>381</v>
      </c>
      <c r="B33" s="237" t="s">
        <v>382</v>
      </c>
      <c r="C33" s="337" t="s">
        <v>281</v>
      </c>
      <c r="D33" s="337">
        <v>0.04</v>
      </c>
      <c r="E33" s="337" t="s">
        <v>281</v>
      </c>
      <c r="F33" s="337">
        <f>D33</f>
        <v>0.04</v>
      </c>
      <c r="G33" s="724"/>
      <c r="H33" s="337"/>
      <c r="I33" s="724"/>
      <c r="J33" s="337"/>
      <c r="K33" s="724"/>
      <c r="L33" s="337"/>
      <c r="M33" s="337">
        <f>F33</f>
        <v>0.04</v>
      </c>
      <c r="N33" s="337"/>
      <c r="O33" s="238" t="s">
        <v>281</v>
      </c>
      <c r="P33" s="238"/>
      <c r="Q33" s="250"/>
      <c r="R33" s="367"/>
    </row>
    <row r="34" spans="1:24" ht="24">
      <c r="A34" s="229" t="s">
        <v>383</v>
      </c>
      <c r="B34" s="237" t="s">
        <v>384</v>
      </c>
      <c r="C34" s="338">
        <f>B12</f>
        <v>0.69</v>
      </c>
      <c r="D34" s="338">
        <f>C12</f>
        <v>49.43</v>
      </c>
      <c r="E34" s="338">
        <f>D12</f>
        <v>1.27</v>
      </c>
      <c r="F34" s="338">
        <f>E12</f>
        <v>48.849999999999994</v>
      </c>
      <c r="G34" s="338"/>
      <c r="H34" s="338"/>
      <c r="I34" s="338"/>
      <c r="J34" s="338"/>
      <c r="K34" s="338"/>
      <c r="L34" s="338"/>
      <c r="M34" s="338">
        <f>L12</f>
        <v>50.12</v>
      </c>
      <c r="N34" s="338"/>
      <c r="O34" s="237"/>
      <c r="P34" s="237"/>
      <c r="Q34" s="251"/>
      <c r="R34" s="367"/>
    </row>
    <row r="35" spans="1:24">
      <c r="A35" s="229" t="s">
        <v>385</v>
      </c>
      <c r="B35" s="230" t="s">
        <v>104</v>
      </c>
      <c r="C35" s="339" t="e">
        <f>ROUND(C31/C32*(1-1/(1+C32)^C34),0)</f>
        <v>#REF!</v>
      </c>
      <c r="D35" s="339" t="e">
        <f>ROUND(D31/(D32-D33)*(1-((1+D33)/(1+D32))^D34),0)</f>
        <v>#REF!</v>
      </c>
      <c r="E35" s="339" t="e">
        <f>ROUND(E31/E32*(1-1/(1+E32)^E34),0)</f>
        <v>#REF!</v>
      </c>
      <c r="F35" s="339" t="e">
        <f>ROUND(F31/(F32-F33)*(1-((1+F33)/(1+F32))^F34),0)</f>
        <v>#REF!</v>
      </c>
      <c r="G35" s="339"/>
      <c r="H35" s="339"/>
      <c r="I35" s="339"/>
      <c r="J35" s="339"/>
      <c r="K35" s="339"/>
      <c r="L35" s="339"/>
      <c r="M35" s="339" t="e">
        <f>ROUND(M31/(M32-M33)*(1-((1+M33)/(1+M32))^M34),0)</f>
        <v>#REF!</v>
      </c>
      <c r="N35" s="339"/>
      <c r="O35" s="363"/>
      <c r="P35" s="363"/>
      <c r="Q35" s="368"/>
      <c r="R35" s="369"/>
    </row>
    <row r="36" spans="1:24">
      <c r="A36" s="229"/>
      <c r="B36" s="230" t="s">
        <v>386</v>
      </c>
      <c r="C36" s="339"/>
      <c r="D36" s="725">
        <f>C34</f>
        <v>0.69</v>
      </c>
      <c r="E36" s="332"/>
      <c r="F36" s="725">
        <f>E34</f>
        <v>1.27</v>
      </c>
      <c r="G36" s="725"/>
      <c r="H36" s="725"/>
      <c r="I36" s="725"/>
      <c r="J36" s="725"/>
      <c r="K36" s="725"/>
      <c r="L36" s="725"/>
      <c r="M36" s="725"/>
      <c r="N36" s="725"/>
      <c r="O36" s="363"/>
      <c r="P36" s="363"/>
      <c r="Q36" s="368"/>
      <c r="R36" s="369"/>
    </row>
    <row r="37" spans="1:24">
      <c r="A37" s="229" t="s">
        <v>387</v>
      </c>
      <c r="B37" s="230" t="s">
        <v>388</v>
      </c>
      <c r="C37" s="339" t="e">
        <f>C35</f>
        <v>#REF!</v>
      </c>
      <c r="D37" s="726" t="e">
        <f>ROUND(D35/(1+C32)^D36,0)</f>
        <v>#REF!</v>
      </c>
      <c r="E37" s="339" t="e">
        <f>ROUND(E35/(1+E32)^E36,0)</f>
        <v>#REF!</v>
      </c>
      <c r="F37" s="726" t="e">
        <f>ROUND(F35/(1+E32)^F36,0)</f>
        <v>#REF!</v>
      </c>
      <c r="G37" s="339"/>
      <c r="H37" s="339"/>
      <c r="I37" s="339"/>
      <c r="J37" s="339"/>
      <c r="K37" s="339"/>
      <c r="L37" s="339"/>
      <c r="M37" s="339" t="e">
        <f>ROUND(M35/(1+M32)^M36,0)</f>
        <v>#REF!</v>
      </c>
      <c r="N37" s="339">
        <f>ROUND(N35/(1+N32)^N36,0)</f>
        <v>0</v>
      </c>
      <c r="O37" s="363"/>
      <c r="P37" s="363"/>
      <c r="Q37" s="368"/>
      <c r="R37" s="241"/>
      <c r="S37" s="372"/>
    </row>
    <row r="38" spans="1:24">
      <c r="A38" s="229" t="s">
        <v>389</v>
      </c>
      <c r="B38" s="232" t="s">
        <v>85</v>
      </c>
      <c r="C38" s="1070" t="e">
        <f>ROUND(SUM(C37:P37),0)</f>
        <v>#REF!</v>
      </c>
      <c r="D38" s="1071"/>
      <c r="E38" s="1071"/>
      <c r="F38" s="1071"/>
      <c r="G38" s="1071"/>
      <c r="H38" s="1071"/>
      <c r="I38" s="1071"/>
      <c r="J38" s="1071"/>
      <c r="K38" s="1071"/>
      <c r="L38" s="1071"/>
      <c r="M38" s="364"/>
      <c r="N38" s="364"/>
      <c r="O38" s="364"/>
      <c r="P38" s="364"/>
      <c r="Q38" s="364"/>
      <c r="R38" s="364"/>
      <c r="S38" s="364"/>
      <c r="T38" s="364"/>
      <c r="U38" s="364"/>
      <c r="V38" s="373"/>
      <c r="W38" s="368"/>
      <c r="X38" s="372"/>
    </row>
    <row r="39" spans="1:24">
      <c r="A39" s="229" t="s">
        <v>390</v>
      </c>
      <c r="B39" s="230" t="s">
        <v>83</v>
      </c>
      <c r="C39" s="1061" t="e">
        <f>ROUND(C38/#REF!*10000,0)</f>
        <v>#REF!</v>
      </c>
      <c r="D39" s="1062"/>
      <c r="E39" s="1062"/>
      <c r="F39" s="1062"/>
      <c r="G39" s="1062"/>
      <c r="H39" s="1062"/>
      <c r="I39" s="1062"/>
      <c r="J39" s="1062"/>
      <c r="K39" s="1062"/>
      <c r="L39" s="1062"/>
      <c r="M39" s="365"/>
      <c r="N39" s="365"/>
      <c r="O39" s="365"/>
      <c r="P39" s="365"/>
      <c r="Q39" s="365"/>
      <c r="R39" s="365"/>
      <c r="S39" s="365"/>
      <c r="T39" s="365"/>
      <c r="U39" s="365"/>
      <c r="V39" s="375"/>
      <c r="W39" s="368"/>
      <c r="X39" s="372"/>
    </row>
    <row r="41" spans="1:24">
      <c r="C41" s="95" t="s">
        <v>391</v>
      </c>
      <c r="D41" s="96">
        <f>ROUND(P4*C19/10000*D42,0)</f>
        <v>683</v>
      </c>
      <c r="E41" s="97"/>
      <c r="F41" s="97"/>
    </row>
    <row r="42" spans="1:24" ht="24">
      <c r="C42" s="98" t="s">
        <v>392</v>
      </c>
      <c r="D42" s="99">
        <v>0.08</v>
      </c>
      <c r="E42" s="98" t="s">
        <v>393</v>
      </c>
      <c r="F42" s="99"/>
    </row>
    <row r="43" spans="1:24">
      <c r="C43" s="1063" t="s">
        <v>394</v>
      </c>
      <c r="D43" s="1064"/>
      <c r="E43" s="1064"/>
      <c r="F43" s="1065"/>
    </row>
    <row r="44" spans="1:24">
      <c r="C44" s="1066" t="s">
        <v>395</v>
      </c>
      <c r="D44" s="1066"/>
      <c r="E44" s="1067" t="s">
        <v>396</v>
      </c>
      <c r="F44" s="1068"/>
    </row>
    <row r="45" spans="1:24">
      <c r="C45" s="95" t="s">
        <v>397</v>
      </c>
      <c r="D45" s="100" t="e">
        <f>D41/C31</f>
        <v>#REF!</v>
      </c>
      <c r="E45" s="101"/>
      <c r="F45" s="100"/>
    </row>
    <row r="46" spans="1:24">
      <c r="C46" s="95" t="s">
        <v>398</v>
      </c>
      <c r="D46" s="100" t="e">
        <f>1-D45</f>
        <v>#REF!</v>
      </c>
      <c r="E46" s="101"/>
      <c r="F46" s="102"/>
    </row>
  </sheetData>
  <mergeCells count="11">
    <mergeCell ref="C39:L39"/>
    <mergeCell ref="C43:F43"/>
    <mergeCell ref="C44:D44"/>
    <mergeCell ref="E44:F44"/>
    <mergeCell ref="A2:B3"/>
    <mergeCell ref="C38:L38"/>
    <mergeCell ref="A1:B1"/>
    <mergeCell ref="A4:B4"/>
    <mergeCell ref="A5:B5"/>
    <mergeCell ref="A6:B6"/>
    <mergeCell ref="O22:P22"/>
  </mergeCells>
  <phoneticPr fontId="97" type="noConversion"/>
  <pageMargins left="0.70833333333333337" right="0.70833333333333337" top="0.74791666666666667" bottom="0.74791666666666667" header="0.31458333333333333" footer="0.31458333333333333"/>
  <pageSetup paperSize="9" scale="56" orientation="landscape" r:id="rId1"/>
  <headerFooter alignWithMargins="0"/>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51"/>
  </sheetPr>
  <dimension ref="B1:N24"/>
  <sheetViews>
    <sheetView view="pageBreakPreview" workbookViewId="0">
      <selection activeCell="A25" sqref="A25:IV40"/>
    </sheetView>
  </sheetViews>
  <sheetFormatPr defaultColWidth="9" defaultRowHeight="13.5"/>
  <cols>
    <col min="1" max="1" width="2.625" style="45" customWidth="1"/>
    <col min="2" max="2" width="6.125" style="46" customWidth="1"/>
    <col min="3" max="3" width="17.875" style="45" customWidth="1"/>
    <col min="4" max="4" width="11.625" style="45" bestFit="1" customWidth="1"/>
    <col min="5" max="5" width="13.25" style="45" customWidth="1"/>
    <col min="6" max="6" width="13" style="45" customWidth="1"/>
    <col min="7" max="7" width="11.875" style="45" customWidth="1"/>
    <col min="8" max="8" width="25" style="45" bestFit="1" customWidth="1"/>
    <col min="9" max="9" width="9" style="45"/>
    <col min="10" max="10" width="10.5" style="45" bestFit="1" customWidth="1"/>
    <col min="11" max="16384" width="9" style="45"/>
  </cols>
  <sheetData>
    <row r="1" spans="2:12">
      <c r="B1" s="1077" t="s">
        <v>399</v>
      </c>
      <c r="C1" s="1078"/>
      <c r="D1" s="1078"/>
      <c r="E1" s="1078"/>
      <c r="F1" s="1078"/>
      <c r="G1" s="1078"/>
      <c r="H1" s="1079"/>
    </row>
    <row r="2" spans="2:12">
      <c r="B2" s="1080" t="s">
        <v>400</v>
      </c>
      <c r="C2" s="1080"/>
      <c r="D2" s="1080"/>
      <c r="E2" s="1080"/>
      <c r="F2" s="1080"/>
      <c r="G2" s="1080"/>
      <c r="H2" s="1080"/>
    </row>
    <row r="3" spans="2:12" customFormat="1">
      <c r="B3" s="58" t="s">
        <v>69</v>
      </c>
      <c r="C3" s="59" t="s">
        <v>124</v>
      </c>
      <c r="D3" s="60" t="s">
        <v>82</v>
      </c>
      <c r="E3" s="61" t="s">
        <v>41</v>
      </c>
      <c r="F3" s="61" t="s">
        <v>401</v>
      </c>
      <c r="G3" s="61" t="s">
        <v>402</v>
      </c>
      <c r="H3" s="62"/>
    </row>
    <row r="4" spans="2:12" customFormat="1">
      <c r="B4" s="58">
        <v>1.1000000000000001</v>
      </c>
      <c r="C4" s="63" t="s">
        <v>403</v>
      </c>
      <c r="D4" s="60">
        <f>SUM(D5:D7)</f>
        <v>4000</v>
      </c>
      <c r="E4" s="64">
        <f>SUM(E5:E7)</f>
        <v>1</v>
      </c>
      <c r="F4" s="61"/>
      <c r="G4" s="65"/>
      <c r="H4" s="66"/>
    </row>
    <row r="5" spans="2:12" customFormat="1">
      <c r="B5" s="58" t="str">
        <f>[3]成本法!B42</f>
        <v>1.1.1</v>
      </c>
      <c r="C5" s="66" t="s">
        <v>257</v>
      </c>
      <c r="D5" s="60">
        <f>ROUND(F5*E5,0)</f>
        <v>4000</v>
      </c>
      <c r="E5" s="64">
        <v>1</v>
      </c>
      <c r="F5" s="64">
        <v>4000</v>
      </c>
      <c r="G5" s="65"/>
      <c r="H5" s="66"/>
    </row>
    <row r="6" spans="2:12" customFormat="1">
      <c r="B6" s="58" t="str">
        <f>[3]成本法!B43</f>
        <v>1.1.2</v>
      </c>
      <c r="C6" s="66" t="str">
        <f>[3]成本法!C43</f>
        <v>地下非配套公建</v>
      </c>
      <c r="D6" s="60">
        <f>ROUND(F6*E6/10000,0)</f>
        <v>0</v>
      </c>
      <c r="E6" s="64">
        <f>[3]成本法!E43</f>
        <v>0</v>
      </c>
      <c r="F6" s="64">
        <f>[3]成本法!F43</f>
        <v>0</v>
      </c>
      <c r="G6" s="65"/>
      <c r="H6" s="66"/>
    </row>
    <row r="7" spans="2:12" customFormat="1">
      <c r="B7" s="58" t="str">
        <f>[3]成本法!B44</f>
        <v>1.1.3</v>
      </c>
      <c r="C7" s="66" t="str">
        <f>[3]成本法!C44</f>
        <v>地下车库及其他用房</v>
      </c>
      <c r="D7" s="60">
        <f>ROUND(F7*E7/10000,0)</f>
        <v>0</v>
      </c>
      <c r="E7" s="64">
        <f>[3]成本法!E44</f>
        <v>0</v>
      </c>
      <c r="F7" s="64">
        <f>[3]成本法!F44</f>
        <v>0</v>
      </c>
      <c r="G7" s="65"/>
      <c r="H7" s="66"/>
    </row>
    <row r="8" spans="2:12" customFormat="1">
      <c r="B8" s="58">
        <v>1.2</v>
      </c>
      <c r="C8" s="63" t="s">
        <v>404</v>
      </c>
      <c r="D8" s="60">
        <f>ROUND(D4*G8,0)</f>
        <v>200</v>
      </c>
      <c r="E8" s="67"/>
      <c r="F8" s="67"/>
      <c r="G8" s="65">
        <v>0.05</v>
      </c>
      <c r="H8" s="66" t="s">
        <v>405</v>
      </c>
    </row>
    <row r="9" spans="2:12" customFormat="1">
      <c r="B9" s="58">
        <v>1.3</v>
      </c>
      <c r="C9" s="63" t="s">
        <v>406</v>
      </c>
      <c r="D9" s="60">
        <f>ROUND(D4*G9,0)</f>
        <v>400</v>
      </c>
      <c r="E9" s="67"/>
      <c r="F9" s="67"/>
      <c r="G9" s="65">
        <v>0.1</v>
      </c>
      <c r="H9" s="66" t="s">
        <v>407</v>
      </c>
    </row>
    <row r="10" spans="2:12" customFormat="1">
      <c r="B10" s="58">
        <v>1.4</v>
      </c>
      <c r="C10" s="63" t="s">
        <v>408</v>
      </c>
      <c r="D10" s="60">
        <f>ROUND(F10*E10,0)</f>
        <v>200</v>
      </c>
      <c r="E10" s="64">
        <f>E4</f>
        <v>1</v>
      </c>
      <c r="F10" s="61">
        <v>200</v>
      </c>
      <c r="G10" s="63"/>
      <c r="H10" s="66" t="s">
        <v>409</v>
      </c>
    </row>
    <row r="11" spans="2:12" customFormat="1">
      <c r="B11" s="58">
        <v>1.5</v>
      </c>
      <c r="C11" s="63" t="s">
        <v>410</v>
      </c>
      <c r="D11" s="60">
        <f>ROUND(D4*G11,0)</f>
        <v>60</v>
      </c>
      <c r="E11" s="67"/>
      <c r="F11" s="67"/>
      <c r="G11" s="68">
        <v>1.4999999999999999E-2</v>
      </c>
      <c r="H11" s="66" t="s">
        <v>411</v>
      </c>
    </row>
    <row r="12" spans="2:12" customFormat="1">
      <c r="B12" s="58">
        <v>1</v>
      </c>
      <c r="C12" s="63" t="s">
        <v>412</v>
      </c>
      <c r="D12" s="60">
        <f>SUM(D5:D11)</f>
        <v>4860</v>
      </c>
      <c r="E12" s="63"/>
      <c r="F12" s="67"/>
      <c r="G12" s="67"/>
      <c r="H12" s="69" t="s">
        <v>413</v>
      </c>
    </row>
    <row r="13" spans="2:12" customFormat="1">
      <c r="B13" s="58">
        <v>2</v>
      </c>
      <c r="C13" s="63" t="s">
        <v>373</v>
      </c>
      <c r="D13" s="60">
        <f>ROUND(D12*G13,0)</f>
        <v>146</v>
      </c>
      <c r="E13" s="70"/>
      <c r="F13" s="70"/>
      <c r="G13" s="71">
        <v>0.03</v>
      </c>
      <c r="H13" s="66" t="s">
        <v>414</v>
      </c>
    </row>
    <row r="14" spans="2:12" customFormat="1">
      <c r="B14" s="58">
        <v>3</v>
      </c>
      <c r="C14" s="63" t="s">
        <v>415</v>
      </c>
      <c r="D14" s="60" t="s">
        <v>281</v>
      </c>
      <c r="E14" s="67"/>
      <c r="F14" s="67"/>
      <c r="G14" s="71">
        <v>0.03</v>
      </c>
      <c r="H14" s="66" t="s">
        <v>416</v>
      </c>
    </row>
    <row r="15" spans="2:12" customFormat="1">
      <c r="B15" s="58">
        <v>4</v>
      </c>
      <c r="C15" s="72" t="s">
        <v>417</v>
      </c>
      <c r="D15" s="1081"/>
      <c r="E15" s="1082"/>
      <c r="F15" s="1082"/>
      <c r="G15" s="1082"/>
      <c r="H15" s="1083"/>
      <c r="J15" s="103" t="s">
        <v>418</v>
      </c>
      <c r="K15" s="104">
        <v>0</v>
      </c>
      <c r="L15" s="1074" t="s">
        <v>419</v>
      </c>
    </row>
    <row r="16" spans="2:12" customFormat="1" ht="24">
      <c r="B16" s="58">
        <v>4.0999999999999996</v>
      </c>
      <c r="C16" s="63" t="s">
        <v>420</v>
      </c>
      <c r="D16" s="60">
        <f>ROUND((D12+D13)*G16*G17/2,0)</f>
        <v>462</v>
      </c>
      <c r="E16" s="63"/>
      <c r="F16" s="67"/>
      <c r="G16" s="149">
        <f>[3]成本法!G53</f>
        <v>6.1499999999999999E-2</v>
      </c>
      <c r="H16" s="67" t="s">
        <v>421</v>
      </c>
      <c r="J16" s="103" t="s">
        <v>422</v>
      </c>
      <c r="K16" s="106">
        <v>14</v>
      </c>
      <c r="L16" s="1075"/>
    </row>
    <row r="17" spans="2:14" customFormat="1" ht="24">
      <c r="B17" s="58">
        <v>4.2</v>
      </c>
      <c r="C17" s="63" t="s">
        <v>423</v>
      </c>
      <c r="D17" s="74">
        <f>ROUND(G14*G17*G16/2,4)</f>
        <v>2.8E-3</v>
      </c>
      <c r="E17" s="63"/>
      <c r="F17" s="67"/>
      <c r="G17" s="150">
        <v>3</v>
      </c>
      <c r="H17" s="67" t="s">
        <v>424</v>
      </c>
      <c r="J17" s="103" t="s">
        <v>425</v>
      </c>
      <c r="K17" s="106">
        <v>60</v>
      </c>
      <c r="L17" s="1075"/>
    </row>
    <row r="18" spans="2:14" customFormat="1">
      <c r="B18" s="58">
        <v>5</v>
      </c>
      <c r="C18" s="72" t="s">
        <v>426</v>
      </c>
      <c r="D18" s="1081"/>
      <c r="E18" s="1082"/>
      <c r="F18" s="1082"/>
      <c r="G18" s="1082"/>
      <c r="H18" s="1083"/>
      <c r="J18" s="108" t="s">
        <v>427</v>
      </c>
      <c r="K18" s="109">
        <f>ROUND(1-(1-K15)*K16/K17,2)</f>
        <v>0.77</v>
      </c>
      <c r="L18" s="1076"/>
    </row>
    <row r="19" spans="2:14" customFormat="1">
      <c r="B19" s="58">
        <v>5.0999999999999996</v>
      </c>
      <c r="C19" s="63" t="s">
        <v>428</v>
      </c>
      <c r="D19" s="60">
        <f>ROUND((D12+D13)*G19,0)</f>
        <v>1252</v>
      </c>
      <c r="E19" s="63"/>
      <c r="F19" s="67"/>
      <c r="G19" s="1072">
        <v>0.25</v>
      </c>
      <c r="H19" s="67" t="s">
        <v>429</v>
      </c>
    </row>
    <row r="20" spans="2:14" customFormat="1">
      <c r="B20" s="58">
        <v>5.2</v>
      </c>
      <c r="C20" s="63" t="s">
        <v>430</v>
      </c>
      <c r="D20" s="74">
        <f>ROUND(G14*G19,4)</f>
        <v>7.4999999999999997E-3</v>
      </c>
      <c r="E20" s="63"/>
      <c r="F20" s="67"/>
      <c r="G20" s="1073"/>
      <c r="H20" s="67" t="s">
        <v>431</v>
      </c>
    </row>
    <row r="21" spans="2:14" customFormat="1">
      <c r="B21" s="58">
        <v>6</v>
      </c>
      <c r="C21" s="72" t="s">
        <v>432</v>
      </c>
      <c r="D21" s="60" t="s">
        <v>281</v>
      </c>
      <c r="E21" s="59"/>
      <c r="F21" s="59"/>
      <c r="G21" s="71">
        <v>5.6000000000000001E-2</v>
      </c>
      <c r="H21" s="66" t="s">
        <v>433</v>
      </c>
    </row>
    <row r="22" spans="2:14" customFormat="1">
      <c r="B22" s="58">
        <v>7</v>
      </c>
      <c r="C22" s="72" t="s">
        <v>434</v>
      </c>
      <c r="D22" s="60">
        <f>ROUND((D12+D13+D16+D19)/(1-G14-D17-D20-G21),0)</f>
        <v>7436</v>
      </c>
      <c r="E22" s="72"/>
      <c r="F22" s="72"/>
      <c r="G22" s="76"/>
      <c r="H22" s="66" t="s">
        <v>435</v>
      </c>
    </row>
    <row r="23" spans="2:14" customFormat="1">
      <c r="B23" s="58">
        <v>8</v>
      </c>
      <c r="C23" s="72" t="s">
        <v>436</v>
      </c>
      <c r="D23" s="60" t="s">
        <v>281</v>
      </c>
      <c r="E23" s="59"/>
      <c r="F23" s="59"/>
      <c r="G23" s="77">
        <f>K18</f>
        <v>0.77</v>
      </c>
      <c r="H23" s="66"/>
      <c r="J23" s="45"/>
      <c r="K23" s="45"/>
      <c r="L23" s="45"/>
      <c r="N23" s="105"/>
    </row>
    <row r="24" spans="2:14" customFormat="1">
      <c r="B24" s="58">
        <v>9</v>
      </c>
      <c r="C24" s="72" t="s">
        <v>103</v>
      </c>
      <c r="D24" s="60">
        <f>ROUND(D22*G23,0)</f>
        <v>5726</v>
      </c>
      <c r="E24" s="59"/>
      <c r="F24" s="59"/>
      <c r="G24" s="71"/>
      <c r="H24" s="66" t="s">
        <v>437</v>
      </c>
      <c r="J24" s="45"/>
      <c r="K24" s="45"/>
      <c r="L24" s="45"/>
      <c r="N24" s="107"/>
    </row>
  </sheetData>
  <mergeCells count="6">
    <mergeCell ref="G19:G20"/>
    <mergeCell ref="L15:L18"/>
    <mergeCell ref="B1:H1"/>
    <mergeCell ref="B2:H2"/>
    <mergeCell ref="D15:H15"/>
    <mergeCell ref="D18:H18"/>
  </mergeCells>
  <phoneticPr fontId="97" type="noConversion"/>
  <pageMargins left="0.69861111111111107" right="0.69861111111111107" top="0.75" bottom="0.75" header="0.3" footer="0.3"/>
  <pageSetup paperSize="9" scale="64"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50"/>
  </sheetPr>
  <dimension ref="A1:AR143"/>
  <sheetViews>
    <sheetView topLeftCell="A32" workbookViewId="0">
      <selection activeCell="R7" sqref="R7"/>
    </sheetView>
  </sheetViews>
  <sheetFormatPr defaultColWidth="9" defaultRowHeight="12.75" outlineLevelRow="1"/>
  <cols>
    <col min="1" max="2" width="10.5" style="454" customWidth="1"/>
    <col min="3" max="3" width="9.875" style="455" customWidth="1"/>
    <col min="4" max="4" width="9.75" style="455" customWidth="1"/>
    <col min="5" max="5" width="12.375" style="455" bestFit="1" customWidth="1"/>
    <col min="6" max="6" width="9.5" style="455" customWidth="1"/>
    <col min="7" max="7" width="10.5" style="455" customWidth="1"/>
    <col min="8" max="8" width="10" style="455" customWidth="1"/>
    <col min="9" max="9" width="10.375" style="455" customWidth="1"/>
    <col min="10" max="10" width="7.625" style="455" customWidth="1"/>
    <col min="11" max="11" width="10.875" style="455" customWidth="1"/>
    <col min="12" max="12" width="12.375" style="455" customWidth="1"/>
    <col min="13" max="13" width="10.375" style="455" customWidth="1"/>
    <col min="14" max="14" width="13" style="455" customWidth="1"/>
    <col min="15" max="15" width="9.875" style="455" customWidth="1"/>
    <col min="16" max="16" width="11.5" style="455" customWidth="1"/>
    <col min="17" max="17" width="11.125" style="455" customWidth="1"/>
    <col min="18" max="18" width="13.75" style="456" customWidth="1"/>
    <col min="19" max="19" width="13.75" style="445" customWidth="1"/>
    <col min="20" max="20" width="9.75" style="455" customWidth="1"/>
    <col min="21" max="21" width="10.875" style="455" hidden="1" customWidth="1"/>
    <col min="22" max="22" width="7.25" style="455" customWidth="1"/>
    <col min="23" max="23" width="12" style="455" customWidth="1"/>
    <col min="24" max="24" width="11.5" style="455" customWidth="1"/>
    <col min="25" max="25" width="11.375" style="455" customWidth="1"/>
    <col min="26" max="26" width="10.5" style="455" customWidth="1"/>
    <col min="27" max="27" width="9" style="456"/>
    <col min="28" max="28" width="31.25" style="456" customWidth="1"/>
    <col min="29" max="31" width="9" style="456"/>
    <col min="32" max="32" width="26.125" style="456" customWidth="1"/>
    <col min="33" max="36" width="9" style="456"/>
    <col min="37" max="37" width="12.875" style="456" customWidth="1"/>
    <col min="38" max="16384" width="9" style="456"/>
  </cols>
  <sheetData>
    <row r="1" spans="1:41" s="441" customFormat="1" ht="16.5" customHeight="1">
      <c r="A1" s="457" t="s">
        <v>438</v>
      </c>
      <c r="B1" s="457"/>
      <c r="C1" s="458"/>
      <c r="D1" s="458"/>
      <c r="E1" s="458"/>
      <c r="F1" s="458"/>
      <c r="G1" s="458"/>
      <c r="H1" s="379"/>
      <c r="I1" s="379"/>
      <c r="J1" s="379"/>
      <c r="K1" s="379"/>
      <c r="L1" s="379"/>
      <c r="M1" s="379"/>
      <c r="N1" s="379"/>
      <c r="O1" s="379"/>
      <c r="P1" s="379"/>
      <c r="Q1" s="379"/>
      <c r="R1" s="380"/>
      <c r="S1" s="382"/>
      <c r="T1" s="379"/>
      <c r="U1" s="379"/>
      <c r="V1" s="379"/>
      <c r="W1" s="458"/>
      <c r="X1" s="458"/>
      <c r="Y1" s="459"/>
      <c r="Z1" s="494"/>
    </row>
    <row r="2" spans="1:41" s="441" customFormat="1" ht="17.25" customHeight="1">
      <c r="A2" s="457" t="s">
        <v>439</v>
      </c>
      <c r="B2" s="457"/>
      <c r="C2" s="459"/>
      <c r="D2" s="459"/>
      <c r="E2" s="459"/>
      <c r="F2" s="458"/>
      <c r="G2" s="458"/>
      <c r="H2" s="379"/>
      <c r="I2" s="379"/>
      <c r="J2" s="494"/>
      <c r="K2" s="494"/>
      <c r="L2" s="494"/>
      <c r="M2" s="494"/>
      <c r="N2" s="494"/>
      <c r="O2" s="494"/>
      <c r="P2" s="494"/>
      <c r="Q2" s="494"/>
      <c r="R2" s="504"/>
      <c r="S2" s="505"/>
      <c r="T2" s="494"/>
      <c r="U2" s="494"/>
      <c r="V2" s="494"/>
      <c r="W2" s="506"/>
      <c r="X2" s="506"/>
      <c r="Y2" s="459"/>
      <c r="Z2" s="459"/>
    </row>
    <row r="3" spans="1:41" s="441" customFormat="1" ht="13.5" customHeight="1">
      <c r="A3" s="460"/>
      <c r="B3" s="460"/>
      <c r="C3" s="461"/>
      <c r="D3" s="461"/>
      <c r="E3" s="461"/>
      <c r="F3" s="461"/>
      <c r="G3" s="461"/>
      <c r="H3" s="462"/>
      <c r="I3" s="462"/>
      <c r="J3" s="462"/>
      <c r="K3" s="462"/>
      <c r="L3" s="462"/>
      <c r="M3" s="462"/>
      <c r="N3" s="462"/>
      <c r="O3" s="462"/>
      <c r="P3" s="462"/>
      <c r="Q3" s="462"/>
      <c r="R3" s="507"/>
      <c r="S3" s="508"/>
      <c r="T3" s="462"/>
      <c r="U3" s="462"/>
      <c r="V3" s="462"/>
      <c r="W3" s="509"/>
      <c r="X3" s="509"/>
      <c r="Y3" s="461"/>
      <c r="Z3" s="461"/>
    </row>
    <row r="4" spans="1:41" s="442" customFormat="1" ht="24.6" customHeight="1">
      <c r="A4" s="463"/>
      <c r="B4" s="384" t="s">
        <v>440</v>
      </c>
      <c r="C4" s="385" t="s">
        <v>441</v>
      </c>
      <c r="D4" s="385" t="s">
        <v>442</v>
      </c>
      <c r="E4" s="385" t="s">
        <v>443</v>
      </c>
      <c r="F4" s="385" t="s">
        <v>444</v>
      </c>
      <c r="G4" s="385" t="s">
        <v>444</v>
      </c>
      <c r="H4" s="1087" t="s">
        <v>445</v>
      </c>
      <c r="I4" s="1085" t="s">
        <v>446</v>
      </c>
      <c r="J4" s="1087" t="s">
        <v>447</v>
      </c>
      <c r="K4" s="1087" t="s">
        <v>139</v>
      </c>
      <c r="L4" s="1085" t="s">
        <v>139</v>
      </c>
      <c r="M4" s="1087" t="s">
        <v>448</v>
      </c>
      <c r="N4" s="1087" t="s">
        <v>449</v>
      </c>
      <c r="O4" s="1087" t="s">
        <v>450</v>
      </c>
      <c r="P4" s="1085" t="s">
        <v>450</v>
      </c>
      <c r="Q4" s="1087" t="s">
        <v>451</v>
      </c>
      <c r="R4" s="1087" t="s">
        <v>451</v>
      </c>
      <c r="S4" s="510" t="s">
        <v>452</v>
      </c>
      <c r="T4" s="1087" t="s">
        <v>453</v>
      </c>
      <c r="U4" s="986" t="s">
        <v>454</v>
      </c>
      <c r="V4" s="424" t="s">
        <v>455</v>
      </c>
      <c r="W4" s="988" t="s">
        <v>147</v>
      </c>
      <c r="X4" s="989"/>
      <c r="Y4" s="1089" t="s">
        <v>456</v>
      </c>
      <c r="Z4" s="1090"/>
    </row>
    <row r="5" spans="1:41" s="441" customFormat="1" ht="30" customHeight="1">
      <c r="A5" s="464"/>
      <c r="B5" s="464"/>
      <c r="C5" s="390" t="s">
        <v>457</v>
      </c>
      <c r="D5" s="390" t="s">
        <v>458</v>
      </c>
      <c r="E5" s="465" t="s">
        <v>459</v>
      </c>
      <c r="F5" s="390" t="s">
        <v>458</v>
      </c>
      <c r="G5" s="390" t="s">
        <v>460</v>
      </c>
      <c r="H5" s="1088"/>
      <c r="I5" s="1086"/>
      <c r="J5" s="1088"/>
      <c r="K5" s="1088"/>
      <c r="L5" s="1086"/>
      <c r="M5" s="1088"/>
      <c r="N5" s="1088"/>
      <c r="O5" s="1088"/>
      <c r="P5" s="1086"/>
      <c r="Q5" s="1088"/>
      <c r="R5" s="1088"/>
      <c r="S5" s="511"/>
      <c r="T5" s="1088"/>
      <c r="U5" s="987"/>
      <c r="V5" s="428" t="s">
        <v>151</v>
      </c>
      <c r="W5" s="512" t="s">
        <v>152</v>
      </c>
      <c r="X5" s="513" t="s">
        <v>153</v>
      </c>
      <c r="Y5" s="513" t="s">
        <v>461</v>
      </c>
      <c r="Z5" s="513" t="s">
        <v>462</v>
      </c>
    </row>
    <row r="6" spans="1:41" s="443" customFormat="1" ht="27" customHeight="1">
      <c r="A6" s="466"/>
      <c r="B6" s="467"/>
      <c r="C6" s="394" t="s">
        <v>154</v>
      </c>
      <c r="D6" s="394" t="s">
        <v>154</v>
      </c>
      <c r="E6" s="394" t="s">
        <v>154</v>
      </c>
      <c r="F6" s="394" t="s">
        <v>154</v>
      </c>
      <c r="G6" s="394" t="s">
        <v>154</v>
      </c>
      <c r="H6" s="394" t="s">
        <v>155</v>
      </c>
      <c r="I6" s="394" t="s">
        <v>156</v>
      </c>
      <c r="J6" s="394" t="s">
        <v>155</v>
      </c>
      <c r="K6" s="394" t="s">
        <v>155</v>
      </c>
      <c r="L6" s="394" t="s">
        <v>156</v>
      </c>
      <c r="M6" s="394" t="s">
        <v>155</v>
      </c>
      <c r="N6" s="394" t="s">
        <v>155</v>
      </c>
      <c r="O6" s="394" t="s">
        <v>155</v>
      </c>
      <c r="P6" s="394" t="s">
        <v>156</v>
      </c>
      <c r="Q6" s="394" t="s">
        <v>155</v>
      </c>
      <c r="R6" s="394" t="s">
        <v>156</v>
      </c>
      <c r="S6" s="514"/>
      <c r="T6" s="394" t="s">
        <v>155</v>
      </c>
      <c r="U6" s="515"/>
      <c r="V6" s="516"/>
      <c r="W6" s="515"/>
      <c r="X6" s="515"/>
      <c r="Y6" s="394" t="s">
        <v>155</v>
      </c>
      <c r="Z6" s="394" t="s">
        <v>155</v>
      </c>
    </row>
    <row r="7" spans="1:41" ht="14.25" customHeight="1">
      <c r="A7" s="468" t="s">
        <v>463</v>
      </c>
      <c r="B7" s="468" t="s">
        <v>464</v>
      </c>
      <c r="C7" s="469">
        <v>22.15</v>
      </c>
      <c r="D7" s="469">
        <f>C7</f>
        <v>22.15</v>
      </c>
      <c r="E7" s="469">
        <f>D7/0.8651</f>
        <v>25.603976418911106</v>
      </c>
      <c r="F7" s="469">
        <v>25.6</v>
      </c>
      <c r="G7" s="470"/>
      <c r="H7" s="471">
        <f>I7/6.2</f>
        <v>33.36774193548387</v>
      </c>
      <c r="I7" s="471">
        <v>206.88</v>
      </c>
      <c r="J7" s="471">
        <f>64/8</f>
        <v>8</v>
      </c>
      <c r="K7" s="471">
        <f>H7*C7</f>
        <v>739.09548387096766</v>
      </c>
      <c r="L7" s="495"/>
      <c r="M7" s="471">
        <f>K7/D7</f>
        <v>33.36774193548387</v>
      </c>
      <c r="N7" s="471">
        <f>Q7/D7</f>
        <v>33.36774193548387</v>
      </c>
      <c r="O7" s="471">
        <f>Q7/F7</f>
        <v>28.870917338709674</v>
      </c>
      <c r="P7" s="471">
        <f>R7/F7</f>
        <v>178.99968749999999</v>
      </c>
      <c r="Q7" s="471">
        <f>K7</f>
        <v>739.09548387096766</v>
      </c>
      <c r="R7" s="471">
        <f>Q7*6.2</f>
        <v>4582.3919999999998</v>
      </c>
      <c r="S7" s="487">
        <f>R7/30/E7</f>
        <v>5.9657296000000004</v>
      </c>
      <c r="T7" s="471">
        <f>C7*J7</f>
        <v>177.2</v>
      </c>
      <c r="U7" s="517"/>
      <c r="V7" s="518" t="s">
        <v>465</v>
      </c>
      <c r="W7" s="519">
        <v>40909</v>
      </c>
      <c r="X7" s="519">
        <v>42004</v>
      </c>
      <c r="Y7" s="469">
        <f>K7*3</f>
        <v>2217.286451612903</v>
      </c>
      <c r="Z7" s="469">
        <f>T7*3</f>
        <v>531.59999999999991</v>
      </c>
      <c r="AA7" s="446">
        <v>18000</v>
      </c>
      <c r="AB7" s="456" t="s">
        <v>466</v>
      </c>
      <c r="AC7" s="552" t="s">
        <v>467</v>
      </c>
      <c r="AK7" s="558" t="s">
        <v>468</v>
      </c>
    </row>
    <row r="8" spans="1:41" ht="14.25" customHeight="1">
      <c r="A8" s="468" t="s">
        <v>469</v>
      </c>
      <c r="B8" s="468" t="s">
        <v>470</v>
      </c>
      <c r="C8" s="469">
        <v>26.28</v>
      </c>
      <c r="D8" s="469">
        <f>C8</f>
        <v>26.28</v>
      </c>
      <c r="E8" s="469">
        <f>D8/0.8651</f>
        <v>30.377990983701309</v>
      </c>
      <c r="F8" s="469">
        <v>30.38</v>
      </c>
      <c r="G8" s="470"/>
      <c r="H8" s="471">
        <f>I8/6.2</f>
        <v>21.93548387096774</v>
      </c>
      <c r="I8" s="471">
        <v>136</v>
      </c>
      <c r="J8" s="471">
        <f>64/8</f>
        <v>8</v>
      </c>
      <c r="K8" s="471">
        <f>H8*C8</f>
        <v>576.46451612903229</v>
      </c>
      <c r="L8" s="496">
        <f>I8*C8</f>
        <v>3574.08</v>
      </c>
      <c r="M8" s="471">
        <f>K8/D8</f>
        <v>21.935483870967744</v>
      </c>
      <c r="N8" s="471">
        <f>Q8/D8</f>
        <v>21.935483870967744</v>
      </c>
      <c r="O8" s="471">
        <f>Q8/F8</f>
        <v>18.975132196479009</v>
      </c>
      <c r="P8" s="471">
        <f>R8/F8</f>
        <v>117.64581961816987</v>
      </c>
      <c r="Q8" s="471">
        <f>K8</f>
        <v>576.46451612903229</v>
      </c>
      <c r="R8" s="471">
        <f>Q8*6.2</f>
        <v>3574.0800000000004</v>
      </c>
      <c r="S8" s="487">
        <f t="shared" ref="S8:S72" si="0">R8/30/E8</f>
        <v>3.9217866666666668</v>
      </c>
      <c r="T8" s="471">
        <f>C8*J8</f>
        <v>210.24</v>
      </c>
      <c r="U8" s="517"/>
      <c r="V8" s="518" t="s">
        <v>186</v>
      </c>
      <c r="W8" s="519">
        <v>40940</v>
      </c>
      <c r="X8" s="519">
        <v>41670</v>
      </c>
      <c r="Y8" s="469">
        <f>K8*3</f>
        <v>1729.3935483870969</v>
      </c>
      <c r="Z8" s="469">
        <f>T8*3</f>
        <v>630.72</v>
      </c>
      <c r="AB8" s="456" t="s">
        <v>466</v>
      </c>
      <c r="AC8" s="456" t="s">
        <v>471</v>
      </c>
      <c r="AK8" s="552" t="s">
        <v>472</v>
      </c>
    </row>
    <row r="9" spans="1:41" ht="14.25" hidden="1" customHeight="1">
      <c r="A9" s="468"/>
      <c r="B9" s="468"/>
      <c r="C9" s="469"/>
      <c r="D9" s="469"/>
      <c r="E9" s="469"/>
      <c r="F9" s="469"/>
      <c r="G9" s="470"/>
      <c r="H9" s="471"/>
      <c r="I9" s="471"/>
      <c r="J9" s="471"/>
      <c r="K9" s="471"/>
      <c r="L9" s="496"/>
      <c r="M9" s="471"/>
      <c r="N9" s="471"/>
      <c r="O9" s="471"/>
      <c r="P9" s="471"/>
      <c r="Q9" s="471"/>
      <c r="R9" s="471"/>
      <c r="S9" s="487" t="e">
        <f t="shared" si="0"/>
        <v>#DIV/0!</v>
      </c>
      <c r="T9" s="471"/>
      <c r="U9" s="517"/>
      <c r="V9" s="518"/>
      <c r="W9" s="519"/>
      <c r="X9" s="519"/>
      <c r="Y9" s="469"/>
      <c r="Z9" s="469"/>
      <c r="AK9" s="552"/>
    </row>
    <row r="10" spans="1:41" s="444" customFormat="1" ht="15" hidden="1" customHeight="1">
      <c r="A10" s="472"/>
      <c r="B10" s="473"/>
      <c r="C10" s="474"/>
      <c r="D10" s="474"/>
      <c r="E10" s="474"/>
      <c r="F10" s="474"/>
      <c r="G10" s="474"/>
      <c r="H10" s="475"/>
      <c r="I10" s="475"/>
      <c r="J10" s="475"/>
      <c r="K10" s="475"/>
      <c r="L10" s="497"/>
      <c r="M10" s="475"/>
      <c r="N10" s="475"/>
      <c r="O10" s="475"/>
      <c r="P10" s="475"/>
      <c r="Q10" s="475"/>
      <c r="R10" s="475"/>
      <c r="S10" s="487" t="e">
        <f t="shared" si="0"/>
        <v>#DIV/0!</v>
      </c>
      <c r="T10" s="475"/>
      <c r="U10" s="520"/>
      <c r="V10" s="521"/>
      <c r="W10" s="522"/>
      <c r="X10" s="522"/>
      <c r="Y10" s="474"/>
      <c r="Z10" s="474"/>
    </row>
    <row r="11" spans="1:41" s="443" customFormat="1" hidden="1">
      <c r="A11" s="476"/>
      <c r="B11" s="476"/>
      <c r="C11" s="477"/>
      <c r="D11" s="477"/>
      <c r="E11" s="477"/>
      <c r="F11" s="477"/>
      <c r="G11" s="477"/>
      <c r="H11" s="478"/>
      <c r="I11" s="478"/>
      <c r="J11" s="478"/>
      <c r="K11" s="478"/>
      <c r="L11" s="498"/>
      <c r="M11" s="478"/>
      <c r="N11" s="478"/>
      <c r="O11" s="478"/>
      <c r="P11" s="478"/>
      <c r="Q11" s="478"/>
      <c r="R11" s="478"/>
      <c r="S11" s="487" t="e">
        <f t="shared" si="0"/>
        <v>#DIV/0!</v>
      </c>
      <c r="T11" s="478"/>
      <c r="U11" s="523"/>
      <c r="V11" s="524"/>
      <c r="W11" s="519"/>
      <c r="X11" s="525"/>
      <c r="Y11" s="477"/>
      <c r="Z11" s="477"/>
    </row>
    <row r="12" spans="1:41" ht="14.25" hidden="1" customHeight="1">
      <c r="A12" s="468"/>
      <c r="B12" s="468"/>
      <c r="C12" s="469"/>
      <c r="D12" s="469"/>
      <c r="E12" s="469"/>
      <c r="F12" s="469"/>
      <c r="G12" s="470"/>
      <c r="H12" s="471"/>
      <c r="I12" s="471"/>
      <c r="J12" s="471"/>
      <c r="K12" s="471"/>
      <c r="L12" s="496"/>
      <c r="M12" s="471"/>
      <c r="N12" s="471"/>
      <c r="O12" s="471"/>
      <c r="P12" s="471"/>
      <c r="Q12" s="471"/>
      <c r="R12" s="471"/>
      <c r="S12" s="487" t="e">
        <f t="shared" si="0"/>
        <v>#DIV/0!</v>
      </c>
      <c r="T12" s="471"/>
      <c r="U12" s="517"/>
      <c r="V12" s="518"/>
      <c r="W12" s="519"/>
      <c r="X12" s="519"/>
      <c r="Y12" s="469"/>
      <c r="Z12" s="469"/>
      <c r="AK12" s="552"/>
    </row>
    <row r="13" spans="1:41" ht="25.5" hidden="1" customHeight="1">
      <c r="A13" s="468"/>
      <c r="B13" s="468"/>
      <c r="C13" s="469"/>
      <c r="D13" s="469"/>
      <c r="E13" s="469"/>
      <c r="F13" s="469"/>
      <c r="G13" s="470"/>
      <c r="H13" s="471"/>
      <c r="I13" s="471"/>
      <c r="J13" s="471"/>
      <c r="K13" s="471"/>
      <c r="L13" s="496"/>
      <c r="M13" s="471"/>
      <c r="N13" s="471"/>
      <c r="O13" s="471"/>
      <c r="P13" s="471"/>
      <c r="Q13" s="471"/>
      <c r="R13" s="471"/>
      <c r="S13" s="487" t="e">
        <f t="shared" si="0"/>
        <v>#DIV/0!</v>
      </c>
      <c r="T13" s="471"/>
      <c r="U13" s="526"/>
      <c r="V13" s="527"/>
      <c r="W13" s="519"/>
      <c r="X13" s="528"/>
      <c r="Y13" s="553"/>
      <c r="Z13" s="553"/>
      <c r="AK13" s="552"/>
    </row>
    <row r="14" spans="1:41" s="443" customFormat="1" hidden="1">
      <c r="A14" s="468"/>
      <c r="B14" s="468"/>
      <c r="C14" s="469"/>
      <c r="D14" s="469"/>
      <c r="E14" s="469"/>
      <c r="F14" s="469"/>
      <c r="G14" s="469"/>
      <c r="H14" s="479"/>
      <c r="I14" s="479"/>
      <c r="J14" s="479"/>
      <c r="K14" s="479"/>
      <c r="L14" s="499"/>
      <c r="M14" s="479"/>
      <c r="N14" s="479"/>
      <c r="O14" s="479"/>
      <c r="P14" s="479"/>
      <c r="Q14" s="479"/>
      <c r="R14" s="479"/>
      <c r="S14" s="487" t="e">
        <f t="shared" si="0"/>
        <v>#DIV/0!</v>
      </c>
      <c r="T14" s="479"/>
      <c r="U14" s="529"/>
      <c r="V14" s="518"/>
      <c r="W14" s="519"/>
      <c r="X14" s="519"/>
      <c r="Y14" s="469"/>
      <c r="Z14" s="469"/>
    </row>
    <row r="15" spans="1:41" s="443" customFormat="1" ht="12.75" customHeight="1">
      <c r="A15" s="480" t="s">
        <v>473</v>
      </c>
      <c r="B15" s="468" t="s">
        <v>474</v>
      </c>
      <c r="C15" s="469">
        <v>239.2</v>
      </c>
      <c r="D15" s="469">
        <v>239.2</v>
      </c>
      <c r="E15" s="469">
        <v>276.47000000000003</v>
      </c>
      <c r="F15" s="469">
        <v>276.47000000000003</v>
      </c>
      <c r="G15" s="469"/>
      <c r="H15" s="479">
        <f>I15/6.2</f>
        <v>80.645161290322577</v>
      </c>
      <c r="I15" s="479">
        <v>500</v>
      </c>
      <c r="J15" s="479">
        <f t="shared" ref="J15:J18" si="1">64/8</f>
        <v>8</v>
      </c>
      <c r="K15" s="479">
        <f>C15*H15</f>
        <v>19290.322580645159</v>
      </c>
      <c r="L15" s="499">
        <f>C15*I15</f>
        <v>119600</v>
      </c>
      <c r="M15" s="479">
        <f>L15/D15</f>
        <v>500</v>
      </c>
      <c r="N15" s="479">
        <f t="shared" ref="N15:N18" si="2">Q15/D15</f>
        <v>80.645161290322577</v>
      </c>
      <c r="O15" s="479">
        <f t="shared" ref="O15:O18" si="3">Q15/F15</f>
        <v>69.773655661175383</v>
      </c>
      <c r="P15" s="479">
        <f t="shared" ref="P15:P18" si="4">R15/F15</f>
        <v>432.59666509928735</v>
      </c>
      <c r="Q15" s="469">
        <f>(K15*60)/60</f>
        <v>19290.322580645159</v>
      </c>
      <c r="R15" s="479">
        <f t="shared" ref="R15:R18" si="5">Q15*6.2</f>
        <v>119599.99999999999</v>
      </c>
      <c r="S15" s="487">
        <f t="shared" si="0"/>
        <v>14.419888836642912</v>
      </c>
      <c r="T15" s="479">
        <f t="shared" ref="T15:T18" si="6">C15*J15</f>
        <v>1913.6</v>
      </c>
      <c r="U15" s="529">
        <v>39083</v>
      </c>
      <c r="V15" s="518" t="s">
        <v>163</v>
      </c>
      <c r="W15" s="519">
        <v>41365</v>
      </c>
      <c r="X15" s="519">
        <v>41729</v>
      </c>
      <c r="Y15" s="469">
        <f t="shared" ref="Y15:Y18" si="7">K15*3</f>
        <v>57870.967741935478</v>
      </c>
      <c r="Z15" s="469">
        <f t="shared" ref="Z15:Z18" si="8">T15*3</f>
        <v>5740.7999999999993</v>
      </c>
      <c r="AA15" s="443" t="s">
        <v>475</v>
      </c>
      <c r="AB15" s="443" t="s">
        <v>466</v>
      </c>
      <c r="AC15" s="443">
        <v>626728.1</v>
      </c>
      <c r="AD15" s="443">
        <v>35398.300000000003</v>
      </c>
      <c r="AE15" s="554" t="s">
        <v>466</v>
      </c>
      <c r="AF15" s="443" t="e">
        <f>#REF!*3</f>
        <v>#REF!</v>
      </c>
      <c r="AG15" s="443">
        <f>Z15*3</f>
        <v>17222.399999999998</v>
      </c>
      <c r="AI15" s="443" t="s">
        <v>466</v>
      </c>
      <c r="AJ15" s="443" t="s">
        <v>466</v>
      </c>
      <c r="AK15" s="443" t="s">
        <v>466</v>
      </c>
      <c r="AL15" s="443" t="s">
        <v>466</v>
      </c>
      <c r="AM15" s="559" t="s">
        <v>466</v>
      </c>
      <c r="AN15" s="443" t="s">
        <v>466</v>
      </c>
      <c r="AO15" s="443" t="s">
        <v>466</v>
      </c>
    </row>
    <row r="16" spans="1:41" ht="14.25" customHeight="1">
      <c r="A16" s="468" t="s">
        <v>476</v>
      </c>
      <c r="B16" s="468" t="s">
        <v>477</v>
      </c>
      <c r="C16" s="469">
        <v>31.75</v>
      </c>
      <c r="D16" s="469">
        <f>C16</f>
        <v>31.75</v>
      </c>
      <c r="E16" s="469">
        <f>D16/0.8651</f>
        <v>36.700959426655878</v>
      </c>
      <c r="F16" s="469">
        <v>47.24</v>
      </c>
      <c r="G16" s="470"/>
      <c r="H16" s="471">
        <f>I16/6.2</f>
        <v>72.58064516129032</v>
      </c>
      <c r="I16" s="471">
        <v>450</v>
      </c>
      <c r="J16" s="471">
        <f t="shared" si="1"/>
        <v>8</v>
      </c>
      <c r="K16" s="471">
        <f>H16*C16</f>
        <v>2304.4354838709678</v>
      </c>
      <c r="L16" s="496">
        <f>I16*C16</f>
        <v>14287.5</v>
      </c>
      <c r="M16" s="471">
        <f>K16/D16</f>
        <v>72.58064516129032</v>
      </c>
      <c r="N16" s="471">
        <f t="shared" si="2"/>
        <v>72.58064516129032</v>
      </c>
      <c r="O16" s="471">
        <f t="shared" si="3"/>
        <v>48.781445467209309</v>
      </c>
      <c r="P16" s="471">
        <f t="shared" si="4"/>
        <v>302.44496189669769</v>
      </c>
      <c r="Q16" s="471">
        <f>K16</f>
        <v>2304.4354838709678</v>
      </c>
      <c r="R16" s="471">
        <f t="shared" si="5"/>
        <v>14287.5</v>
      </c>
      <c r="S16" s="487">
        <f t="shared" si="0"/>
        <v>12.9765</v>
      </c>
      <c r="T16" s="471">
        <f t="shared" si="6"/>
        <v>254</v>
      </c>
      <c r="U16" s="517"/>
      <c r="V16" s="518" t="s">
        <v>465</v>
      </c>
      <c r="W16" s="519">
        <v>40848</v>
      </c>
      <c r="X16" s="519">
        <v>41943</v>
      </c>
      <c r="Y16" s="469">
        <f t="shared" si="7"/>
        <v>6913.3064516129034</v>
      </c>
      <c r="Z16" s="469">
        <f t="shared" si="8"/>
        <v>762</v>
      </c>
      <c r="AA16" s="456" t="s">
        <v>478</v>
      </c>
      <c r="AB16" s="555" t="s">
        <v>466</v>
      </c>
      <c r="AC16" s="456" t="s">
        <v>479</v>
      </c>
      <c r="AG16" s="456" t="s">
        <v>480</v>
      </c>
      <c r="AK16" s="552" t="s">
        <v>481</v>
      </c>
    </row>
    <row r="17" spans="1:42" s="445" customFormat="1" ht="14.25" customHeight="1">
      <c r="A17" s="481"/>
      <c r="B17" s="481"/>
      <c r="C17" s="482"/>
      <c r="D17" s="482"/>
      <c r="E17" s="482">
        <f>SUM(E7:E16)</f>
        <v>369.15292682926832</v>
      </c>
      <c r="F17" s="482"/>
      <c r="G17" s="483"/>
      <c r="H17" s="484"/>
      <c r="I17" s="484"/>
      <c r="J17" s="484"/>
      <c r="K17" s="484"/>
      <c r="L17" s="500"/>
      <c r="M17" s="484"/>
      <c r="N17" s="484"/>
      <c r="O17" s="484"/>
      <c r="P17" s="484"/>
      <c r="Q17" s="484"/>
      <c r="R17" s="484">
        <f>SUM(R15:R16)</f>
        <v>133887.5</v>
      </c>
      <c r="S17" s="487">
        <f t="shared" si="0"/>
        <v>12.089614743135295</v>
      </c>
      <c r="T17" s="484"/>
      <c r="U17" s="530"/>
      <c r="V17" s="531"/>
      <c r="W17" s="532"/>
      <c r="X17" s="532"/>
      <c r="Y17" s="482"/>
      <c r="Z17" s="482"/>
      <c r="AK17" s="560"/>
    </row>
    <row r="18" spans="1:42" s="443" customFormat="1" ht="13.5" customHeight="1">
      <c r="A18" s="468" t="s">
        <v>482</v>
      </c>
      <c r="B18" s="468" t="s">
        <v>483</v>
      </c>
      <c r="C18" s="469">
        <v>149.06</v>
      </c>
      <c r="D18" s="469">
        <v>152.97999999999999</v>
      </c>
      <c r="E18" s="469">
        <v>176.82</v>
      </c>
      <c r="F18" s="469">
        <f>E18</f>
        <v>176.82</v>
      </c>
      <c r="G18" s="469"/>
      <c r="H18" s="469">
        <f>400/6.2</f>
        <v>64.516129032258064</v>
      </c>
      <c r="I18" s="469">
        <f>400</f>
        <v>400</v>
      </c>
      <c r="J18" s="469">
        <f t="shared" si="1"/>
        <v>8</v>
      </c>
      <c r="K18" s="469">
        <f t="shared" ref="K18:L23" si="9">H18*$C$18</f>
        <v>9616.7741935483864</v>
      </c>
      <c r="L18" s="496">
        <f t="shared" si="9"/>
        <v>59624</v>
      </c>
      <c r="M18" s="469">
        <f>K23/D18</f>
        <v>86.436557171715478</v>
      </c>
      <c r="N18" s="469">
        <f t="shared" si="2"/>
        <v>72.903560846850937</v>
      </c>
      <c r="O18" s="469">
        <f t="shared" si="3"/>
        <v>63.074237859694918</v>
      </c>
      <c r="P18" s="469">
        <f t="shared" si="4"/>
        <v>391.06027473010852</v>
      </c>
      <c r="Q18" s="469">
        <f>(400*10+430*12+460*12+490*12+520*12+550*12)*C18/72/6.2</f>
        <v>11152.786738351255</v>
      </c>
      <c r="R18" s="469">
        <f t="shared" si="5"/>
        <v>69147.277777777781</v>
      </c>
      <c r="S18" s="487">
        <f t="shared" si="0"/>
        <v>13.035342491003616</v>
      </c>
      <c r="T18" s="469">
        <f t="shared" si="6"/>
        <v>1192.48</v>
      </c>
      <c r="U18" s="533">
        <v>39856</v>
      </c>
      <c r="V18" s="534" t="s">
        <v>484</v>
      </c>
      <c r="W18" s="519">
        <v>39887</v>
      </c>
      <c r="X18" s="519">
        <v>40251</v>
      </c>
      <c r="Y18" s="469">
        <f t="shared" si="7"/>
        <v>28850.322580645159</v>
      </c>
      <c r="Z18" s="469">
        <f t="shared" si="8"/>
        <v>3577.44</v>
      </c>
      <c r="AB18" s="556"/>
      <c r="AK18" s="443" t="s">
        <v>485</v>
      </c>
      <c r="AM18" s="443" t="s">
        <v>486</v>
      </c>
    </row>
    <row r="19" spans="1:42" s="443" customFormat="1">
      <c r="A19" s="468"/>
      <c r="B19" s="468"/>
      <c r="C19" s="469"/>
      <c r="D19" s="469"/>
      <c r="E19" s="469"/>
      <c r="F19" s="469"/>
      <c r="G19" s="469"/>
      <c r="H19" s="469">
        <f>430/6.2</f>
        <v>69.354838709677423</v>
      </c>
      <c r="I19" s="469">
        <f>430</f>
        <v>430</v>
      </c>
      <c r="J19" s="469"/>
      <c r="K19" s="469">
        <f t="shared" si="9"/>
        <v>10338.032258064517</v>
      </c>
      <c r="L19" s="496">
        <f t="shared" si="9"/>
        <v>64095.8</v>
      </c>
      <c r="M19" s="469"/>
      <c r="N19" s="469"/>
      <c r="O19" s="469"/>
      <c r="P19" s="469"/>
      <c r="Q19" s="469"/>
      <c r="R19" s="469"/>
      <c r="S19" s="487"/>
      <c r="T19" s="469"/>
      <c r="U19" s="533"/>
      <c r="V19" s="534"/>
      <c r="W19" s="519">
        <v>40252</v>
      </c>
      <c r="X19" s="519">
        <v>40616</v>
      </c>
      <c r="Y19" s="469"/>
      <c r="Z19" s="469"/>
    </row>
    <row r="20" spans="1:42" s="443" customFormat="1">
      <c r="A20" s="468"/>
      <c r="B20" s="468"/>
      <c r="C20" s="469"/>
      <c r="D20" s="469"/>
      <c r="E20" s="469"/>
      <c r="F20" s="469"/>
      <c r="G20" s="469"/>
      <c r="H20" s="469">
        <f>460/6.2</f>
        <v>74.193548387096769</v>
      </c>
      <c r="I20" s="469">
        <f>460</f>
        <v>460</v>
      </c>
      <c r="J20" s="469"/>
      <c r="K20" s="469">
        <f t="shared" si="9"/>
        <v>11059.290322580644</v>
      </c>
      <c r="L20" s="496">
        <f t="shared" si="9"/>
        <v>68567.600000000006</v>
      </c>
      <c r="M20" s="469"/>
      <c r="N20" s="469"/>
      <c r="O20" s="469"/>
      <c r="P20" s="469"/>
      <c r="Q20" s="469"/>
      <c r="R20" s="469"/>
      <c r="S20" s="487"/>
      <c r="T20" s="469"/>
      <c r="U20" s="533"/>
      <c r="V20" s="534"/>
      <c r="W20" s="519">
        <v>40617</v>
      </c>
      <c r="X20" s="519">
        <v>40982</v>
      </c>
      <c r="Y20" s="469"/>
      <c r="Z20" s="469"/>
    </row>
    <row r="21" spans="1:42" s="443" customFormat="1" ht="15.75" customHeight="1">
      <c r="A21" s="468"/>
      <c r="B21" s="468"/>
      <c r="C21" s="469"/>
      <c r="D21" s="469"/>
      <c r="E21" s="469"/>
      <c r="F21" s="469"/>
      <c r="G21" s="469"/>
      <c r="H21" s="469">
        <f>490/6.2</f>
        <v>79.032258064516128</v>
      </c>
      <c r="I21" s="469">
        <f>490</f>
        <v>490</v>
      </c>
      <c r="J21" s="469"/>
      <c r="K21" s="469">
        <f t="shared" si="9"/>
        <v>11780.548387096775</v>
      </c>
      <c r="L21" s="496">
        <f t="shared" si="9"/>
        <v>73039.399999999994</v>
      </c>
      <c r="M21" s="485"/>
      <c r="N21" s="485"/>
      <c r="O21" s="485"/>
      <c r="P21" s="485"/>
      <c r="Q21" s="485"/>
      <c r="R21" s="485"/>
      <c r="S21" s="487"/>
      <c r="T21" s="485"/>
      <c r="U21" s="533"/>
      <c r="V21" s="534"/>
      <c r="W21" s="519">
        <v>40983</v>
      </c>
      <c r="X21" s="519">
        <v>41347</v>
      </c>
      <c r="Y21" s="469"/>
      <c r="Z21" s="469"/>
    </row>
    <row r="22" spans="1:42" s="443" customFormat="1">
      <c r="A22" s="468"/>
      <c r="B22" s="468"/>
      <c r="C22" s="469"/>
      <c r="D22" s="469"/>
      <c r="E22" s="469"/>
      <c r="F22" s="469"/>
      <c r="G22" s="469"/>
      <c r="H22" s="485">
        <f>520/6.2</f>
        <v>83.870967741935488</v>
      </c>
      <c r="I22" s="485">
        <f>520</f>
        <v>520</v>
      </c>
      <c r="J22" s="485"/>
      <c r="K22" s="485">
        <f t="shared" si="9"/>
        <v>12501.806451612903</v>
      </c>
      <c r="L22" s="501">
        <f t="shared" si="9"/>
        <v>77511.199999999997</v>
      </c>
      <c r="M22" s="469"/>
      <c r="N22" s="469"/>
      <c r="O22" s="469"/>
      <c r="P22" s="469"/>
      <c r="Q22" s="469"/>
      <c r="R22" s="469"/>
      <c r="S22" s="487"/>
      <c r="T22" s="469"/>
      <c r="U22" s="533"/>
      <c r="V22" s="534"/>
      <c r="W22" s="535">
        <v>41348</v>
      </c>
      <c r="X22" s="535">
        <v>41712</v>
      </c>
      <c r="Y22" s="469"/>
      <c r="Z22" s="469"/>
    </row>
    <row r="23" spans="1:42" s="446" customFormat="1" ht="12.75" customHeight="1">
      <c r="A23" s="468"/>
      <c r="B23" s="468"/>
      <c r="C23" s="469"/>
      <c r="D23" s="469"/>
      <c r="E23" s="469"/>
      <c r="F23" s="469"/>
      <c r="G23" s="469"/>
      <c r="H23" s="469">
        <f>550/6.2</f>
        <v>88.709677419354833</v>
      </c>
      <c r="I23" s="469">
        <f>550</f>
        <v>550</v>
      </c>
      <c r="J23" s="469"/>
      <c r="K23" s="469">
        <f t="shared" si="9"/>
        <v>13223.064516129032</v>
      </c>
      <c r="L23" s="496">
        <f t="shared" si="9"/>
        <v>81983</v>
      </c>
      <c r="M23" s="469"/>
      <c r="N23" s="469"/>
      <c r="O23" s="469"/>
      <c r="P23" s="469"/>
      <c r="Q23" s="469"/>
      <c r="R23" s="469"/>
      <c r="S23" s="487"/>
      <c r="T23" s="469"/>
      <c r="U23" s="533"/>
      <c r="V23" s="534"/>
      <c r="W23" s="519">
        <v>41713</v>
      </c>
      <c r="X23" s="519">
        <v>42077</v>
      </c>
      <c r="Y23" s="469"/>
      <c r="Z23" s="469"/>
    </row>
    <row r="24" spans="1:42" s="443" customFormat="1">
      <c r="A24" s="468" t="s">
        <v>487</v>
      </c>
      <c r="B24" s="468" t="s">
        <v>488</v>
      </c>
      <c r="C24" s="469">
        <v>423.02</v>
      </c>
      <c r="D24" s="469">
        <f>C24</f>
        <v>423.02</v>
      </c>
      <c r="E24" s="469">
        <v>579.03</v>
      </c>
      <c r="F24" s="469">
        <v>579.03</v>
      </c>
      <c r="G24" s="469"/>
      <c r="H24" s="486">
        <f t="shared" ref="H24:H26" si="10">I24/6.2</f>
        <v>34.193548387096776</v>
      </c>
      <c r="I24" s="479">
        <v>212</v>
      </c>
      <c r="J24" s="479">
        <v>6</v>
      </c>
      <c r="K24" s="479">
        <f>C24*H24</f>
        <v>14464.554838709677</v>
      </c>
      <c r="L24" s="499">
        <f>C24*I24</f>
        <v>89680.239999999991</v>
      </c>
      <c r="M24" s="486">
        <f>K24/D24</f>
        <v>34.193548387096776</v>
      </c>
      <c r="N24" s="486">
        <f>Q24/D24</f>
        <v>35.578387096774186</v>
      </c>
      <c r="O24" s="486">
        <f>Q24/F24</f>
        <v>25.99238262210493</v>
      </c>
      <c r="P24" s="486">
        <f>R24/F24</f>
        <v>161.15277225705057</v>
      </c>
      <c r="Q24" s="486">
        <f>(K24*24+K25*24+K26*12)/60</f>
        <v>15050.369309677417</v>
      </c>
      <c r="R24" s="486">
        <f>Q24*6.2</f>
        <v>93312.289719999986</v>
      </c>
      <c r="S24" s="487">
        <f t="shared" si="0"/>
        <v>5.3717590752350191</v>
      </c>
      <c r="T24" s="486">
        <f>C24*J24</f>
        <v>2538.12</v>
      </c>
      <c r="U24" s="529">
        <v>40360</v>
      </c>
      <c r="V24" s="518" t="s">
        <v>489</v>
      </c>
      <c r="W24" s="519">
        <v>40544</v>
      </c>
      <c r="X24" s="519">
        <v>41274</v>
      </c>
      <c r="Y24" s="469">
        <f>K24*2</f>
        <v>28929.109677419354</v>
      </c>
      <c r="Z24" s="469">
        <f>T24*2</f>
        <v>5076.24</v>
      </c>
      <c r="AB24" s="556" t="s">
        <v>490</v>
      </c>
      <c r="AC24" s="443" t="s">
        <v>466</v>
      </c>
      <c r="AF24" s="443">
        <f>44165.52*3/8</f>
        <v>16562.07</v>
      </c>
      <c r="AG24" s="443">
        <f>5608.32*3/8</f>
        <v>2103.12</v>
      </c>
      <c r="AK24" s="443" t="s">
        <v>491</v>
      </c>
      <c r="AN24" s="443" t="s">
        <v>492</v>
      </c>
      <c r="AP24" s="443" t="s">
        <v>493</v>
      </c>
    </row>
    <row r="25" spans="1:42" s="443" customFormat="1" ht="12.75" customHeight="1">
      <c r="A25" s="468"/>
      <c r="B25" s="468"/>
      <c r="C25" s="469"/>
      <c r="D25" s="469"/>
      <c r="E25" s="469"/>
      <c r="F25" s="469"/>
      <c r="G25" s="469"/>
      <c r="H25" s="479">
        <f t="shared" si="10"/>
        <v>35.903225806451609</v>
      </c>
      <c r="I25" s="486">
        <v>222.6</v>
      </c>
      <c r="J25" s="486">
        <v>6</v>
      </c>
      <c r="K25" s="486">
        <f>423.02*H25</f>
        <v>15187.782580645158</v>
      </c>
      <c r="L25" s="502">
        <f>423.02*I25</f>
        <v>94164.251999999993</v>
      </c>
      <c r="M25" s="479"/>
      <c r="N25" s="479"/>
      <c r="O25" s="479"/>
      <c r="P25" s="479"/>
      <c r="Q25" s="479"/>
      <c r="R25" s="479"/>
      <c r="S25" s="487"/>
      <c r="T25" s="479"/>
      <c r="U25" s="533"/>
      <c r="V25" s="534"/>
      <c r="W25" s="519">
        <v>41275</v>
      </c>
      <c r="X25" s="519">
        <v>42004</v>
      </c>
      <c r="Y25" s="469"/>
      <c r="Z25" s="469"/>
      <c r="AK25" s="443" t="s">
        <v>494</v>
      </c>
      <c r="AL25" s="443" t="s">
        <v>495</v>
      </c>
    </row>
    <row r="26" spans="1:42" s="443" customFormat="1" ht="12.75" customHeight="1">
      <c r="A26" s="468"/>
      <c r="B26" s="468"/>
      <c r="C26" s="469"/>
      <c r="D26" s="469"/>
      <c r="E26" s="469"/>
      <c r="F26" s="469"/>
      <c r="G26" s="469"/>
      <c r="H26" s="479">
        <f t="shared" si="10"/>
        <v>37.698387096774191</v>
      </c>
      <c r="I26" s="479">
        <v>233.73</v>
      </c>
      <c r="J26" s="479">
        <v>6</v>
      </c>
      <c r="K26" s="479">
        <f>423.02*H26</f>
        <v>15947.171709677417</v>
      </c>
      <c r="L26" s="499">
        <f>423.02*I26+0.01</f>
        <v>98872.474599999987</v>
      </c>
      <c r="M26" s="479"/>
      <c r="N26" s="479"/>
      <c r="O26" s="479"/>
      <c r="P26" s="479"/>
      <c r="Q26" s="479"/>
      <c r="R26" s="479"/>
      <c r="S26" s="487"/>
      <c r="T26" s="479"/>
      <c r="U26" s="533"/>
      <c r="V26" s="534"/>
      <c r="W26" s="519">
        <v>42005</v>
      </c>
      <c r="X26" s="519">
        <v>42369</v>
      </c>
      <c r="Y26" s="469"/>
      <c r="Z26" s="469"/>
    </row>
    <row r="27" spans="1:42" s="443" customFormat="1" hidden="1">
      <c r="A27" s="468"/>
      <c r="B27" s="468"/>
      <c r="C27" s="469"/>
      <c r="D27" s="469"/>
      <c r="E27" s="469"/>
      <c r="F27" s="469"/>
      <c r="G27" s="469"/>
      <c r="H27" s="479"/>
      <c r="I27" s="479"/>
      <c r="J27" s="479"/>
      <c r="K27" s="479"/>
      <c r="L27" s="499"/>
      <c r="M27" s="479"/>
      <c r="N27" s="479"/>
      <c r="O27" s="479"/>
      <c r="P27" s="479"/>
      <c r="Q27" s="479"/>
      <c r="R27" s="479"/>
      <c r="S27" s="487" t="e">
        <f t="shared" si="0"/>
        <v>#DIV/0!</v>
      </c>
      <c r="T27" s="479"/>
      <c r="U27" s="529"/>
      <c r="V27" s="518"/>
      <c r="W27" s="489"/>
      <c r="X27" s="489"/>
      <c r="Y27" s="469"/>
      <c r="Z27" s="469"/>
    </row>
    <row r="28" spans="1:42" s="443" customFormat="1" hidden="1">
      <c r="A28" s="468"/>
      <c r="B28" s="468"/>
      <c r="C28" s="469"/>
      <c r="D28" s="469"/>
      <c r="E28" s="469"/>
      <c r="F28" s="469"/>
      <c r="G28" s="469"/>
      <c r="H28" s="479"/>
      <c r="I28" s="479"/>
      <c r="J28" s="479"/>
      <c r="K28" s="479"/>
      <c r="L28" s="499"/>
      <c r="M28" s="479"/>
      <c r="N28" s="479"/>
      <c r="O28" s="479"/>
      <c r="P28" s="479"/>
      <c r="Q28" s="479"/>
      <c r="R28" s="479"/>
      <c r="S28" s="487" t="e">
        <f t="shared" si="0"/>
        <v>#DIV/0!</v>
      </c>
      <c r="T28" s="479"/>
      <c r="U28" s="529"/>
      <c r="V28" s="518"/>
      <c r="W28" s="519"/>
      <c r="X28" s="519"/>
      <c r="Y28" s="469"/>
      <c r="Z28" s="469"/>
    </row>
    <row r="29" spans="1:42" s="443" customFormat="1" ht="12.75" hidden="1" customHeight="1">
      <c r="A29" s="468"/>
      <c r="B29" s="468"/>
      <c r="C29" s="469"/>
      <c r="D29" s="469"/>
      <c r="E29" s="469"/>
      <c r="F29" s="469"/>
      <c r="G29" s="469"/>
      <c r="H29" s="469"/>
      <c r="I29" s="469"/>
      <c r="J29" s="469"/>
      <c r="K29" s="469"/>
      <c r="L29" s="496"/>
      <c r="M29" s="469"/>
      <c r="N29" s="469"/>
      <c r="O29" s="469"/>
      <c r="P29" s="469"/>
      <c r="Q29" s="469"/>
      <c r="R29" s="469"/>
      <c r="S29" s="487" t="e">
        <f t="shared" si="0"/>
        <v>#DIV/0!</v>
      </c>
      <c r="T29" s="469"/>
      <c r="U29" s="533"/>
      <c r="V29" s="534"/>
      <c r="W29" s="489"/>
      <c r="X29" s="489"/>
      <c r="Y29" s="469"/>
      <c r="Z29" s="469"/>
    </row>
    <row r="30" spans="1:42" s="443" customFormat="1" hidden="1">
      <c r="A30" s="468"/>
      <c r="B30" s="468"/>
      <c r="C30" s="469"/>
      <c r="D30" s="469"/>
      <c r="E30" s="469"/>
      <c r="F30" s="469"/>
      <c r="G30" s="469"/>
      <c r="H30" s="479"/>
      <c r="I30" s="479"/>
      <c r="J30" s="479"/>
      <c r="K30" s="479"/>
      <c r="L30" s="499"/>
      <c r="M30" s="479"/>
      <c r="N30" s="479"/>
      <c r="O30" s="479"/>
      <c r="P30" s="479"/>
      <c r="Q30" s="479"/>
      <c r="R30" s="479"/>
      <c r="S30" s="487" t="e">
        <f t="shared" si="0"/>
        <v>#DIV/0!</v>
      </c>
      <c r="T30" s="479"/>
      <c r="U30" s="536"/>
      <c r="V30" s="518"/>
      <c r="W30" s="519"/>
      <c r="X30" s="519"/>
      <c r="Y30" s="469"/>
      <c r="Z30" s="469"/>
    </row>
    <row r="31" spans="1:42" s="443" customFormat="1" hidden="1">
      <c r="A31" s="472"/>
      <c r="B31" s="473"/>
      <c r="C31" s="474"/>
      <c r="D31" s="474"/>
      <c r="E31" s="474"/>
      <c r="F31" s="474"/>
      <c r="G31" s="474"/>
      <c r="H31" s="475"/>
      <c r="I31" s="475"/>
      <c r="J31" s="475"/>
      <c r="K31" s="475"/>
      <c r="L31" s="497"/>
      <c r="M31" s="475"/>
      <c r="N31" s="475"/>
      <c r="O31" s="475"/>
      <c r="P31" s="475"/>
      <c r="Q31" s="475"/>
      <c r="R31" s="475"/>
      <c r="S31" s="487" t="e">
        <f t="shared" si="0"/>
        <v>#DIV/0!</v>
      </c>
      <c r="T31" s="475"/>
      <c r="U31" s="537"/>
      <c r="V31" s="538"/>
      <c r="W31" s="539"/>
      <c r="X31" s="539"/>
      <c r="Y31" s="474"/>
      <c r="Z31" s="474"/>
    </row>
    <row r="32" spans="1:42" ht="14.25" customHeight="1">
      <c r="A32" s="468" t="s">
        <v>496</v>
      </c>
      <c r="B32" s="468" t="s">
        <v>497</v>
      </c>
      <c r="C32" s="469">
        <f>214.18+193.72</f>
        <v>407.9</v>
      </c>
      <c r="D32" s="469">
        <f>C32</f>
        <v>407.9</v>
      </c>
      <c r="E32" s="469">
        <f>247.55+223.91</f>
        <v>471.46000000000004</v>
      </c>
      <c r="F32" s="469">
        <f>E32</f>
        <v>471.46000000000004</v>
      </c>
      <c r="G32" s="470"/>
      <c r="H32" s="471">
        <f>I32/6.2</f>
        <v>38.70967741935484</v>
      </c>
      <c r="I32" s="471">
        <v>240</v>
      </c>
      <c r="J32" s="471">
        <f>64/8</f>
        <v>8</v>
      </c>
      <c r="K32" s="471">
        <f>H32*C32</f>
        <v>15789.677419354839</v>
      </c>
      <c r="L32" s="496">
        <f>I32*C32</f>
        <v>97896</v>
      </c>
      <c r="M32" s="471">
        <f>K32/D32</f>
        <v>38.70967741935484</v>
      </c>
      <c r="N32" s="471">
        <f>Q32/D32</f>
        <v>38.70967741935484</v>
      </c>
      <c r="O32" s="471">
        <f>Q32/F32</f>
        <v>33.49102239713833</v>
      </c>
      <c r="P32" s="471">
        <f>R32/F32</f>
        <v>207.64433886225765</v>
      </c>
      <c r="Q32" s="471">
        <f>K32</f>
        <v>15789.677419354839</v>
      </c>
      <c r="R32" s="471">
        <f>Q32*6.2</f>
        <v>97896</v>
      </c>
      <c r="S32" s="487">
        <f t="shared" si="0"/>
        <v>6.9214779620752545</v>
      </c>
      <c r="T32" s="471">
        <f>C32*J32</f>
        <v>3263.2</v>
      </c>
      <c r="U32" s="517"/>
      <c r="V32" s="518" t="s">
        <v>489</v>
      </c>
      <c r="W32" s="519">
        <v>40544</v>
      </c>
      <c r="X32" s="519">
        <v>42369</v>
      </c>
      <c r="Y32" s="469">
        <f>K32*3</f>
        <v>47369.032258064515</v>
      </c>
      <c r="Z32" s="469">
        <f>T32*3</f>
        <v>9789.5999999999985</v>
      </c>
      <c r="AB32" s="555" t="s">
        <v>490</v>
      </c>
      <c r="AJ32" s="456" t="s">
        <v>498</v>
      </c>
      <c r="AK32" s="456" t="s">
        <v>498</v>
      </c>
      <c r="AL32" s="456" t="s">
        <v>498</v>
      </c>
      <c r="AM32" s="456" t="s">
        <v>498</v>
      </c>
      <c r="AN32" s="456" t="s">
        <v>499</v>
      </c>
      <c r="AO32" s="456" t="s">
        <v>498</v>
      </c>
    </row>
    <row r="33" spans="1:42" s="443" customFormat="1">
      <c r="A33" s="468" t="s">
        <v>500</v>
      </c>
      <c r="B33" s="468">
        <v>107</v>
      </c>
      <c r="C33" s="469">
        <v>87.63</v>
      </c>
      <c r="D33" s="469">
        <f>C33</f>
        <v>87.63</v>
      </c>
      <c r="E33" s="469">
        <v>101.28</v>
      </c>
      <c r="F33" s="469">
        <f>E33</f>
        <v>101.28</v>
      </c>
      <c r="G33" s="469"/>
      <c r="H33" s="479">
        <f>486/6.2</f>
        <v>78.387096774193552</v>
      </c>
      <c r="I33" s="479">
        <f>486</f>
        <v>486</v>
      </c>
      <c r="J33" s="479">
        <f>64/8</f>
        <v>8</v>
      </c>
      <c r="K33" s="479">
        <f>C33*H33</f>
        <v>6869.0612903225801</v>
      </c>
      <c r="L33" s="499">
        <f>C33*I33</f>
        <v>42588.18</v>
      </c>
      <c r="M33" s="479">
        <f>K33/D33</f>
        <v>78.387096774193552</v>
      </c>
      <c r="N33" s="479">
        <f>Q33/D33</f>
        <v>81.967741935483872</v>
      </c>
      <c r="O33" s="479">
        <f>Q33/F33</f>
        <v>70.920549227946793</v>
      </c>
      <c r="P33" s="479">
        <f>R33/F33</f>
        <v>439.70740521327014</v>
      </c>
      <c r="Q33" s="479">
        <f>(K33*24+K34*24+K35*12)/60</f>
        <v>7182.8332258064511</v>
      </c>
      <c r="R33" s="479">
        <f>Q33*6.2</f>
        <v>44533.565999999999</v>
      </c>
      <c r="S33" s="487">
        <f t="shared" si="0"/>
        <v>14.656913507109005</v>
      </c>
      <c r="T33" s="479">
        <f>C33*J33</f>
        <v>701.04</v>
      </c>
      <c r="U33" s="529">
        <v>40118</v>
      </c>
      <c r="V33" s="518" t="s">
        <v>489</v>
      </c>
      <c r="W33" s="519">
        <v>40215</v>
      </c>
      <c r="X33" s="519">
        <v>40944</v>
      </c>
      <c r="Y33" s="469">
        <f>K33*3</f>
        <v>20607.183870967739</v>
      </c>
      <c r="Z33" s="469">
        <f>T33*3</f>
        <v>2103.12</v>
      </c>
      <c r="AB33" s="556"/>
      <c r="AC33" s="443" t="s">
        <v>501</v>
      </c>
    </row>
    <row r="34" spans="1:42" s="443" customFormat="1">
      <c r="A34" s="468"/>
      <c r="B34" s="468"/>
      <c r="C34" s="469"/>
      <c r="D34" s="469"/>
      <c r="E34" s="469"/>
      <c r="F34" s="469"/>
      <c r="G34" s="469"/>
      <c r="H34" s="486">
        <f>513.5/6.2</f>
        <v>82.822580645161281</v>
      </c>
      <c r="I34" s="486">
        <f>513.5</f>
        <v>513.5</v>
      </c>
      <c r="J34" s="486"/>
      <c r="K34" s="486">
        <f>H34*C33</f>
        <v>7257.7427419354826</v>
      </c>
      <c r="L34" s="502">
        <f>I34*C33</f>
        <v>44998.004999999997</v>
      </c>
      <c r="M34" s="486"/>
      <c r="N34" s="486"/>
      <c r="O34" s="486"/>
      <c r="P34" s="486"/>
      <c r="Q34" s="486" t="s">
        <v>466</v>
      </c>
      <c r="R34" s="486"/>
      <c r="S34" s="487"/>
      <c r="T34" s="486"/>
      <c r="U34" s="529"/>
      <c r="V34" s="518"/>
      <c r="W34" s="519">
        <v>40945</v>
      </c>
      <c r="X34" s="519">
        <v>41675</v>
      </c>
      <c r="Y34" s="469"/>
      <c r="Z34" s="469"/>
    </row>
    <row r="35" spans="1:42" s="443" customFormat="1">
      <c r="A35" s="468"/>
      <c r="B35" s="468"/>
      <c r="C35" s="469"/>
      <c r="D35" s="469"/>
      <c r="E35" s="469"/>
      <c r="F35" s="469"/>
      <c r="G35" s="469"/>
      <c r="H35" s="479">
        <f>542/6.2</f>
        <v>87.41935483870968</v>
      </c>
      <c r="I35" s="479">
        <f>542</f>
        <v>542</v>
      </c>
      <c r="J35" s="479"/>
      <c r="K35" s="479">
        <f>H35*C33</f>
        <v>7660.558064516129</v>
      </c>
      <c r="L35" s="499">
        <f>I35*C33</f>
        <v>47495.46</v>
      </c>
      <c r="M35" s="479"/>
      <c r="N35" s="479"/>
      <c r="O35" s="479"/>
      <c r="P35" s="479"/>
      <c r="Q35" s="479"/>
      <c r="R35" s="479"/>
      <c r="S35" s="487"/>
      <c r="T35" s="479"/>
      <c r="U35" s="529"/>
      <c r="V35" s="518"/>
      <c r="W35" s="519">
        <v>41676</v>
      </c>
      <c r="X35" s="519">
        <v>42040</v>
      </c>
      <c r="Y35" s="469"/>
      <c r="Z35" s="469"/>
    </row>
    <row r="36" spans="1:42" s="447" customFormat="1" ht="13.5" customHeight="1" outlineLevel="1">
      <c r="A36" s="481"/>
      <c r="B36" s="481"/>
      <c r="C36" s="482"/>
      <c r="D36" s="482"/>
      <c r="E36" s="482">
        <f>SUM(E18:E35)</f>
        <v>1328.59</v>
      </c>
      <c r="F36" s="482"/>
      <c r="G36" s="482"/>
      <c r="H36" s="487"/>
      <c r="I36" s="487"/>
      <c r="J36" s="487"/>
      <c r="K36" s="487"/>
      <c r="L36" s="503"/>
      <c r="M36" s="487"/>
      <c r="N36" s="487"/>
      <c r="O36" s="487"/>
      <c r="P36" s="487"/>
      <c r="Q36" s="487"/>
      <c r="R36" s="487">
        <f>SUM(R18:R35)</f>
        <v>304889.13349777774</v>
      </c>
      <c r="S36" s="487">
        <f>R36/30/E36</f>
        <v>7.6494412246009613</v>
      </c>
      <c r="T36" s="487"/>
      <c r="U36" s="540"/>
      <c r="V36" s="531"/>
      <c r="W36" s="541"/>
      <c r="X36" s="541"/>
      <c r="Y36" s="482"/>
      <c r="Z36" s="482"/>
    </row>
    <row r="37" spans="1:42" ht="14.25" customHeight="1">
      <c r="A37" s="468"/>
      <c r="B37" s="468"/>
      <c r="C37" s="469"/>
      <c r="D37" s="469"/>
      <c r="E37" s="469"/>
      <c r="F37" s="469"/>
      <c r="G37" s="470"/>
      <c r="H37" s="479"/>
      <c r="I37" s="479"/>
      <c r="J37" s="479"/>
      <c r="K37" s="479"/>
      <c r="L37" s="499"/>
      <c r="M37" s="479"/>
      <c r="N37" s="479"/>
      <c r="O37" s="479"/>
      <c r="P37" s="479"/>
      <c r="Q37" s="479"/>
      <c r="R37" s="479"/>
      <c r="S37" s="487"/>
      <c r="T37" s="479"/>
      <c r="U37" s="517"/>
      <c r="V37" s="395"/>
      <c r="W37" s="519"/>
      <c r="X37" s="519"/>
      <c r="Y37" s="553"/>
      <c r="Z37" s="553"/>
    </row>
    <row r="38" spans="1:42" s="443" customFormat="1">
      <c r="A38" s="468" t="s">
        <v>502</v>
      </c>
      <c r="B38" s="468" t="s">
        <v>503</v>
      </c>
      <c r="C38" s="469">
        <v>502.33</v>
      </c>
      <c r="D38" s="469">
        <f>C38</f>
        <v>502.33</v>
      </c>
      <c r="E38" s="469">
        <f>D38/0.86518</f>
        <v>580.60750364086084</v>
      </c>
      <c r="F38" s="469">
        <v>751.68</v>
      </c>
      <c r="G38" s="469"/>
      <c r="H38" s="479">
        <f>I38/6.2</f>
        <v>24.193548387096772</v>
      </c>
      <c r="I38" s="479">
        <v>150</v>
      </c>
      <c r="J38" s="479">
        <f>64/8</f>
        <v>8</v>
      </c>
      <c r="K38" s="479">
        <f>C38*H38</f>
        <v>12153.145161290322</v>
      </c>
      <c r="L38" s="499">
        <f>C38*I38</f>
        <v>75349.5</v>
      </c>
      <c r="M38" s="479">
        <f>K38/D38</f>
        <v>24.193548387096772</v>
      </c>
      <c r="N38" s="479">
        <f>Q38/D38</f>
        <v>19.100169779286926</v>
      </c>
      <c r="O38" s="479">
        <f>Q38/F38</f>
        <v>12.764192588906452</v>
      </c>
      <c r="P38" s="479">
        <f>R38/F38</f>
        <v>79.137994051220005</v>
      </c>
      <c r="Q38" s="479">
        <f>K38*60/76</f>
        <v>9594.5882852292016</v>
      </c>
      <c r="R38" s="479">
        <f>Q38*6.2</f>
        <v>59486.447368421053</v>
      </c>
      <c r="S38" s="479">
        <f t="shared" si="0"/>
        <v>3.4151842105263159</v>
      </c>
      <c r="T38" s="479">
        <f>C38*J38</f>
        <v>4018.64</v>
      </c>
      <c r="U38" s="536">
        <v>40391</v>
      </c>
      <c r="V38" s="400" t="s">
        <v>504</v>
      </c>
      <c r="W38" s="519">
        <v>40452</v>
      </c>
      <c r="X38" s="519">
        <v>42766</v>
      </c>
      <c r="Y38" s="469">
        <f>K38*3</f>
        <v>36459.43548387097</v>
      </c>
      <c r="Z38" s="469">
        <f>T38*3</f>
        <v>12055.92</v>
      </c>
      <c r="AA38" s="443">
        <f>(64+150)*502.33*3</f>
        <v>322495.86</v>
      </c>
      <c r="AB38" s="443" t="s">
        <v>490</v>
      </c>
      <c r="AC38" s="443" t="s">
        <v>505</v>
      </c>
      <c r="AF38" s="443">
        <f>44165.52*3/8</f>
        <v>16562.07</v>
      </c>
      <c r="AG38" s="443">
        <f>5608.32*3/8</f>
        <v>2103.12</v>
      </c>
      <c r="AK38" s="443" t="s">
        <v>506</v>
      </c>
      <c r="AL38" s="443" t="s">
        <v>507</v>
      </c>
      <c r="AM38" s="443" t="s">
        <v>508</v>
      </c>
      <c r="AP38" s="443" t="s">
        <v>509</v>
      </c>
    </row>
    <row r="39" spans="1:42" s="443" customFormat="1" hidden="1">
      <c r="A39" s="468"/>
      <c r="B39" s="468"/>
      <c r="C39" s="469"/>
      <c r="D39" s="469"/>
      <c r="E39" s="469"/>
      <c r="F39" s="469"/>
      <c r="G39" s="469"/>
      <c r="H39" s="479"/>
      <c r="I39" s="479"/>
      <c r="J39" s="479"/>
      <c r="K39" s="479"/>
      <c r="L39" s="499"/>
      <c r="M39" s="479"/>
      <c r="N39" s="479"/>
      <c r="O39" s="479"/>
      <c r="P39" s="479"/>
      <c r="Q39" s="479"/>
      <c r="R39" s="479"/>
      <c r="S39" s="487" t="e">
        <f t="shared" si="0"/>
        <v>#DIV/0!</v>
      </c>
      <c r="T39" s="479"/>
      <c r="U39" s="536"/>
      <c r="V39" s="400"/>
      <c r="W39" s="519"/>
      <c r="X39" s="519"/>
      <c r="Y39" s="469"/>
      <c r="Z39" s="469"/>
    </row>
    <row r="40" spans="1:42" s="443" customFormat="1" hidden="1">
      <c r="A40" s="468"/>
      <c r="B40" s="468"/>
      <c r="C40" s="469"/>
      <c r="D40" s="469"/>
      <c r="E40" s="469"/>
      <c r="F40" s="469"/>
      <c r="G40" s="469"/>
      <c r="H40" s="479"/>
      <c r="I40" s="479"/>
      <c r="J40" s="479"/>
      <c r="K40" s="479"/>
      <c r="L40" s="499"/>
      <c r="M40" s="479"/>
      <c r="N40" s="479"/>
      <c r="O40" s="479"/>
      <c r="P40" s="479"/>
      <c r="Q40" s="479"/>
      <c r="R40" s="479"/>
      <c r="S40" s="487" t="e">
        <f t="shared" si="0"/>
        <v>#DIV/0!</v>
      </c>
      <c r="T40" s="479"/>
      <c r="U40" s="536"/>
      <c r="V40" s="400"/>
      <c r="W40" s="519"/>
      <c r="X40" s="519"/>
      <c r="Y40" s="469"/>
      <c r="Z40" s="469"/>
    </row>
    <row r="41" spans="1:42" s="443" customFormat="1" hidden="1">
      <c r="A41" s="468"/>
      <c r="B41" s="468"/>
      <c r="C41" s="469"/>
      <c r="D41" s="469"/>
      <c r="E41" s="469"/>
      <c r="F41" s="469"/>
      <c r="G41" s="469"/>
      <c r="H41" s="479"/>
      <c r="I41" s="479"/>
      <c r="J41" s="479"/>
      <c r="K41" s="479"/>
      <c r="L41" s="499"/>
      <c r="M41" s="479"/>
      <c r="N41" s="479"/>
      <c r="O41" s="479"/>
      <c r="P41" s="479"/>
      <c r="Q41" s="479"/>
      <c r="R41" s="479"/>
      <c r="S41" s="487" t="e">
        <f t="shared" si="0"/>
        <v>#DIV/0!</v>
      </c>
      <c r="T41" s="479"/>
      <c r="U41" s="536"/>
      <c r="V41" s="400"/>
      <c r="W41" s="519"/>
      <c r="X41" s="519"/>
      <c r="Y41" s="469"/>
      <c r="Z41" s="469"/>
    </row>
    <row r="42" spans="1:42" s="443" customFormat="1" hidden="1">
      <c r="A42" s="468"/>
      <c r="B42" s="468"/>
      <c r="C42" s="469"/>
      <c r="D42" s="469"/>
      <c r="E42" s="469"/>
      <c r="F42" s="469"/>
      <c r="G42" s="469"/>
      <c r="H42" s="479"/>
      <c r="I42" s="479"/>
      <c r="J42" s="479"/>
      <c r="K42" s="479"/>
      <c r="L42" s="499"/>
      <c r="M42" s="479"/>
      <c r="N42" s="479"/>
      <c r="O42" s="479"/>
      <c r="P42" s="479"/>
      <c r="Q42" s="479"/>
      <c r="R42" s="479"/>
      <c r="S42" s="487" t="e">
        <f t="shared" si="0"/>
        <v>#DIV/0!</v>
      </c>
      <c r="T42" s="479"/>
      <c r="U42" s="536"/>
      <c r="V42" s="400"/>
      <c r="W42" s="519"/>
      <c r="X42" s="519"/>
      <c r="Y42" s="469"/>
      <c r="Z42" s="469"/>
    </row>
    <row r="43" spans="1:42" s="443" customFormat="1" hidden="1">
      <c r="A43" s="468"/>
      <c r="B43" s="468"/>
      <c r="C43" s="469"/>
      <c r="D43" s="469"/>
      <c r="E43" s="469"/>
      <c r="F43" s="469"/>
      <c r="G43" s="469"/>
      <c r="H43" s="479"/>
      <c r="I43" s="479"/>
      <c r="J43" s="479"/>
      <c r="K43" s="479"/>
      <c r="L43" s="499"/>
      <c r="M43" s="479"/>
      <c r="N43" s="479"/>
      <c r="O43" s="479"/>
      <c r="P43" s="479"/>
      <c r="Q43" s="479"/>
      <c r="R43" s="479"/>
      <c r="S43" s="487" t="e">
        <f t="shared" si="0"/>
        <v>#DIV/0!</v>
      </c>
      <c r="T43" s="479"/>
      <c r="U43" s="536"/>
      <c r="V43" s="400"/>
      <c r="W43" s="519"/>
      <c r="X43" s="519"/>
      <c r="Y43" s="469"/>
      <c r="Z43" s="469"/>
    </row>
    <row r="44" spans="1:42" s="443" customFormat="1" hidden="1">
      <c r="A44" s="468"/>
      <c r="B44" s="468"/>
      <c r="C44" s="469"/>
      <c r="D44" s="469"/>
      <c r="E44" s="469"/>
      <c r="F44" s="469"/>
      <c r="G44" s="469"/>
      <c r="H44" s="479"/>
      <c r="I44" s="479"/>
      <c r="J44" s="479"/>
      <c r="K44" s="479"/>
      <c r="L44" s="499"/>
      <c r="M44" s="479"/>
      <c r="N44" s="479"/>
      <c r="O44" s="479"/>
      <c r="P44" s="479"/>
      <c r="Q44" s="479"/>
      <c r="R44" s="479"/>
      <c r="S44" s="487" t="e">
        <f t="shared" si="0"/>
        <v>#DIV/0!</v>
      </c>
      <c r="T44" s="479"/>
      <c r="U44" s="536"/>
      <c r="V44" s="400"/>
      <c r="W44" s="519"/>
      <c r="X44" s="519"/>
      <c r="Y44" s="469"/>
      <c r="Z44" s="469"/>
    </row>
    <row r="45" spans="1:42" s="443" customFormat="1" hidden="1">
      <c r="A45" s="468"/>
      <c r="B45" s="468"/>
      <c r="C45" s="469"/>
      <c r="D45" s="469"/>
      <c r="E45" s="469"/>
      <c r="F45" s="469"/>
      <c r="G45" s="469"/>
      <c r="H45" s="479"/>
      <c r="I45" s="479"/>
      <c r="J45" s="479"/>
      <c r="K45" s="479"/>
      <c r="L45" s="499"/>
      <c r="M45" s="479"/>
      <c r="N45" s="479"/>
      <c r="O45" s="479"/>
      <c r="P45" s="479"/>
      <c r="Q45" s="479"/>
      <c r="R45" s="479"/>
      <c r="S45" s="487" t="e">
        <f t="shared" si="0"/>
        <v>#DIV/0!</v>
      </c>
      <c r="T45" s="479"/>
      <c r="U45" s="536"/>
      <c r="V45" s="400"/>
      <c r="W45" s="519"/>
      <c r="X45" s="519"/>
      <c r="Y45" s="469"/>
      <c r="Z45" s="469"/>
    </row>
    <row r="46" spans="1:42" s="443" customFormat="1" hidden="1">
      <c r="A46" s="468"/>
      <c r="B46" s="468"/>
      <c r="C46" s="469"/>
      <c r="D46" s="469"/>
      <c r="E46" s="469"/>
      <c r="F46" s="469"/>
      <c r="G46" s="469"/>
      <c r="H46" s="479"/>
      <c r="I46" s="479"/>
      <c r="J46" s="479"/>
      <c r="K46" s="479"/>
      <c r="L46" s="499"/>
      <c r="M46" s="479"/>
      <c r="N46" s="479"/>
      <c r="O46" s="479"/>
      <c r="P46" s="479"/>
      <c r="Q46" s="479"/>
      <c r="R46" s="479"/>
      <c r="S46" s="487" t="e">
        <f t="shared" si="0"/>
        <v>#DIV/0!</v>
      </c>
      <c r="T46" s="479"/>
      <c r="U46" s="536"/>
      <c r="V46" s="400"/>
      <c r="W46" s="519"/>
      <c r="X46" s="519"/>
      <c r="Y46" s="469"/>
      <c r="Z46" s="469"/>
    </row>
    <row r="47" spans="1:42" s="443" customFormat="1" hidden="1">
      <c r="A47" s="468"/>
      <c r="B47" s="468"/>
      <c r="C47" s="469"/>
      <c r="D47" s="469"/>
      <c r="E47" s="469"/>
      <c r="F47" s="469"/>
      <c r="G47" s="469"/>
      <c r="H47" s="479"/>
      <c r="I47" s="479"/>
      <c r="J47" s="479"/>
      <c r="K47" s="479"/>
      <c r="L47" s="499"/>
      <c r="M47" s="479"/>
      <c r="N47" s="479"/>
      <c r="O47" s="479"/>
      <c r="P47" s="479"/>
      <c r="Q47" s="479"/>
      <c r="R47" s="479"/>
      <c r="S47" s="487" t="e">
        <f t="shared" si="0"/>
        <v>#DIV/0!</v>
      </c>
      <c r="T47" s="479"/>
      <c r="U47" s="536"/>
      <c r="V47" s="400"/>
      <c r="W47" s="519"/>
      <c r="X47" s="519"/>
      <c r="Y47" s="469"/>
      <c r="Z47" s="469"/>
    </row>
    <row r="48" spans="1:42" s="443" customFormat="1" hidden="1">
      <c r="A48" s="468"/>
      <c r="B48" s="468"/>
      <c r="C48" s="469"/>
      <c r="D48" s="469"/>
      <c r="E48" s="469"/>
      <c r="F48" s="469"/>
      <c r="G48" s="469"/>
      <c r="H48" s="479"/>
      <c r="I48" s="479"/>
      <c r="J48" s="479"/>
      <c r="K48" s="479"/>
      <c r="L48" s="499"/>
      <c r="M48" s="479"/>
      <c r="N48" s="479"/>
      <c r="O48" s="479"/>
      <c r="P48" s="479"/>
      <c r="Q48" s="479"/>
      <c r="R48" s="479"/>
      <c r="S48" s="487" t="e">
        <f t="shared" si="0"/>
        <v>#DIV/0!</v>
      </c>
      <c r="T48" s="479"/>
      <c r="U48" s="536"/>
      <c r="V48" s="400"/>
      <c r="W48" s="519"/>
      <c r="X48" s="519"/>
      <c r="Y48" s="469"/>
      <c r="Z48" s="469"/>
    </row>
    <row r="49" spans="1:33" s="443" customFormat="1" hidden="1">
      <c r="A49" s="468"/>
      <c r="B49" s="468"/>
      <c r="C49" s="469"/>
      <c r="D49" s="469"/>
      <c r="E49" s="469"/>
      <c r="F49" s="469"/>
      <c r="G49" s="469"/>
      <c r="H49" s="479"/>
      <c r="I49" s="479"/>
      <c r="J49" s="479"/>
      <c r="K49" s="479"/>
      <c r="L49" s="499"/>
      <c r="M49" s="479"/>
      <c r="N49" s="479"/>
      <c r="O49" s="479"/>
      <c r="P49" s="479"/>
      <c r="Q49" s="479"/>
      <c r="R49" s="479"/>
      <c r="S49" s="487" t="e">
        <f t="shared" si="0"/>
        <v>#DIV/0!</v>
      </c>
      <c r="T49" s="479"/>
      <c r="U49" s="536"/>
      <c r="V49" s="400"/>
      <c r="W49" s="519"/>
      <c r="X49" s="519"/>
      <c r="Y49" s="469"/>
      <c r="Z49" s="469"/>
    </row>
    <row r="50" spans="1:33" s="443" customFormat="1" hidden="1">
      <c r="A50" s="468"/>
      <c r="B50" s="468"/>
      <c r="C50" s="469"/>
      <c r="D50" s="469"/>
      <c r="E50" s="469"/>
      <c r="F50" s="469"/>
      <c r="G50" s="469"/>
      <c r="H50" s="479"/>
      <c r="I50" s="479"/>
      <c r="J50" s="479"/>
      <c r="K50" s="479"/>
      <c r="L50" s="499"/>
      <c r="M50" s="479"/>
      <c r="N50" s="479"/>
      <c r="O50" s="479"/>
      <c r="P50" s="479"/>
      <c r="Q50" s="479"/>
      <c r="R50" s="479"/>
      <c r="S50" s="487" t="e">
        <f t="shared" si="0"/>
        <v>#DIV/0!</v>
      </c>
      <c r="T50" s="479"/>
      <c r="U50" s="536"/>
      <c r="V50" s="400"/>
      <c r="W50" s="519"/>
      <c r="X50" s="519"/>
      <c r="Y50" s="469"/>
      <c r="Z50" s="469"/>
    </row>
    <row r="51" spans="1:33" s="443" customFormat="1" hidden="1">
      <c r="A51" s="468"/>
      <c r="B51" s="468"/>
      <c r="C51" s="469"/>
      <c r="D51" s="469"/>
      <c r="E51" s="469"/>
      <c r="F51" s="469"/>
      <c r="G51" s="469"/>
      <c r="H51" s="479"/>
      <c r="I51" s="479"/>
      <c r="J51" s="479"/>
      <c r="K51" s="479"/>
      <c r="L51" s="499"/>
      <c r="M51" s="479"/>
      <c r="N51" s="479"/>
      <c r="O51" s="479"/>
      <c r="P51" s="479"/>
      <c r="Q51" s="479"/>
      <c r="R51" s="479"/>
      <c r="S51" s="487" t="e">
        <f t="shared" si="0"/>
        <v>#DIV/0!</v>
      </c>
      <c r="T51" s="479"/>
      <c r="U51" s="536"/>
      <c r="V51" s="400"/>
      <c r="W51" s="519"/>
      <c r="X51" s="519"/>
      <c r="Y51" s="469"/>
      <c r="Z51" s="469"/>
    </row>
    <row r="52" spans="1:33" s="443" customFormat="1" hidden="1">
      <c r="A52" s="468"/>
      <c r="B52" s="468"/>
      <c r="C52" s="469"/>
      <c r="D52" s="469"/>
      <c r="E52" s="469"/>
      <c r="F52" s="469"/>
      <c r="G52" s="469"/>
      <c r="H52" s="479"/>
      <c r="I52" s="479"/>
      <c r="J52" s="479"/>
      <c r="K52" s="479"/>
      <c r="L52" s="499"/>
      <c r="M52" s="479"/>
      <c r="N52" s="479"/>
      <c r="O52" s="479"/>
      <c r="P52" s="479"/>
      <c r="Q52" s="479"/>
      <c r="R52" s="479"/>
      <c r="S52" s="487" t="e">
        <f t="shared" si="0"/>
        <v>#DIV/0!</v>
      </c>
      <c r="T52" s="479"/>
      <c r="U52" s="529"/>
      <c r="V52" s="518"/>
      <c r="W52" s="519"/>
      <c r="X52" s="519"/>
      <c r="Y52" s="469"/>
      <c r="Z52" s="469"/>
    </row>
    <row r="53" spans="1:33" s="443" customFormat="1" ht="13.5" hidden="1" customHeight="1" outlineLevel="1">
      <c r="A53" s="468"/>
      <c r="B53" s="468"/>
      <c r="C53" s="469"/>
      <c r="D53" s="469"/>
      <c r="E53" s="469"/>
      <c r="F53" s="469"/>
      <c r="G53" s="469"/>
      <c r="H53" s="479"/>
      <c r="I53" s="479"/>
      <c r="J53" s="479"/>
      <c r="K53" s="479"/>
      <c r="L53" s="499"/>
      <c r="M53" s="479"/>
      <c r="N53" s="479"/>
      <c r="O53" s="479"/>
      <c r="P53" s="479"/>
      <c r="Q53" s="479"/>
      <c r="R53" s="479"/>
      <c r="S53" s="487" t="e">
        <f t="shared" si="0"/>
        <v>#DIV/0!</v>
      </c>
      <c r="T53" s="479"/>
      <c r="U53" s="529"/>
      <c r="V53" s="518"/>
      <c r="W53" s="519"/>
      <c r="X53" s="519"/>
      <c r="Y53" s="469"/>
      <c r="Z53" s="469"/>
    </row>
    <row r="54" spans="1:33" s="443" customFormat="1" ht="12.75" hidden="1" customHeight="1">
      <c r="A54" s="480"/>
      <c r="B54" s="468"/>
      <c r="C54" s="469"/>
      <c r="D54" s="469"/>
      <c r="E54" s="469"/>
      <c r="F54" s="469"/>
      <c r="G54" s="469"/>
      <c r="H54" s="479"/>
      <c r="I54" s="479"/>
      <c r="J54" s="479"/>
      <c r="K54" s="479"/>
      <c r="L54" s="499"/>
      <c r="M54" s="479"/>
      <c r="N54" s="479"/>
      <c r="O54" s="479"/>
      <c r="P54" s="479"/>
      <c r="Q54" s="479"/>
      <c r="R54" s="479"/>
      <c r="S54" s="487" t="e">
        <f t="shared" si="0"/>
        <v>#DIV/0!</v>
      </c>
      <c r="T54" s="479"/>
      <c r="U54" s="529"/>
      <c r="V54" s="518"/>
      <c r="W54" s="519"/>
      <c r="X54" s="519"/>
      <c r="Y54" s="469"/>
      <c r="Z54" s="469"/>
      <c r="AB54" s="556"/>
    </row>
    <row r="55" spans="1:33" s="446" customFormat="1" hidden="1">
      <c r="A55" s="468"/>
      <c r="B55" s="468"/>
      <c r="C55" s="469"/>
      <c r="D55" s="469"/>
      <c r="E55" s="469"/>
      <c r="F55" s="469"/>
      <c r="G55" s="469"/>
      <c r="H55" s="479"/>
      <c r="I55" s="479"/>
      <c r="J55" s="479"/>
      <c r="K55" s="479"/>
      <c r="L55" s="499"/>
      <c r="M55" s="479"/>
      <c r="N55" s="479"/>
      <c r="O55" s="479"/>
      <c r="P55" s="479"/>
      <c r="Q55" s="479"/>
      <c r="R55" s="479"/>
      <c r="S55" s="487" t="e">
        <f t="shared" si="0"/>
        <v>#DIV/0!</v>
      </c>
      <c r="T55" s="479"/>
      <c r="U55" s="542"/>
      <c r="V55" s="534"/>
      <c r="W55" s="519"/>
      <c r="X55" s="519"/>
      <c r="Y55" s="469"/>
      <c r="Z55" s="469"/>
    </row>
    <row r="56" spans="1:33" s="446" customFormat="1" hidden="1">
      <c r="A56" s="468"/>
      <c r="B56" s="468"/>
      <c r="C56" s="469"/>
      <c r="D56" s="469"/>
      <c r="E56" s="469"/>
      <c r="F56" s="469"/>
      <c r="G56" s="469"/>
      <c r="H56" s="479"/>
      <c r="I56" s="479"/>
      <c r="J56" s="479"/>
      <c r="K56" s="479"/>
      <c r="L56" s="499"/>
      <c r="M56" s="479"/>
      <c r="N56" s="479"/>
      <c r="O56" s="479"/>
      <c r="P56" s="479"/>
      <c r="Q56" s="479"/>
      <c r="R56" s="479"/>
      <c r="S56" s="487" t="e">
        <f t="shared" si="0"/>
        <v>#DIV/0!</v>
      </c>
      <c r="T56" s="479"/>
      <c r="U56" s="542"/>
      <c r="V56" s="534"/>
      <c r="W56" s="519"/>
      <c r="X56" s="519"/>
      <c r="Y56" s="469"/>
      <c r="Z56" s="469"/>
    </row>
    <row r="57" spans="1:33" s="446" customFormat="1" hidden="1">
      <c r="A57" s="468"/>
      <c r="B57" s="468"/>
      <c r="C57" s="469"/>
      <c r="D57" s="469"/>
      <c r="E57" s="469"/>
      <c r="F57" s="469"/>
      <c r="G57" s="469"/>
      <c r="H57" s="479"/>
      <c r="I57" s="479"/>
      <c r="J57" s="479"/>
      <c r="K57" s="479"/>
      <c r="L57" s="499"/>
      <c r="M57" s="479"/>
      <c r="N57" s="479"/>
      <c r="O57" s="479"/>
      <c r="P57" s="479"/>
      <c r="Q57" s="479"/>
      <c r="R57" s="479"/>
      <c r="S57" s="487" t="e">
        <f t="shared" si="0"/>
        <v>#DIV/0!</v>
      </c>
      <c r="T57" s="479"/>
      <c r="U57" s="542"/>
      <c r="V57" s="534"/>
      <c r="W57" s="535"/>
      <c r="X57" s="535"/>
      <c r="Y57" s="469"/>
      <c r="Z57" s="469"/>
    </row>
    <row r="58" spans="1:33" s="443" customFormat="1" hidden="1">
      <c r="A58" s="468"/>
      <c r="B58" s="468"/>
      <c r="C58" s="488"/>
      <c r="D58" s="488"/>
      <c r="E58" s="488"/>
      <c r="F58" s="488"/>
      <c r="G58" s="469"/>
      <c r="H58" s="479"/>
      <c r="I58" s="479"/>
      <c r="J58" s="479"/>
      <c r="K58" s="479"/>
      <c r="L58" s="499"/>
      <c r="M58" s="479"/>
      <c r="N58" s="479"/>
      <c r="O58" s="479"/>
      <c r="P58" s="479"/>
      <c r="Q58" s="479"/>
      <c r="R58" s="479"/>
      <c r="S58" s="487" t="e">
        <f t="shared" si="0"/>
        <v>#DIV/0!</v>
      </c>
      <c r="T58" s="479"/>
      <c r="U58" s="529"/>
      <c r="V58" s="518"/>
      <c r="W58" s="519"/>
      <c r="X58" s="519"/>
      <c r="Y58" s="469"/>
      <c r="Z58" s="469"/>
    </row>
    <row r="59" spans="1:33" hidden="1">
      <c r="A59" s="468"/>
      <c r="B59" s="468"/>
      <c r="C59" s="469"/>
      <c r="D59" s="469"/>
      <c r="E59" s="469"/>
      <c r="F59" s="469"/>
      <c r="G59" s="470"/>
      <c r="H59" s="489"/>
      <c r="I59" s="489"/>
      <c r="J59" s="489"/>
      <c r="K59" s="489"/>
      <c r="L59" s="496"/>
      <c r="M59" s="489"/>
      <c r="N59" s="489"/>
      <c r="O59" s="489"/>
      <c r="P59" s="489"/>
      <c r="Q59" s="489"/>
      <c r="R59" s="489"/>
      <c r="S59" s="487" t="e">
        <f t="shared" si="0"/>
        <v>#DIV/0!</v>
      </c>
      <c r="T59" s="489"/>
      <c r="U59" s="526"/>
      <c r="V59" s="395"/>
      <c r="W59" s="489"/>
      <c r="X59" s="489"/>
      <c r="Y59" s="553"/>
      <c r="Z59" s="553"/>
    </row>
    <row r="60" spans="1:33" s="443" customFormat="1" ht="9" customHeight="1">
      <c r="A60" s="476"/>
      <c r="B60" s="476"/>
      <c r="C60" s="477"/>
      <c r="D60" s="477"/>
      <c r="E60" s="477"/>
      <c r="F60" s="477"/>
      <c r="G60" s="477"/>
      <c r="H60" s="478"/>
      <c r="I60" s="478"/>
      <c r="J60" s="478"/>
      <c r="K60" s="478"/>
      <c r="L60" s="498"/>
      <c r="M60" s="478"/>
      <c r="N60" s="478"/>
      <c r="O60" s="478"/>
      <c r="P60" s="478"/>
      <c r="Q60" s="478"/>
      <c r="R60" s="478"/>
      <c r="S60" s="487"/>
      <c r="T60" s="478"/>
      <c r="U60" s="523"/>
      <c r="V60" s="524"/>
      <c r="W60" s="519"/>
      <c r="X60" s="519"/>
      <c r="Y60" s="477"/>
      <c r="Z60" s="477"/>
    </row>
    <row r="61" spans="1:33" s="443" customFormat="1">
      <c r="A61" s="468" t="s">
        <v>510</v>
      </c>
      <c r="B61" s="490">
        <v>102</v>
      </c>
      <c r="C61" s="469">
        <v>110.4</v>
      </c>
      <c r="D61" s="469">
        <f>C61</f>
        <v>110.4</v>
      </c>
      <c r="E61" s="469">
        <v>127.6</v>
      </c>
      <c r="F61" s="491">
        <f>E61</f>
        <v>127.6</v>
      </c>
      <c r="G61" s="469"/>
      <c r="H61" s="479">
        <f t="shared" ref="H61:H67" si="11">I61/6.2</f>
        <v>70.161290322580641</v>
      </c>
      <c r="I61" s="491">
        <v>435</v>
      </c>
      <c r="J61" s="479">
        <f>64/8</f>
        <v>8</v>
      </c>
      <c r="K61" s="491">
        <f>H61*C61</f>
        <v>7745.8064516129034</v>
      </c>
      <c r="L61" s="496">
        <f>I61*$C61</f>
        <v>48024</v>
      </c>
      <c r="M61" s="469">
        <f>K61/D61</f>
        <v>70.161290322580641</v>
      </c>
      <c r="N61" s="491">
        <f>Q61/D61</f>
        <v>70.161290322580641</v>
      </c>
      <c r="O61" s="479">
        <f>Q61/F61</f>
        <v>60.703812316715549</v>
      </c>
      <c r="P61" s="479">
        <f>R61/F61</f>
        <v>376.36363636363637</v>
      </c>
      <c r="Q61" s="469">
        <f>(K61*60)/60</f>
        <v>7745.8064516129034</v>
      </c>
      <c r="R61" s="543">
        <f>Q61*6.2</f>
        <v>48024</v>
      </c>
      <c r="S61" s="487">
        <f t="shared" si="0"/>
        <v>12.545454545454545</v>
      </c>
      <c r="T61" s="544">
        <f>C61*J61</f>
        <v>883.2</v>
      </c>
      <c r="U61" s="545">
        <v>40268</v>
      </c>
      <c r="V61" s="546" t="s">
        <v>489</v>
      </c>
      <c r="W61" s="519">
        <v>41061</v>
      </c>
      <c r="X61" s="519">
        <v>42886</v>
      </c>
      <c r="Y61" s="469">
        <f>K61*2</f>
        <v>15491.612903225807</v>
      </c>
      <c r="Z61" s="469">
        <f>T61*2</f>
        <v>1766.4</v>
      </c>
      <c r="AA61" s="443">
        <f>(64+I61)*C61*2</f>
        <v>110179.20000000001</v>
      </c>
      <c r="AC61" s="443" t="s">
        <v>511</v>
      </c>
      <c r="AD61" s="554" t="s">
        <v>512</v>
      </c>
      <c r="AF61" s="443" t="s">
        <v>513</v>
      </c>
      <c r="AG61" s="443" t="s">
        <v>514</v>
      </c>
    </row>
    <row r="62" spans="1:33" s="447" customFormat="1">
      <c r="A62" s="481"/>
      <c r="B62" s="492"/>
      <c r="C62" s="482"/>
      <c r="D62" s="482"/>
      <c r="E62" s="482">
        <f>SUM(E37:E61)</f>
        <v>708.20750364086086</v>
      </c>
      <c r="F62" s="493"/>
      <c r="G62" s="482"/>
      <c r="H62" s="487"/>
      <c r="I62" s="493"/>
      <c r="J62" s="487"/>
      <c r="K62" s="493"/>
      <c r="L62" s="500"/>
      <c r="M62" s="482"/>
      <c r="N62" s="493"/>
      <c r="O62" s="487"/>
      <c r="P62" s="487"/>
      <c r="Q62" s="482"/>
      <c r="R62" s="547">
        <f>SUM(R37:R61)</f>
        <v>107510.44736842105</v>
      </c>
      <c r="S62" s="548">
        <f t="shared" si="0"/>
        <v>5.0602140764166341</v>
      </c>
      <c r="T62" s="549"/>
      <c r="U62" s="550"/>
      <c r="V62" s="551"/>
      <c r="W62" s="532"/>
      <c r="X62" s="532"/>
      <c r="Y62" s="482"/>
      <c r="Z62" s="482"/>
      <c r="AD62" s="557"/>
    </row>
    <row r="63" spans="1:33" s="447" customFormat="1">
      <c r="A63" s="481" t="s">
        <v>515</v>
      </c>
      <c r="B63" s="481" t="s">
        <v>516</v>
      </c>
      <c r="C63" s="482">
        <f>793.21+19.24</f>
        <v>812.45</v>
      </c>
      <c r="D63" s="482">
        <f>C63</f>
        <v>812.45</v>
      </c>
      <c r="E63" s="482">
        <f>916.81+22.24</f>
        <v>939.05</v>
      </c>
      <c r="F63" s="482">
        <f>E63</f>
        <v>939.05</v>
      </c>
      <c r="G63" s="482"/>
      <c r="H63" s="487">
        <f t="shared" si="11"/>
        <v>19.35483870967742</v>
      </c>
      <c r="I63" s="487">
        <v>120</v>
      </c>
      <c r="J63" s="487">
        <v>6</v>
      </c>
      <c r="K63" s="487">
        <f>H63*C63</f>
        <v>15724.83870967742</v>
      </c>
      <c r="L63" s="503">
        <f t="shared" ref="L63:L66" si="12">I63*812.45</f>
        <v>97494</v>
      </c>
      <c r="M63" s="487">
        <f>K63/D63</f>
        <v>19.35483870967742</v>
      </c>
      <c r="N63" s="487">
        <f>Q63/D63</f>
        <v>22.971652003910069</v>
      </c>
      <c r="O63" s="487">
        <f>Q63/F63</f>
        <v>19.874680443615077</v>
      </c>
      <c r="P63" s="487">
        <f>R63/F63</f>
        <v>123.22301875041349</v>
      </c>
      <c r="Q63" s="487">
        <f>(K63*24+K64*23+K65*23+K66*24)/99</f>
        <v>18663.318670576737</v>
      </c>
      <c r="R63" s="487">
        <f>Q63*6.2</f>
        <v>115712.57575757577</v>
      </c>
      <c r="S63" s="487">
        <f t="shared" si="0"/>
        <v>4.1074339583471158</v>
      </c>
      <c r="T63" s="487">
        <f>C63*J63</f>
        <v>4874.7000000000007</v>
      </c>
      <c r="U63" s="550">
        <v>40268</v>
      </c>
      <c r="V63" s="531" t="s">
        <v>517</v>
      </c>
      <c r="W63" s="532">
        <v>40299</v>
      </c>
      <c r="X63" s="532">
        <v>43312</v>
      </c>
      <c r="Y63" s="482">
        <f>K65*2</f>
        <v>41932.903225806454</v>
      </c>
      <c r="Z63" s="482">
        <f>T63*2</f>
        <v>9749.4000000000015</v>
      </c>
    </row>
    <row r="64" spans="1:33" s="443" customFormat="1">
      <c r="A64" s="468"/>
      <c r="B64" s="468"/>
      <c r="C64" s="469"/>
      <c r="D64" s="469"/>
      <c r="E64" s="469"/>
      <c r="F64" s="469"/>
      <c r="G64" s="469"/>
      <c r="H64" s="479">
        <f t="shared" si="11"/>
        <v>22.58064516129032</v>
      </c>
      <c r="I64" s="479">
        <v>140</v>
      </c>
      <c r="J64" s="479"/>
      <c r="K64" s="479">
        <f>H64*C63</f>
        <v>18345.645161290322</v>
      </c>
      <c r="L64" s="502">
        <f t="shared" si="12"/>
        <v>113743</v>
      </c>
      <c r="M64" s="479"/>
      <c r="N64" s="479"/>
      <c r="O64" s="479" t="s">
        <v>466</v>
      </c>
      <c r="P64" s="479" t="s">
        <v>466</v>
      </c>
      <c r="Q64" s="479"/>
      <c r="R64" s="479"/>
      <c r="S64" s="487"/>
      <c r="T64" s="479"/>
      <c r="U64" s="536"/>
      <c r="V64" s="518"/>
      <c r="W64" s="519">
        <v>41122</v>
      </c>
      <c r="X64" s="519">
        <v>41851</v>
      </c>
      <c r="Y64" s="469" t="s">
        <v>466</v>
      </c>
      <c r="Z64" s="469"/>
    </row>
    <row r="65" spans="1:42" s="443" customFormat="1">
      <c r="A65" s="468"/>
      <c r="B65" s="468"/>
      <c r="C65" s="469"/>
      <c r="D65" s="469"/>
      <c r="E65" s="469"/>
      <c r="F65" s="469"/>
      <c r="G65" s="469"/>
      <c r="H65" s="479">
        <f t="shared" si="11"/>
        <v>25.806451612903224</v>
      </c>
      <c r="I65" s="479">
        <v>160</v>
      </c>
      <c r="J65" s="479"/>
      <c r="K65" s="479">
        <f>H65*C63</f>
        <v>20966.451612903227</v>
      </c>
      <c r="L65" s="499">
        <f t="shared" si="12"/>
        <v>129992</v>
      </c>
      <c r="M65" s="479"/>
      <c r="N65" s="479"/>
      <c r="O65" s="479" t="s">
        <v>466</v>
      </c>
      <c r="P65" s="479" t="s">
        <v>466</v>
      </c>
      <c r="Q65" s="479"/>
      <c r="R65" s="479"/>
      <c r="S65" s="487"/>
      <c r="T65" s="479"/>
      <c r="U65" s="536"/>
      <c r="V65" s="518"/>
      <c r="W65" s="519">
        <v>41852</v>
      </c>
      <c r="X65" s="519">
        <v>42582</v>
      </c>
      <c r="Y65" s="469" t="s">
        <v>466</v>
      </c>
      <c r="Z65" s="469"/>
    </row>
    <row r="66" spans="1:42">
      <c r="A66" s="468"/>
      <c r="B66" s="468" t="s">
        <v>466</v>
      </c>
      <c r="C66" s="469" t="s">
        <v>466</v>
      </c>
      <c r="D66" s="469" t="s">
        <v>466</v>
      </c>
      <c r="E66" s="469"/>
      <c r="F66" s="469"/>
      <c r="G66" s="470"/>
      <c r="H66" s="479">
        <f t="shared" si="11"/>
        <v>29.032258064516128</v>
      </c>
      <c r="I66" s="479">
        <v>180</v>
      </c>
      <c r="J66" s="479"/>
      <c r="K66" s="479">
        <f>H66*C63</f>
        <v>23587.258064516129</v>
      </c>
      <c r="L66" s="499">
        <f t="shared" si="12"/>
        <v>146241</v>
      </c>
      <c r="M66" s="479"/>
      <c r="N66" s="479"/>
      <c r="O66" s="479" t="s">
        <v>466</v>
      </c>
      <c r="P66" s="479" t="s">
        <v>466</v>
      </c>
      <c r="Q66" s="479"/>
      <c r="R66" s="479"/>
      <c r="S66" s="487"/>
      <c r="T66" s="479"/>
      <c r="U66" s="526"/>
      <c r="V66" s="395"/>
      <c r="W66" s="519">
        <v>42583</v>
      </c>
      <c r="X66" s="519"/>
      <c r="Y66" s="553"/>
      <c r="Z66" s="553"/>
    </row>
    <row r="67" spans="1:42" s="443" customFormat="1" ht="12.75" customHeight="1">
      <c r="A67" s="468" t="s">
        <v>518</v>
      </c>
      <c r="B67" s="468" t="s">
        <v>519</v>
      </c>
      <c r="C67" s="469">
        <f>1073.36+330.51</f>
        <v>1403.87</v>
      </c>
      <c r="D67" s="469">
        <f>1382.63+330.51/(330.51+263.88)*1250.66</f>
        <v>2078.0583157522842</v>
      </c>
      <c r="E67" s="469">
        <f>388.84+1262.78-0.01</f>
        <v>1651.61</v>
      </c>
      <c r="F67" s="469">
        <f>1598.08+388.84/(388.84+310.45)*1445.54</f>
        <v>2401.872094267042</v>
      </c>
      <c r="G67" s="469"/>
      <c r="H67" s="479">
        <f t="shared" si="11"/>
        <v>20.303583619198267</v>
      </c>
      <c r="I67" s="479">
        <f>107*1651.61/1403.87</f>
        <v>125.88221843902926</v>
      </c>
      <c r="J67" s="479">
        <f>48*1651.61/1403.87/8</f>
        <v>7.0588159872352856</v>
      </c>
      <c r="K67" s="479">
        <f>C67*H67</f>
        <v>28503.59193548387</v>
      </c>
      <c r="L67" s="499">
        <f>C67*I67</f>
        <v>176722.27</v>
      </c>
      <c r="M67" s="479">
        <f>K67/D67</f>
        <v>13.716454307089643</v>
      </c>
      <c r="N67" s="479">
        <f>Q67/D67</f>
        <v>13.716454307089643</v>
      </c>
      <c r="O67" s="479">
        <f>Q67/F67</f>
        <v>11.867239726677477</v>
      </c>
      <c r="P67" s="479">
        <f>R67/F67</f>
        <v>73.57688630540035</v>
      </c>
      <c r="Q67" s="479">
        <f>(K67*96)/96</f>
        <v>28503.59193548387</v>
      </c>
      <c r="R67" s="479">
        <f>Q67*6.2</f>
        <v>176722.27</v>
      </c>
      <c r="S67" s="487">
        <f t="shared" si="0"/>
        <v>3.5666666666666664</v>
      </c>
      <c r="T67" s="479">
        <f>C67*J67</f>
        <v>9909.66</v>
      </c>
      <c r="U67" s="529">
        <v>39295</v>
      </c>
      <c r="V67" s="518" t="s">
        <v>520</v>
      </c>
      <c r="W67" s="519">
        <v>40590</v>
      </c>
      <c r="X67" s="519">
        <v>43511</v>
      </c>
      <c r="Y67" s="469">
        <f>K67*2</f>
        <v>57007.183870967739</v>
      </c>
      <c r="Z67" s="469">
        <f>T67*2</f>
        <v>19819.32</v>
      </c>
      <c r="AA67" s="443">
        <f>1651.61*2*(107+48)</f>
        <v>511999.1</v>
      </c>
      <c r="AB67" s="480" t="s">
        <v>521</v>
      </c>
      <c r="AC67" s="468" t="s">
        <v>522</v>
      </c>
      <c r="AD67" s="443" t="s">
        <v>466</v>
      </c>
      <c r="AF67" s="443" t="e">
        <f>#REF!*3</f>
        <v>#REF!</v>
      </c>
      <c r="AG67" s="443">
        <f>Z67*3</f>
        <v>59457.96</v>
      </c>
      <c r="AI67" s="443" t="s">
        <v>523</v>
      </c>
      <c r="AM67" s="443" t="s">
        <v>466</v>
      </c>
      <c r="AN67" s="443" t="s">
        <v>524</v>
      </c>
      <c r="AP67" s="554" t="s">
        <v>525</v>
      </c>
    </row>
    <row r="68" spans="1:42" s="446" customFormat="1">
      <c r="A68" s="468"/>
      <c r="B68" s="468"/>
      <c r="C68" s="469"/>
      <c r="D68" s="469"/>
      <c r="E68" s="469"/>
      <c r="F68" s="469"/>
      <c r="G68" s="469"/>
      <c r="H68" s="479"/>
      <c r="I68" s="479"/>
      <c r="J68" s="479"/>
      <c r="K68" s="479"/>
      <c r="L68" s="499"/>
      <c r="M68" s="479"/>
      <c r="N68" s="479"/>
      <c r="O68" s="479"/>
      <c r="P68" s="479"/>
      <c r="Q68" s="479"/>
      <c r="R68" s="479"/>
      <c r="S68" s="487"/>
      <c r="T68" s="479"/>
      <c r="U68" s="542"/>
      <c r="V68" s="518"/>
      <c r="W68" s="519"/>
      <c r="X68" s="519"/>
      <c r="Y68" s="469"/>
      <c r="Z68" s="469"/>
    </row>
    <row r="69" spans="1:42" s="443" customFormat="1" ht="12.75" customHeight="1">
      <c r="A69" s="468" t="s">
        <v>526</v>
      </c>
      <c r="B69" s="468" t="s">
        <v>527</v>
      </c>
      <c r="C69" s="561">
        <f t="shared" ref="C69:C76" si="13">320.89/377.52*E69</f>
        <v>11.049931129476585</v>
      </c>
      <c r="D69" s="469">
        <f t="shared" ref="D69:D76" si="14">C69/(320.89/555.23)</f>
        <v>19.119490358126725</v>
      </c>
      <c r="E69" s="469">
        <v>13</v>
      </c>
      <c r="F69" s="469">
        <f t="shared" ref="F69:F76" si="15">E69/(377.52/641.75)</f>
        <v>22.098829201101928</v>
      </c>
      <c r="G69" s="469" t="s">
        <v>466</v>
      </c>
      <c r="H69" s="479">
        <f t="shared" ref="H69:H77" si="16">I69/6.2</f>
        <v>20.303731858671298</v>
      </c>
      <c r="I69" s="479">
        <f t="shared" ref="I69:I76" si="17">107*377.52/320.89</f>
        <v>125.88313752376204</v>
      </c>
      <c r="J69" s="479">
        <f t="shared" ref="J69:J76" si="18">48*377.52/320.89/8</f>
        <v>7.0588675246969368</v>
      </c>
      <c r="K69" s="479">
        <f t="shared" ref="K69:K77" si="19">C69*H69</f>
        <v>224.35483870967747</v>
      </c>
      <c r="L69" s="499">
        <f t="shared" ref="L69:L77" si="20">C69*I69</f>
        <v>1391.0000000000002</v>
      </c>
      <c r="M69" s="479">
        <f t="shared" ref="M69:M77" si="21">K69/D69</f>
        <v>11.734352459573568</v>
      </c>
      <c r="N69" s="479">
        <f t="shared" ref="N69:N77" si="22">Q69/D69</f>
        <v>11.734352459573568</v>
      </c>
      <c r="O69" s="479">
        <f t="shared" ref="O69:O77" si="23">Q69/F69</f>
        <v>10.152340500395844</v>
      </c>
      <c r="P69" s="479">
        <f t="shared" ref="P69:P77" si="24">R69/F69</f>
        <v>62.944511102454236</v>
      </c>
      <c r="Q69" s="479">
        <f t="shared" ref="Q69:Q76" si="25">(K69*96)/96</f>
        <v>224.35483870967747</v>
      </c>
      <c r="R69" s="479">
        <f t="shared" ref="R69:R77" si="26">Q69*6.2</f>
        <v>1391.0000000000002</v>
      </c>
      <c r="S69" s="487">
        <f t="shared" si="0"/>
        <v>3.5666666666666673</v>
      </c>
      <c r="T69" s="479">
        <f t="shared" ref="T69:T77" si="27">C69*J69</f>
        <v>78.000000000000014</v>
      </c>
      <c r="U69" s="529">
        <v>39295</v>
      </c>
      <c r="V69" s="642">
        <f t="shared" ref="V69:V76" si="28">89+1/28</f>
        <v>89.035714285714292</v>
      </c>
      <c r="W69" s="519">
        <v>40801</v>
      </c>
      <c r="X69" s="519">
        <v>43511</v>
      </c>
      <c r="Y69" s="469">
        <f t="shared" ref="Y69:Y77" si="29">K69*2</f>
        <v>448.70967741935493</v>
      </c>
      <c r="Z69" s="469">
        <f t="shared" ref="Z69:Z77" si="30">T69*2</f>
        <v>156.00000000000003</v>
      </c>
      <c r="AA69" s="706">
        <f>E69*2*(107+48)</f>
        <v>4030</v>
      </c>
      <c r="AB69" s="556" t="s">
        <v>490</v>
      </c>
      <c r="AC69" s="443" t="s">
        <v>528</v>
      </c>
      <c r="AD69" s="443" t="s">
        <v>466</v>
      </c>
      <c r="AF69" s="443" t="e">
        <f t="shared" ref="AF69:AF76" si="31">#REF!*3</f>
        <v>#REF!</v>
      </c>
      <c r="AG69" s="443">
        <f t="shared" ref="AG69:AG76" si="32">Z69*3</f>
        <v>468.00000000000011</v>
      </c>
      <c r="AI69" s="443" t="s">
        <v>523</v>
      </c>
      <c r="AM69" s="443" t="s">
        <v>466</v>
      </c>
      <c r="AN69" s="443" t="s">
        <v>466</v>
      </c>
      <c r="AP69" s="554" t="s">
        <v>529</v>
      </c>
    </row>
    <row r="70" spans="1:42" s="443" customFormat="1" ht="12.75" customHeight="1">
      <c r="A70" s="468" t="s">
        <v>530</v>
      </c>
      <c r="B70" s="468" t="s">
        <v>531</v>
      </c>
      <c r="C70" s="561">
        <f t="shared" si="13"/>
        <v>11.049931129476585</v>
      </c>
      <c r="D70" s="469">
        <f t="shared" si="14"/>
        <v>19.119490358126725</v>
      </c>
      <c r="E70" s="469">
        <v>13</v>
      </c>
      <c r="F70" s="469">
        <f t="shared" si="15"/>
        <v>22.098829201101928</v>
      </c>
      <c r="G70" s="469" t="s">
        <v>466</v>
      </c>
      <c r="H70" s="479">
        <f t="shared" si="16"/>
        <v>20.303731858671298</v>
      </c>
      <c r="I70" s="479">
        <f t="shared" si="17"/>
        <v>125.88313752376204</v>
      </c>
      <c r="J70" s="479">
        <f t="shared" si="18"/>
        <v>7.0588675246969368</v>
      </c>
      <c r="K70" s="479">
        <f t="shared" si="19"/>
        <v>224.35483870967747</v>
      </c>
      <c r="L70" s="499">
        <f t="shared" si="20"/>
        <v>1391.0000000000002</v>
      </c>
      <c r="M70" s="479">
        <f t="shared" si="21"/>
        <v>11.734352459573568</v>
      </c>
      <c r="N70" s="479">
        <f t="shared" si="22"/>
        <v>11.734352459573568</v>
      </c>
      <c r="O70" s="479">
        <f t="shared" si="23"/>
        <v>10.152340500395844</v>
      </c>
      <c r="P70" s="479">
        <f t="shared" si="24"/>
        <v>62.944511102454236</v>
      </c>
      <c r="Q70" s="479">
        <f t="shared" si="25"/>
        <v>224.35483870967747</v>
      </c>
      <c r="R70" s="479">
        <f t="shared" si="26"/>
        <v>1391.0000000000002</v>
      </c>
      <c r="S70" s="487">
        <f t="shared" si="0"/>
        <v>3.5666666666666673</v>
      </c>
      <c r="T70" s="479">
        <f t="shared" si="27"/>
        <v>78.000000000000014</v>
      </c>
      <c r="U70" s="529">
        <v>39295</v>
      </c>
      <c r="V70" s="642">
        <f t="shared" si="28"/>
        <v>89.035714285714292</v>
      </c>
      <c r="W70" s="519">
        <v>40801</v>
      </c>
      <c r="X70" s="519">
        <v>43511</v>
      </c>
      <c r="Y70" s="469">
        <f t="shared" si="29"/>
        <v>448.70967741935493</v>
      </c>
      <c r="Z70" s="469">
        <f t="shared" si="30"/>
        <v>156.00000000000003</v>
      </c>
      <c r="AA70" s="706">
        <f t="shared" ref="AA70:AA76" si="33">E70*2*(107+48)</f>
        <v>4030</v>
      </c>
      <c r="AB70" s="556" t="s">
        <v>490</v>
      </c>
      <c r="AC70" s="443" t="s">
        <v>528</v>
      </c>
      <c r="AD70" s="443" t="s">
        <v>466</v>
      </c>
      <c r="AF70" s="443" t="e">
        <f t="shared" si="31"/>
        <v>#REF!</v>
      </c>
      <c r="AG70" s="443">
        <f t="shared" si="32"/>
        <v>468.00000000000011</v>
      </c>
      <c r="AI70" s="443" t="s">
        <v>523</v>
      </c>
      <c r="AM70" s="443" t="s">
        <v>466</v>
      </c>
      <c r="AN70" s="443" t="s">
        <v>466</v>
      </c>
      <c r="AP70" s="554" t="s">
        <v>529</v>
      </c>
    </row>
    <row r="71" spans="1:42" s="443" customFormat="1" ht="12.75" customHeight="1">
      <c r="A71" s="468" t="s">
        <v>532</v>
      </c>
      <c r="B71" s="468" t="s">
        <v>533</v>
      </c>
      <c r="C71" s="561">
        <f t="shared" si="13"/>
        <v>57.378042381860567</v>
      </c>
      <c r="D71" s="469">
        <f t="shared" si="14"/>
        <v>99.280159779614337</v>
      </c>
      <c r="E71" s="469">
        <v>67.504000000000005</v>
      </c>
      <c r="F71" s="469">
        <f t="shared" si="15"/>
        <v>114.75072049162959</v>
      </c>
      <c r="G71" s="469" t="s">
        <v>466</v>
      </c>
      <c r="H71" s="479">
        <f t="shared" si="16"/>
        <v>20.303731858671298</v>
      </c>
      <c r="I71" s="479">
        <f t="shared" si="17"/>
        <v>125.88313752376204</v>
      </c>
      <c r="J71" s="479">
        <f t="shared" si="18"/>
        <v>7.0588675246969368</v>
      </c>
      <c r="K71" s="479">
        <f t="shared" si="19"/>
        <v>1164.9883870967744</v>
      </c>
      <c r="L71" s="499">
        <f t="shared" si="20"/>
        <v>7222.9280000000008</v>
      </c>
      <c r="M71" s="479">
        <f t="shared" si="21"/>
        <v>11.73435245957357</v>
      </c>
      <c r="N71" s="479">
        <f t="shared" si="22"/>
        <v>11.73435245957357</v>
      </c>
      <c r="O71" s="479">
        <f t="shared" si="23"/>
        <v>10.152340500395844</v>
      </c>
      <c r="P71" s="479">
        <f t="shared" si="24"/>
        <v>62.944511102454236</v>
      </c>
      <c r="Q71" s="479">
        <f t="shared" si="25"/>
        <v>1164.9883870967744</v>
      </c>
      <c r="R71" s="479">
        <f t="shared" si="26"/>
        <v>7222.9280000000017</v>
      </c>
      <c r="S71" s="487">
        <f t="shared" si="0"/>
        <v>3.5666666666666673</v>
      </c>
      <c r="T71" s="479">
        <f t="shared" si="27"/>
        <v>405.02400000000006</v>
      </c>
      <c r="U71" s="529">
        <v>39295</v>
      </c>
      <c r="V71" s="642">
        <f t="shared" si="28"/>
        <v>89.035714285714292</v>
      </c>
      <c r="W71" s="519">
        <v>40801</v>
      </c>
      <c r="X71" s="519">
        <v>43511</v>
      </c>
      <c r="Y71" s="469">
        <f t="shared" si="29"/>
        <v>2329.9767741935489</v>
      </c>
      <c r="Z71" s="469">
        <f t="shared" si="30"/>
        <v>810.04800000000012</v>
      </c>
      <c r="AA71" s="706">
        <f t="shared" si="33"/>
        <v>20926.240000000002</v>
      </c>
      <c r="AB71" s="556" t="s">
        <v>490</v>
      </c>
      <c r="AC71" s="443" t="s">
        <v>528</v>
      </c>
      <c r="AD71" s="443" t="s">
        <v>466</v>
      </c>
      <c r="AF71" s="443" t="e">
        <f t="shared" si="31"/>
        <v>#REF!</v>
      </c>
      <c r="AG71" s="443">
        <f t="shared" si="32"/>
        <v>2430.1440000000002</v>
      </c>
      <c r="AI71" s="443" t="s">
        <v>523</v>
      </c>
      <c r="AM71" s="443" t="s">
        <v>466</v>
      </c>
      <c r="AN71" s="443" t="s">
        <v>466</v>
      </c>
      <c r="AP71" s="554" t="s">
        <v>529</v>
      </c>
    </row>
    <row r="72" spans="1:42" s="443" customFormat="1" ht="12.75" customHeight="1">
      <c r="A72" s="468" t="s">
        <v>534</v>
      </c>
      <c r="B72" s="468" t="s">
        <v>535</v>
      </c>
      <c r="C72" s="469">
        <f t="shared" si="13"/>
        <v>57.378042381860567</v>
      </c>
      <c r="D72" s="469">
        <f t="shared" si="14"/>
        <v>99.280159779614337</v>
      </c>
      <c r="E72" s="469">
        <v>67.504000000000005</v>
      </c>
      <c r="F72" s="469">
        <f t="shared" si="15"/>
        <v>114.75072049162959</v>
      </c>
      <c r="G72" s="469" t="s">
        <v>466</v>
      </c>
      <c r="H72" s="479">
        <f t="shared" si="16"/>
        <v>20.303731858671298</v>
      </c>
      <c r="I72" s="479">
        <f t="shared" si="17"/>
        <v>125.88313752376204</v>
      </c>
      <c r="J72" s="479">
        <f t="shared" si="18"/>
        <v>7.0588675246969368</v>
      </c>
      <c r="K72" s="479">
        <f t="shared" si="19"/>
        <v>1164.9883870967744</v>
      </c>
      <c r="L72" s="499">
        <f t="shared" si="20"/>
        <v>7222.9280000000008</v>
      </c>
      <c r="M72" s="479">
        <f t="shared" si="21"/>
        <v>11.73435245957357</v>
      </c>
      <c r="N72" s="479">
        <f t="shared" si="22"/>
        <v>11.73435245957357</v>
      </c>
      <c r="O72" s="479">
        <f t="shared" si="23"/>
        <v>10.152340500395844</v>
      </c>
      <c r="P72" s="479">
        <f t="shared" si="24"/>
        <v>62.944511102454236</v>
      </c>
      <c r="Q72" s="479">
        <f t="shared" si="25"/>
        <v>1164.9883870967744</v>
      </c>
      <c r="R72" s="479">
        <f t="shared" si="26"/>
        <v>7222.9280000000017</v>
      </c>
      <c r="S72" s="487">
        <f t="shared" si="0"/>
        <v>3.5666666666666673</v>
      </c>
      <c r="T72" s="479">
        <f t="shared" si="27"/>
        <v>405.02400000000006</v>
      </c>
      <c r="U72" s="529">
        <v>39295</v>
      </c>
      <c r="V72" s="642">
        <f t="shared" si="28"/>
        <v>89.035714285714292</v>
      </c>
      <c r="W72" s="519">
        <v>40801</v>
      </c>
      <c r="X72" s="519">
        <v>43511</v>
      </c>
      <c r="Y72" s="469">
        <f t="shared" si="29"/>
        <v>2329.9767741935489</v>
      </c>
      <c r="Z72" s="469">
        <f t="shared" si="30"/>
        <v>810.04800000000012</v>
      </c>
      <c r="AA72" s="706">
        <f t="shared" si="33"/>
        <v>20926.240000000002</v>
      </c>
      <c r="AB72" s="556" t="s">
        <v>490</v>
      </c>
      <c r="AC72" s="443" t="s">
        <v>528</v>
      </c>
      <c r="AD72" s="443" t="s">
        <v>466</v>
      </c>
      <c r="AF72" s="443" t="e">
        <f t="shared" si="31"/>
        <v>#REF!</v>
      </c>
      <c r="AG72" s="443">
        <f t="shared" si="32"/>
        <v>2430.1440000000002</v>
      </c>
      <c r="AI72" s="443" t="s">
        <v>523</v>
      </c>
      <c r="AM72" s="443" t="s">
        <v>466</v>
      </c>
      <c r="AN72" s="443" t="s">
        <v>466</v>
      </c>
      <c r="AP72" s="554" t="s">
        <v>529</v>
      </c>
    </row>
    <row r="73" spans="1:42" s="443" customFormat="1" ht="12.75" customHeight="1">
      <c r="A73" s="468" t="s">
        <v>536</v>
      </c>
      <c r="B73" s="468" t="s">
        <v>537</v>
      </c>
      <c r="C73" s="469">
        <f t="shared" si="13"/>
        <v>57.378042381860567</v>
      </c>
      <c r="D73" s="469">
        <f t="shared" si="14"/>
        <v>99.280159779614337</v>
      </c>
      <c r="E73" s="469">
        <v>67.504000000000005</v>
      </c>
      <c r="F73" s="469">
        <f t="shared" si="15"/>
        <v>114.75072049162959</v>
      </c>
      <c r="G73" s="469" t="s">
        <v>466</v>
      </c>
      <c r="H73" s="479">
        <f t="shared" si="16"/>
        <v>20.303731858671298</v>
      </c>
      <c r="I73" s="479">
        <f t="shared" si="17"/>
        <v>125.88313752376204</v>
      </c>
      <c r="J73" s="479">
        <f t="shared" si="18"/>
        <v>7.0588675246969368</v>
      </c>
      <c r="K73" s="479">
        <f t="shared" si="19"/>
        <v>1164.9883870967744</v>
      </c>
      <c r="L73" s="499">
        <f t="shared" si="20"/>
        <v>7222.9280000000008</v>
      </c>
      <c r="M73" s="479">
        <f t="shared" si="21"/>
        <v>11.73435245957357</v>
      </c>
      <c r="N73" s="479">
        <f t="shared" si="22"/>
        <v>11.73435245957357</v>
      </c>
      <c r="O73" s="479">
        <f t="shared" si="23"/>
        <v>10.152340500395844</v>
      </c>
      <c r="P73" s="479">
        <f t="shared" si="24"/>
        <v>62.944511102454236</v>
      </c>
      <c r="Q73" s="479">
        <f t="shared" si="25"/>
        <v>1164.9883870967744</v>
      </c>
      <c r="R73" s="479">
        <f t="shared" si="26"/>
        <v>7222.9280000000017</v>
      </c>
      <c r="S73" s="487">
        <f t="shared" ref="S73:S81" si="34">R73/30/E73</f>
        <v>3.5666666666666673</v>
      </c>
      <c r="T73" s="479">
        <f t="shared" si="27"/>
        <v>405.02400000000006</v>
      </c>
      <c r="U73" s="529">
        <v>39295</v>
      </c>
      <c r="V73" s="642">
        <f t="shared" si="28"/>
        <v>89.035714285714292</v>
      </c>
      <c r="W73" s="519">
        <v>40801</v>
      </c>
      <c r="X73" s="519">
        <v>43511</v>
      </c>
      <c r="Y73" s="469">
        <f t="shared" si="29"/>
        <v>2329.9767741935489</v>
      </c>
      <c r="Z73" s="469">
        <f t="shared" si="30"/>
        <v>810.04800000000012</v>
      </c>
      <c r="AA73" s="706">
        <f t="shared" si="33"/>
        <v>20926.240000000002</v>
      </c>
      <c r="AB73" s="556" t="s">
        <v>490</v>
      </c>
      <c r="AC73" s="443" t="s">
        <v>528</v>
      </c>
      <c r="AD73" s="443" t="s">
        <v>466</v>
      </c>
      <c r="AF73" s="443" t="e">
        <f t="shared" si="31"/>
        <v>#REF!</v>
      </c>
      <c r="AG73" s="443">
        <f t="shared" si="32"/>
        <v>2430.1440000000002</v>
      </c>
      <c r="AI73" s="443" t="s">
        <v>523</v>
      </c>
      <c r="AM73" s="443" t="s">
        <v>466</v>
      </c>
      <c r="AN73" s="443" t="s">
        <v>466</v>
      </c>
      <c r="AP73" s="554" t="s">
        <v>529</v>
      </c>
    </row>
    <row r="74" spans="1:42" s="443" customFormat="1" ht="12.75" customHeight="1">
      <c r="A74" s="468" t="s">
        <v>538</v>
      </c>
      <c r="B74" s="468" t="s">
        <v>539</v>
      </c>
      <c r="C74" s="469">
        <f t="shared" si="13"/>
        <v>57.378042381860567</v>
      </c>
      <c r="D74" s="469">
        <f t="shared" si="14"/>
        <v>99.280159779614337</v>
      </c>
      <c r="E74" s="469">
        <v>67.504000000000005</v>
      </c>
      <c r="F74" s="469">
        <f t="shared" si="15"/>
        <v>114.75072049162959</v>
      </c>
      <c r="G74" s="469" t="s">
        <v>466</v>
      </c>
      <c r="H74" s="479">
        <f t="shared" si="16"/>
        <v>20.303731858671298</v>
      </c>
      <c r="I74" s="479">
        <f t="shared" si="17"/>
        <v>125.88313752376204</v>
      </c>
      <c r="J74" s="479">
        <f t="shared" si="18"/>
        <v>7.0588675246969368</v>
      </c>
      <c r="K74" s="479">
        <f t="shared" si="19"/>
        <v>1164.9883870967744</v>
      </c>
      <c r="L74" s="499">
        <f t="shared" si="20"/>
        <v>7222.9280000000008</v>
      </c>
      <c r="M74" s="479">
        <f t="shared" si="21"/>
        <v>11.73435245957357</v>
      </c>
      <c r="N74" s="479">
        <f t="shared" si="22"/>
        <v>11.73435245957357</v>
      </c>
      <c r="O74" s="479">
        <f t="shared" si="23"/>
        <v>10.152340500395844</v>
      </c>
      <c r="P74" s="479">
        <f t="shared" si="24"/>
        <v>62.944511102454236</v>
      </c>
      <c r="Q74" s="479">
        <f t="shared" si="25"/>
        <v>1164.9883870967744</v>
      </c>
      <c r="R74" s="479">
        <f t="shared" si="26"/>
        <v>7222.9280000000017</v>
      </c>
      <c r="S74" s="487">
        <f t="shared" si="34"/>
        <v>3.5666666666666673</v>
      </c>
      <c r="T74" s="479">
        <f t="shared" si="27"/>
        <v>405.02400000000006</v>
      </c>
      <c r="U74" s="529">
        <v>39295</v>
      </c>
      <c r="V74" s="642">
        <f t="shared" si="28"/>
        <v>89.035714285714292</v>
      </c>
      <c r="W74" s="519">
        <v>40801</v>
      </c>
      <c r="X74" s="519">
        <v>43511</v>
      </c>
      <c r="Y74" s="469">
        <f t="shared" si="29"/>
        <v>2329.9767741935489</v>
      </c>
      <c r="Z74" s="469">
        <f t="shared" si="30"/>
        <v>810.04800000000012</v>
      </c>
      <c r="AA74" s="706">
        <f t="shared" si="33"/>
        <v>20926.240000000002</v>
      </c>
      <c r="AB74" s="556" t="s">
        <v>490</v>
      </c>
      <c r="AC74" s="443" t="s">
        <v>528</v>
      </c>
      <c r="AD74" s="443" t="s">
        <v>466</v>
      </c>
      <c r="AF74" s="443" t="e">
        <f t="shared" si="31"/>
        <v>#REF!</v>
      </c>
      <c r="AG74" s="443">
        <f t="shared" si="32"/>
        <v>2430.1440000000002</v>
      </c>
      <c r="AI74" s="443" t="s">
        <v>523</v>
      </c>
      <c r="AM74" s="443" t="s">
        <v>466</v>
      </c>
      <c r="AN74" s="443" t="s">
        <v>466</v>
      </c>
      <c r="AP74" s="554" t="s">
        <v>529</v>
      </c>
    </row>
    <row r="75" spans="1:42" s="443" customFormat="1" ht="12.75" customHeight="1">
      <c r="A75" s="468" t="s">
        <v>540</v>
      </c>
      <c r="B75" s="468" t="s">
        <v>541</v>
      </c>
      <c r="C75" s="469">
        <f t="shared" si="13"/>
        <v>57.378042381860567</v>
      </c>
      <c r="D75" s="469">
        <f t="shared" si="14"/>
        <v>99.280159779614337</v>
      </c>
      <c r="E75" s="469">
        <v>67.504000000000005</v>
      </c>
      <c r="F75" s="469">
        <f t="shared" si="15"/>
        <v>114.75072049162959</v>
      </c>
      <c r="G75" s="469" t="s">
        <v>466</v>
      </c>
      <c r="H75" s="479">
        <f t="shared" si="16"/>
        <v>20.303731858671298</v>
      </c>
      <c r="I75" s="479">
        <f t="shared" si="17"/>
        <v>125.88313752376204</v>
      </c>
      <c r="J75" s="479">
        <f t="shared" si="18"/>
        <v>7.0588675246969368</v>
      </c>
      <c r="K75" s="479">
        <f t="shared" si="19"/>
        <v>1164.9883870967744</v>
      </c>
      <c r="L75" s="499">
        <f t="shared" si="20"/>
        <v>7222.9280000000008</v>
      </c>
      <c r="M75" s="479">
        <f t="shared" si="21"/>
        <v>11.73435245957357</v>
      </c>
      <c r="N75" s="479">
        <f t="shared" si="22"/>
        <v>11.73435245957357</v>
      </c>
      <c r="O75" s="479">
        <f t="shared" si="23"/>
        <v>10.152340500395844</v>
      </c>
      <c r="P75" s="479">
        <f t="shared" si="24"/>
        <v>62.944511102454236</v>
      </c>
      <c r="Q75" s="479">
        <f t="shared" si="25"/>
        <v>1164.9883870967744</v>
      </c>
      <c r="R75" s="479">
        <f t="shared" si="26"/>
        <v>7222.9280000000017</v>
      </c>
      <c r="S75" s="487">
        <f t="shared" si="34"/>
        <v>3.5666666666666673</v>
      </c>
      <c r="T75" s="479">
        <f t="shared" si="27"/>
        <v>405.02400000000006</v>
      </c>
      <c r="U75" s="529">
        <v>39295</v>
      </c>
      <c r="V75" s="642">
        <f t="shared" si="28"/>
        <v>89.035714285714292</v>
      </c>
      <c r="W75" s="519">
        <v>40801</v>
      </c>
      <c r="X75" s="519">
        <v>43511</v>
      </c>
      <c r="Y75" s="469">
        <f t="shared" si="29"/>
        <v>2329.9767741935489</v>
      </c>
      <c r="Z75" s="469">
        <f t="shared" si="30"/>
        <v>810.04800000000012</v>
      </c>
      <c r="AA75" s="706">
        <f t="shared" si="33"/>
        <v>20926.240000000002</v>
      </c>
      <c r="AB75" s="556" t="s">
        <v>490</v>
      </c>
      <c r="AC75" s="443" t="s">
        <v>528</v>
      </c>
      <c r="AD75" s="443" t="s">
        <v>466</v>
      </c>
      <c r="AF75" s="443" t="e">
        <f t="shared" si="31"/>
        <v>#REF!</v>
      </c>
      <c r="AG75" s="443">
        <f t="shared" si="32"/>
        <v>2430.1440000000002</v>
      </c>
      <c r="AI75" s="443" t="s">
        <v>523</v>
      </c>
      <c r="AM75" s="443" t="s">
        <v>466</v>
      </c>
      <c r="AN75" s="443" t="s">
        <v>466</v>
      </c>
      <c r="AP75" s="554" t="s">
        <v>529</v>
      </c>
    </row>
    <row r="76" spans="1:42" s="443" customFormat="1" ht="12.75" customHeight="1">
      <c r="A76" s="468" t="s">
        <v>542</v>
      </c>
      <c r="B76" s="468" t="s">
        <v>522</v>
      </c>
      <c r="C76" s="562">
        <f t="shared" si="13"/>
        <v>11.899925831744014</v>
      </c>
      <c r="D76" s="469">
        <f t="shared" si="14"/>
        <v>20.590220385674932</v>
      </c>
      <c r="E76" s="469">
        <v>14</v>
      </c>
      <c r="F76" s="469">
        <f t="shared" si="15"/>
        <v>23.79873913964823</v>
      </c>
      <c r="G76" s="469" t="s">
        <v>466</v>
      </c>
      <c r="H76" s="479">
        <f t="shared" si="16"/>
        <v>20.303731858671298</v>
      </c>
      <c r="I76" s="479">
        <f t="shared" si="17"/>
        <v>125.88313752376204</v>
      </c>
      <c r="J76" s="479">
        <f t="shared" si="18"/>
        <v>7.0588675246969368</v>
      </c>
      <c r="K76" s="479">
        <f t="shared" si="19"/>
        <v>241.61290322580649</v>
      </c>
      <c r="L76" s="499">
        <f t="shared" si="20"/>
        <v>1498.0000000000002</v>
      </c>
      <c r="M76" s="479">
        <f t="shared" si="21"/>
        <v>11.73435245957357</v>
      </c>
      <c r="N76" s="479">
        <f t="shared" si="22"/>
        <v>11.73435245957357</v>
      </c>
      <c r="O76" s="479">
        <f t="shared" si="23"/>
        <v>10.152340500395844</v>
      </c>
      <c r="P76" s="479">
        <f t="shared" si="24"/>
        <v>62.944511102454236</v>
      </c>
      <c r="Q76" s="479">
        <f t="shared" si="25"/>
        <v>241.61290322580649</v>
      </c>
      <c r="R76" s="479">
        <f t="shared" si="26"/>
        <v>1498.0000000000002</v>
      </c>
      <c r="S76" s="487">
        <f t="shared" si="34"/>
        <v>3.5666666666666673</v>
      </c>
      <c r="T76" s="479">
        <f t="shared" si="27"/>
        <v>84</v>
      </c>
      <c r="U76" s="529">
        <v>39295</v>
      </c>
      <c r="V76" s="642">
        <f t="shared" si="28"/>
        <v>89.035714285714292</v>
      </c>
      <c r="W76" s="519">
        <v>40801</v>
      </c>
      <c r="X76" s="519">
        <v>43511</v>
      </c>
      <c r="Y76" s="469">
        <f t="shared" si="29"/>
        <v>483.22580645161298</v>
      </c>
      <c r="Z76" s="469">
        <f t="shared" si="30"/>
        <v>168</v>
      </c>
      <c r="AA76" s="706">
        <f t="shared" si="33"/>
        <v>4340</v>
      </c>
      <c r="AB76" s="556" t="s">
        <v>490</v>
      </c>
      <c r="AC76" s="443" t="s">
        <v>528</v>
      </c>
      <c r="AD76" s="443" t="s">
        <v>466</v>
      </c>
      <c r="AF76" s="443" t="e">
        <f t="shared" si="31"/>
        <v>#REF!</v>
      </c>
      <c r="AG76" s="443">
        <f t="shared" si="32"/>
        <v>504</v>
      </c>
      <c r="AI76" s="443" t="s">
        <v>523</v>
      </c>
      <c r="AM76" s="443" t="s">
        <v>466</v>
      </c>
      <c r="AN76" s="443" t="s">
        <v>466</v>
      </c>
      <c r="AP76" s="554" t="s">
        <v>529</v>
      </c>
    </row>
    <row r="77" spans="1:42" s="443" customFormat="1" ht="12.75" customHeight="1">
      <c r="A77" s="480" t="s">
        <v>543</v>
      </c>
      <c r="B77" s="468">
        <v>301</v>
      </c>
      <c r="C77" s="469">
        <v>1375</v>
      </c>
      <c r="D77" s="469">
        <v>1536.66</v>
      </c>
      <c r="E77" s="469">
        <v>1776.11</v>
      </c>
      <c r="F77" s="469">
        <v>1776.11</v>
      </c>
      <c r="G77" s="469"/>
      <c r="H77" s="479">
        <f t="shared" si="16"/>
        <v>25.806451612903224</v>
      </c>
      <c r="I77" s="479">
        <v>160</v>
      </c>
      <c r="J77" s="479">
        <f>48/8</f>
        <v>6</v>
      </c>
      <c r="K77" s="479">
        <f t="shared" si="19"/>
        <v>35483.870967741932</v>
      </c>
      <c r="L77" s="499">
        <f t="shared" si="20"/>
        <v>220000</v>
      </c>
      <c r="M77" s="479">
        <f t="shared" si="21"/>
        <v>23.091556341508159</v>
      </c>
      <c r="N77" s="479">
        <f t="shared" si="22"/>
        <v>22.369945205836029</v>
      </c>
      <c r="O77" s="479">
        <f t="shared" si="23"/>
        <v>19.354094059489555</v>
      </c>
      <c r="P77" s="479">
        <f t="shared" si="24"/>
        <v>119.99538316883526</v>
      </c>
      <c r="Q77" s="479">
        <f>(K77*93)/96</f>
        <v>34374.999999999993</v>
      </c>
      <c r="R77" s="479">
        <f t="shared" si="26"/>
        <v>213124.99999999997</v>
      </c>
      <c r="S77" s="487">
        <f t="shared" si="34"/>
        <v>3.9998461056278418</v>
      </c>
      <c r="T77" s="479">
        <f t="shared" si="27"/>
        <v>8250</v>
      </c>
      <c r="U77" s="529">
        <v>37054</v>
      </c>
      <c r="V77" s="518" t="s">
        <v>520</v>
      </c>
      <c r="W77" s="519">
        <v>40801</v>
      </c>
      <c r="X77" s="519">
        <v>43722</v>
      </c>
      <c r="Y77" s="469">
        <f t="shared" si="29"/>
        <v>70967.741935483864</v>
      </c>
      <c r="Z77" s="469">
        <f t="shared" si="30"/>
        <v>16500</v>
      </c>
      <c r="AA77" s="443" t="s">
        <v>544</v>
      </c>
      <c r="AB77" s="556" t="s">
        <v>466</v>
      </c>
      <c r="AF77" s="443" t="e">
        <f>#REF!*2</f>
        <v>#REF!</v>
      </c>
      <c r="AG77" s="443">
        <f>Z77*2</f>
        <v>33000</v>
      </c>
      <c r="AI77" s="443" t="s">
        <v>498</v>
      </c>
      <c r="AJ77" s="443" t="s">
        <v>498</v>
      </c>
      <c r="AK77" s="443" t="s">
        <v>498</v>
      </c>
      <c r="AL77" s="443" t="s">
        <v>545</v>
      </c>
      <c r="AM77" s="443" t="s">
        <v>498</v>
      </c>
      <c r="AN77" s="443" t="s">
        <v>498</v>
      </c>
      <c r="AO77" s="443" t="s">
        <v>546</v>
      </c>
    </row>
    <row r="78" spans="1:42" s="447" customFormat="1" ht="12.75" customHeight="1">
      <c r="A78" s="563"/>
      <c r="B78" s="481"/>
      <c r="C78" s="482"/>
      <c r="D78" s="482"/>
      <c r="E78" s="482">
        <f>SUM(E67:E77)</f>
        <v>3805.2399999999993</v>
      </c>
      <c r="F78" s="482"/>
      <c r="G78" s="482"/>
      <c r="H78" s="487"/>
      <c r="I78" s="487"/>
      <c r="J78" s="487"/>
      <c r="K78" s="487"/>
      <c r="L78" s="503"/>
      <c r="M78" s="487"/>
      <c r="N78" s="487"/>
      <c r="O78" s="487"/>
      <c r="P78" s="487"/>
      <c r="Q78" s="487"/>
      <c r="R78" s="487">
        <f>SUM(R67:R77)</f>
        <v>430241.91000000003</v>
      </c>
      <c r="S78" s="487">
        <f t="shared" si="34"/>
        <v>3.7688547897110309</v>
      </c>
      <c r="T78" s="487"/>
      <c r="U78" s="540"/>
      <c r="V78" s="531"/>
      <c r="W78" s="532"/>
      <c r="X78" s="532"/>
      <c r="Y78" s="482"/>
      <c r="Z78" s="482"/>
    </row>
    <row r="79" spans="1:42" s="447" customFormat="1">
      <c r="A79" s="481" t="s">
        <v>547</v>
      </c>
      <c r="B79" s="481" t="s">
        <v>548</v>
      </c>
      <c r="C79" s="482">
        <f>1238.18+1391.14+1381.69</f>
        <v>4011.01</v>
      </c>
      <c r="D79" s="482">
        <v>4580.26</v>
      </c>
      <c r="E79" s="482">
        <f>1817.29+1563.95+1883.23</f>
        <v>5264.4699999999993</v>
      </c>
      <c r="F79" s="482">
        <f>1817.29+1593.46+1883.23</f>
        <v>5293.98</v>
      </c>
      <c r="G79" s="482"/>
      <c r="H79" s="487">
        <f>I79/6.2</f>
        <v>18.870967741935484</v>
      </c>
      <c r="I79" s="487">
        <v>117</v>
      </c>
      <c r="J79" s="487">
        <v>6</v>
      </c>
      <c r="K79" s="487">
        <f>C79*H79</f>
        <v>75691.640322580643</v>
      </c>
      <c r="L79" s="503">
        <f>C79*I79</f>
        <v>469288.17000000004</v>
      </c>
      <c r="M79" s="487">
        <f t="shared" ref="M79:M81" si="35">K79/D79</f>
        <v>16.525620886713995</v>
      </c>
      <c r="N79" s="487">
        <f t="shared" ref="N79:N81" si="36">Q79/D79</f>
        <v>16.25019387193543</v>
      </c>
      <c r="O79" s="487">
        <f>Q79/F79</f>
        <v>14.059386885456874</v>
      </c>
      <c r="P79" s="487">
        <f t="shared" ref="P79:P81" si="37">R79/F79</f>
        <v>87.168198689832622</v>
      </c>
      <c r="Q79" s="487">
        <f>(K79*118)/120</f>
        <v>74430.112983870975</v>
      </c>
      <c r="R79" s="487">
        <f>Q79*6.2</f>
        <v>461466.70050000004</v>
      </c>
      <c r="S79" s="487">
        <f t="shared" si="34"/>
        <v>2.9218940083237257</v>
      </c>
      <c r="T79" s="487">
        <f>C79*J79</f>
        <v>24066.06</v>
      </c>
      <c r="U79" s="540">
        <v>40360</v>
      </c>
      <c r="V79" s="531" t="s">
        <v>549</v>
      </c>
      <c r="W79" s="532">
        <v>40617</v>
      </c>
      <c r="X79" s="532">
        <v>44269</v>
      </c>
      <c r="Y79" s="482">
        <f>K79*2</f>
        <v>151383.28064516129</v>
      </c>
      <c r="Z79" s="482">
        <f>T79*2</f>
        <v>48132.12</v>
      </c>
      <c r="AA79" s="447">
        <v>1323633.3</v>
      </c>
      <c r="AB79" s="563" t="s">
        <v>550</v>
      </c>
      <c r="AC79" s="481" t="s">
        <v>535</v>
      </c>
      <c r="AF79" s="447">
        <f>44165.52*3/8</f>
        <v>16562.07</v>
      </c>
      <c r="AG79" s="447">
        <f>5608.32*3/8</f>
        <v>2103.12</v>
      </c>
      <c r="AI79" s="447" t="s">
        <v>551</v>
      </c>
      <c r="AJ79" s="447" t="s">
        <v>551</v>
      </c>
      <c r="AK79" s="447" t="s">
        <v>552</v>
      </c>
      <c r="AL79" s="447" t="s">
        <v>545</v>
      </c>
      <c r="AM79" s="447" t="s">
        <v>552</v>
      </c>
      <c r="AN79" s="447" t="s">
        <v>552</v>
      </c>
      <c r="AO79" s="447" t="s">
        <v>498</v>
      </c>
      <c r="AP79" s="447" t="s">
        <v>553</v>
      </c>
    </row>
    <row r="80" spans="1:42" s="447" customFormat="1" ht="18" customHeight="1">
      <c r="A80" s="481" t="s">
        <v>554</v>
      </c>
      <c r="B80" s="481" t="s">
        <v>555</v>
      </c>
      <c r="C80" s="482">
        <v>1154.25</v>
      </c>
      <c r="D80" s="482">
        <v>1154.25</v>
      </c>
      <c r="E80" s="482">
        <v>1334</v>
      </c>
      <c r="F80" s="482">
        <v>1334.11</v>
      </c>
      <c r="G80" s="482"/>
      <c r="H80" s="487">
        <f>I80/6.2</f>
        <v>11.184472531388208</v>
      </c>
      <c r="I80" s="487">
        <f>E80*2*30/C80</f>
        <v>69.343729694606893</v>
      </c>
      <c r="J80" s="487">
        <f>10/6.2</f>
        <v>1.6129032258064515</v>
      </c>
      <c r="K80" s="487">
        <f>H80*C80</f>
        <v>12909.677419354839</v>
      </c>
      <c r="L80" s="503">
        <f>I80*C80</f>
        <v>80040</v>
      </c>
      <c r="M80" s="487">
        <f t="shared" si="35"/>
        <v>11.184472531388208</v>
      </c>
      <c r="N80" s="487">
        <f t="shared" si="36"/>
        <v>10.252433153772524</v>
      </c>
      <c r="O80" s="487">
        <f>Q80/F80*33/36</f>
        <v>8.1310499537245366</v>
      </c>
      <c r="P80" s="487">
        <f t="shared" si="37"/>
        <v>54.995465141555052</v>
      </c>
      <c r="Q80" s="487">
        <f>K80*33/36</f>
        <v>11833.870967741936</v>
      </c>
      <c r="R80" s="487">
        <f>Q80*6.2</f>
        <v>73370</v>
      </c>
      <c r="S80" s="487">
        <f t="shared" si="34"/>
        <v>1.8333333333333333</v>
      </c>
      <c r="T80" s="487">
        <f>J80*E80</f>
        <v>2151.6129032258063</v>
      </c>
      <c r="U80" s="540">
        <v>40148</v>
      </c>
      <c r="V80" s="531" t="s">
        <v>556</v>
      </c>
      <c r="W80" s="532">
        <v>40360</v>
      </c>
      <c r="X80" s="532">
        <v>45838</v>
      </c>
      <c r="Y80" s="482">
        <f>1344*2*30*3/6.2</f>
        <v>39019.354838709674</v>
      </c>
      <c r="Z80" s="482">
        <f>T80*3</f>
        <v>6454.8387096774186</v>
      </c>
      <c r="AB80" s="447" t="s">
        <v>490</v>
      </c>
      <c r="AC80" s="447">
        <v>88783.360000000001</v>
      </c>
      <c r="AF80" s="447">
        <f>44165.52*3/8</f>
        <v>16562.07</v>
      </c>
      <c r="AG80" s="447">
        <f>5608.32*3/8</f>
        <v>2103.12</v>
      </c>
      <c r="AP80" s="447" t="s">
        <v>557</v>
      </c>
    </row>
    <row r="81" spans="1:44" s="441" customFormat="1" ht="14.25" customHeight="1">
      <c r="A81" s="564" t="s">
        <v>558</v>
      </c>
      <c r="B81" s="564"/>
      <c r="C81" s="565">
        <f t="shared" ref="C81:G81" si="38">SUM(C18:C61)</f>
        <v>1680.34</v>
      </c>
      <c r="D81" s="565">
        <f t="shared" si="38"/>
        <v>1684.26</v>
      </c>
      <c r="E81" s="565">
        <f t="shared" si="38"/>
        <v>3365.3875036408604</v>
      </c>
      <c r="F81" s="565">
        <f t="shared" si="38"/>
        <v>2207.87</v>
      </c>
      <c r="G81" s="565">
        <f t="shared" si="38"/>
        <v>0</v>
      </c>
      <c r="H81" s="566">
        <f>Q81/D81</f>
        <v>39.492751374509915</v>
      </c>
      <c r="I81" s="615">
        <f>L81/C81</f>
        <v>35.547535022673955</v>
      </c>
      <c r="J81" s="566">
        <f>T81/C81</f>
        <v>7.496506659366557</v>
      </c>
      <c r="K81" s="616">
        <f>SUM(K18:K61)-SUM(K63,K65:K66,K25:K26,K18,K19,K20,K21,K23,K33,K35,K12)</f>
        <v>9634.1846774193691</v>
      </c>
      <c r="L81" s="616">
        <f>SUM(L18:L61)-SUM(L63,L65:L66,L25:L26,L18,L19,L20,L21,L23,L33,L35,L12)</f>
        <v>59731.944999999949</v>
      </c>
      <c r="M81" s="617">
        <f t="shared" si="35"/>
        <v>5.7201291234247496</v>
      </c>
      <c r="N81" s="617">
        <f t="shared" si="36"/>
        <v>39.492751374509915</v>
      </c>
      <c r="O81" s="615">
        <f>Q81/F81</f>
        <v>30.126801591593743</v>
      </c>
      <c r="P81" s="615">
        <f t="shared" si="37"/>
        <v>324.87814697603415</v>
      </c>
      <c r="Q81" s="643">
        <f>SUM(Q18:Q61)-Q12</f>
        <v>66516.061430032074</v>
      </c>
      <c r="R81" s="643">
        <f>SUM(R18:R61)-R12</f>
        <v>717288.7143639765</v>
      </c>
      <c r="S81" s="487">
        <f t="shared" si="34"/>
        <v>7.1045678354322677</v>
      </c>
      <c r="T81" s="617">
        <f>SUM(T18:T61)</f>
        <v>12596.68</v>
      </c>
      <c r="U81" s="644"/>
      <c r="V81" s="645"/>
      <c r="W81" s="646"/>
      <c r="X81" s="646"/>
      <c r="Y81" s="565">
        <f>SUM(Y18:Y61)</f>
        <v>177706.69677419355</v>
      </c>
      <c r="Z81" s="565">
        <f>SUM(Z18:Z61)</f>
        <v>34368.720000000001</v>
      </c>
      <c r="AF81" s="443"/>
      <c r="AG81" s="443"/>
    </row>
    <row r="82" spans="1:44" s="441" customFormat="1" ht="14.25" customHeight="1">
      <c r="A82" s="567"/>
      <c r="B82" s="567"/>
      <c r="C82" s="568"/>
      <c r="D82" s="568"/>
      <c r="E82" s="568"/>
      <c r="F82" s="568" t="s">
        <v>466</v>
      </c>
      <c r="G82" s="568"/>
      <c r="H82" s="569"/>
      <c r="I82" s="569"/>
      <c r="J82" s="569"/>
      <c r="K82" s="569"/>
      <c r="L82" s="569" t="s">
        <v>466</v>
      </c>
      <c r="M82" s="569"/>
      <c r="N82" s="569"/>
      <c r="O82" s="569"/>
      <c r="P82" s="569"/>
      <c r="Q82" s="569"/>
      <c r="R82" s="569"/>
      <c r="S82" s="647"/>
      <c r="T82" s="569"/>
      <c r="U82" s="403"/>
      <c r="V82" s="403"/>
      <c r="W82" s="648"/>
      <c r="X82" s="648"/>
      <c r="Y82" s="568"/>
      <c r="Z82" s="568"/>
      <c r="AF82" s="443"/>
      <c r="AG82" s="443"/>
    </row>
    <row r="83" spans="1:44" s="448" customFormat="1" ht="17.25" customHeight="1">
      <c r="A83" s="570"/>
      <c r="B83" s="570" t="s">
        <v>559</v>
      </c>
      <c r="C83" s="571"/>
      <c r="D83" s="572" t="s">
        <v>560</v>
      </c>
      <c r="E83" s="573"/>
      <c r="F83" s="574" t="s">
        <v>466</v>
      </c>
      <c r="G83" s="575"/>
      <c r="H83" s="575"/>
      <c r="I83" s="575"/>
      <c r="J83" s="575"/>
      <c r="K83" s="618"/>
      <c r="L83" s="618"/>
      <c r="M83" s="573" t="s">
        <v>561</v>
      </c>
      <c r="N83" s="575"/>
      <c r="O83" s="569"/>
      <c r="P83" s="619"/>
      <c r="Q83" s="573" t="s">
        <v>466</v>
      </c>
      <c r="R83" s="649"/>
      <c r="S83" s="650"/>
      <c r="T83" s="573" t="s">
        <v>562</v>
      </c>
      <c r="U83" s="575"/>
      <c r="V83" s="575"/>
      <c r="W83" s="651"/>
    </row>
    <row r="84" spans="1:44" s="443" customFormat="1" collapsed="1">
      <c r="A84" s="576"/>
      <c r="B84" s="576"/>
      <c r="C84" s="577"/>
      <c r="D84" s="577"/>
      <c r="E84" s="577"/>
      <c r="F84" s="577" t="s">
        <v>466</v>
      </c>
      <c r="G84" s="577"/>
      <c r="H84" s="578"/>
      <c r="I84" s="578"/>
      <c r="J84" s="578"/>
      <c r="K84" s="578"/>
      <c r="L84" s="578"/>
      <c r="M84" s="578"/>
      <c r="N84" s="578"/>
      <c r="O84" s="578" t="s">
        <v>466</v>
      </c>
      <c r="P84" s="578" t="s">
        <v>466</v>
      </c>
      <c r="Q84" s="577" t="s">
        <v>466</v>
      </c>
      <c r="R84" s="580"/>
      <c r="S84" s="652"/>
      <c r="T84" s="578"/>
      <c r="U84" s="653"/>
      <c r="V84" s="654"/>
      <c r="W84" s="568"/>
      <c r="X84" s="653"/>
      <c r="Y84" s="577"/>
      <c r="Z84" s="577"/>
    </row>
    <row r="85" spans="1:44" s="443" customFormat="1" ht="10.35" hidden="1" customHeight="1" outlineLevel="1">
      <c r="A85" s="576"/>
      <c r="B85" s="576"/>
      <c r="C85" s="577"/>
      <c r="D85" s="577"/>
      <c r="E85" s="577"/>
      <c r="F85" s="577"/>
      <c r="G85" s="577"/>
      <c r="H85" s="578"/>
      <c r="I85" s="578"/>
      <c r="J85" s="578"/>
      <c r="K85" s="620"/>
      <c r="L85" s="620"/>
      <c r="M85" s="577"/>
      <c r="N85" s="577"/>
      <c r="O85" s="578"/>
      <c r="P85" s="578"/>
      <c r="Q85" s="577"/>
      <c r="R85" s="580"/>
      <c r="S85" s="652"/>
      <c r="T85" s="577"/>
      <c r="U85" s="653"/>
      <c r="V85" s="654"/>
      <c r="W85" s="653"/>
      <c r="X85" s="653"/>
      <c r="Y85" s="577"/>
      <c r="Z85" s="577"/>
    </row>
    <row r="86" spans="1:44" s="443" customFormat="1" ht="12.75" hidden="1" customHeight="1" outlineLevel="1">
      <c r="A86" s="576" t="s">
        <v>563</v>
      </c>
      <c r="B86" s="576"/>
      <c r="C86" s="577">
        <v>37800</v>
      </c>
      <c r="D86" s="577">
        <v>37800</v>
      </c>
      <c r="E86" s="577">
        <v>47118.59</v>
      </c>
      <c r="F86" s="577">
        <v>47118.59</v>
      </c>
      <c r="G86" s="577"/>
      <c r="H86" s="578">
        <f>K86/C86</f>
        <v>9</v>
      </c>
      <c r="I86" s="578">
        <f>M86/D86</f>
        <v>0</v>
      </c>
      <c r="J86" s="578">
        <f>10500/C86/8.28</f>
        <v>3.3548040794417609E-2</v>
      </c>
      <c r="K86" s="620">
        <f>37800*0.3*30</f>
        <v>340200</v>
      </c>
      <c r="L86" s="620">
        <f>37800*0.3*30</f>
        <v>340200</v>
      </c>
      <c r="M86" s="577"/>
      <c r="N86" s="577"/>
      <c r="O86" s="578">
        <f>Q86/D86</f>
        <v>10.611243386243386</v>
      </c>
      <c r="P86" s="578">
        <f>R86/E86</f>
        <v>0</v>
      </c>
      <c r="Q86" s="577">
        <v>401105</v>
      </c>
      <c r="R86" s="580"/>
      <c r="S86" s="652"/>
      <c r="T86" s="578">
        <f>C86*J86</f>
        <v>1268.1159420289857</v>
      </c>
      <c r="U86" s="653"/>
      <c r="V86" s="654" t="s">
        <v>564</v>
      </c>
      <c r="W86" s="653">
        <v>36996</v>
      </c>
      <c r="X86" s="653">
        <v>37893</v>
      </c>
      <c r="Y86" s="577">
        <v>0</v>
      </c>
      <c r="Z86" s="577">
        <v>0</v>
      </c>
      <c r="AF86" s="443">
        <v>0</v>
      </c>
      <c r="AG86" s="443">
        <v>0</v>
      </c>
    </row>
    <row r="87" spans="1:44" s="443" customFormat="1" ht="12.75" hidden="1" customHeight="1" outlineLevel="1">
      <c r="A87" s="576"/>
      <c r="B87" s="576"/>
      <c r="C87" s="577"/>
      <c r="D87" s="577"/>
      <c r="E87" s="577"/>
      <c r="F87" s="577"/>
      <c r="G87" s="577"/>
      <c r="H87" s="1084" t="s">
        <v>565</v>
      </c>
      <c r="I87" s="1084" t="s">
        <v>565</v>
      </c>
      <c r="J87" s="578"/>
      <c r="K87" s="620">
        <f t="shared" ref="K87:L90" si="39">K86*1.1</f>
        <v>374220.00000000006</v>
      </c>
      <c r="L87" s="620">
        <f t="shared" si="39"/>
        <v>374220.00000000006</v>
      </c>
      <c r="M87" s="577"/>
      <c r="N87" s="577"/>
      <c r="O87" s="1084" t="s">
        <v>565</v>
      </c>
      <c r="P87" s="1084" t="s">
        <v>565</v>
      </c>
      <c r="Q87" s="577" t="s">
        <v>466</v>
      </c>
      <c r="R87" s="580"/>
      <c r="S87" s="652"/>
      <c r="T87" s="578"/>
      <c r="U87" s="653"/>
      <c r="V87" s="654"/>
      <c r="W87" s="653">
        <v>37894</v>
      </c>
      <c r="X87" s="653">
        <v>38624</v>
      </c>
      <c r="Y87" s="577"/>
      <c r="Z87" s="577"/>
    </row>
    <row r="88" spans="1:44" s="443" customFormat="1" ht="12.75" hidden="1" customHeight="1" outlineLevel="1">
      <c r="A88" s="576"/>
      <c r="B88" s="576"/>
      <c r="C88" s="577"/>
      <c r="D88" s="577"/>
      <c r="E88" s="577"/>
      <c r="F88" s="577"/>
      <c r="G88" s="577"/>
      <c r="H88" s="1084"/>
      <c r="I88" s="1084"/>
      <c r="J88" s="578"/>
      <c r="K88" s="620">
        <f t="shared" si="39"/>
        <v>411642.00000000012</v>
      </c>
      <c r="L88" s="620">
        <f t="shared" si="39"/>
        <v>411642.00000000012</v>
      </c>
      <c r="M88" s="577"/>
      <c r="N88" s="577"/>
      <c r="O88" s="1084"/>
      <c r="P88" s="1084"/>
      <c r="Q88" s="577" t="s">
        <v>466</v>
      </c>
      <c r="R88" s="580"/>
      <c r="S88" s="652"/>
      <c r="T88" s="578"/>
      <c r="U88" s="653"/>
      <c r="V88" s="654"/>
      <c r="W88" s="653">
        <v>38625</v>
      </c>
      <c r="X88" s="653">
        <v>39354</v>
      </c>
      <c r="Y88" s="577"/>
      <c r="Z88" s="577"/>
    </row>
    <row r="89" spans="1:44" s="443" customFormat="1" ht="12.75" hidden="1" customHeight="1" outlineLevel="1">
      <c r="A89" s="576"/>
      <c r="B89" s="576"/>
      <c r="C89" s="579"/>
      <c r="D89" s="579"/>
      <c r="E89" s="577"/>
      <c r="F89" s="577"/>
      <c r="G89" s="577"/>
      <c r="H89" s="1084"/>
      <c r="I89" s="1084"/>
      <c r="J89" s="578"/>
      <c r="K89" s="620">
        <f t="shared" si="39"/>
        <v>452806.20000000019</v>
      </c>
      <c r="L89" s="620">
        <f t="shared" si="39"/>
        <v>452806.20000000019</v>
      </c>
      <c r="M89" s="577"/>
      <c r="N89" s="577"/>
      <c r="O89" s="1084"/>
      <c r="P89" s="1084"/>
      <c r="Q89" s="577" t="s">
        <v>466</v>
      </c>
      <c r="R89" s="580"/>
      <c r="S89" s="652"/>
      <c r="T89" s="578"/>
      <c r="U89" s="653"/>
      <c r="V89" s="654"/>
      <c r="W89" s="653">
        <v>39355</v>
      </c>
      <c r="X89" s="653">
        <v>40085</v>
      </c>
      <c r="Y89" s="577"/>
      <c r="Z89" s="577"/>
    </row>
    <row r="90" spans="1:44" s="443" customFormat="1" ht="12.75" hidden="1" customHeight="1" outlineLevel="1">
      <c r="A90" s="576"/>
      <c r="B90" s="576"/>
      <c r="C90" s="577"/>
      <c r="D90" s="577"/>
      <c r="E90" s="577" t="s">
        <v>466</v>
      </c>
      <c r="F90" s="577"/>
      <c r="G90" s="577"/>
      <c r="H90" s="578"/>
      <c r="I90" s="578"/>
      <c r="J90" s="578"/>
      <c r="K90" s="620">
        <f t="shared" si="39"/>
        <v>498086.82000000024</v>
      </c>
      <c r="L90" s="620">
        <f t="shared" si="39"/>
        <v>498086.82000000024</v>
      </c>
      <c r="M90" s="577"/>
      <c r="N90" s="577"/>
      <c r="O90" s="578"/>
      <c r="P90" s="578"/>
      <c r="Q90" s="577" t="s">
        <v>466</v>
      </c>
      <c r="R90" s="580"/>
      <c r="S90" s="652"/>
      <c r="T90" s="578"/>
      <c r="U90" s="653"/>
      <c r="V90" s="654"/>
      <c r="W90" s="653">
        <v>40086</v>
      </c>
      <c r="X90" s="653">
        <v>40085</v>
      </c>
      <c r="Y90" s="577"/>
      <c r="Z90" s="577"/>
    </row>
    <row r="91" spans="1:44" s="443" customFormat="1" collapsed="1">
      <c r="A91" s="490"/>
      <c r="B91" s="490"/>
      <c r="C91" s="580"/>
      <c r="D91" s="580"/>
      <c r="E91" s="580"/>
      <c r="F91" s="580"/>
      <c r="G91" s="580"/>
      <c r="H91" s="581"/>
      <c r="I91" s="581"/>
      <c r="J91" s="581"/>
      <c r="O91" s="581"/>
      <c r="P91" s="581"/>
      <c r="Q91" s="580"/>
      <c r="R91" s="580"/>
      <c r="S91" s="652"/>
      <c r="T91" s="581"/>
      <c r="U91" s="536"/>
      <c r="V91" s="655"/>
      <c r="W91" s="536"/>
      <c r="X91" s="536"/>
      <c r="Y91" s="580"/>
      <c r="Z91" s="580"/>
    </row>
    <row r="92" spans="1:44">
      <c r="C92" s="582" t="s">
        <v>466</v>
      </c>
      <c r="D92" s="582"/>
      <c r="H92" s="583" t="s">
        <v>466</v>
      </c>
      <c r="I92" s="583" t="s">
        <v>466</v>
      </c>
      <c r="J92" s="621"/>
      <c r="K92" s="621"/>
      <c r="L92" s="621"/>
      <c r="M92" s="622"/>
      <c r="N92" s="622"/>
      <c r="O92" s="583"/>
      <c r="P92" s="583"/>
      <c r="Q92" s="622"/>
      <c r="R92" s="656"/>
      <c r="S92" s="657"/>
      <c r="X92" s="658"/>
      <c r="Y92" s="658"/>
      <c r="Z92" s="658"/>
    </row>
    <row r="93" spans="1:44" hidden="1">
      <c r="A93" s="584" t="s">
        <v>566</v>
      </c>
      <c r="B93" s="584"/>
      <c r="C93" s="585" t="s">
        <v>466</v>
      </c>
      <c r="D93" s="585" t="s">
        <v>466</v>
      </c>
      <c r="E93" s="585"/>
      <c r="F93" s="585"/>
      <c r="G93" s="585">
        <f>SUM(F81:G81)</f>
        <v>2207.87</v>
      </c>
      <c r="H93" s="585">
        <v>75430.62</v>
      </c>
      <c r="I93" s="623">
        <f>H93-G93</f>
        <v>73222.75</v>
      </c>
      <c r="J93" s="456"/>
      <c r="K93" s="624" t="s">
        <v>466</v>
      </c>
      <c r="L93" s="624" t="s">
        <v>466</v>
      </c>
      <c r="M93" s="625" t="s">
        <v>466</v>
      </c>
      <c r="N93" s="626"/>
      <c r="O93" s="456"/>
      <c r="P93" s="456"/>
      <c r="Q93" s="659" t="s">
        <v>466</v>
      </c>
      <c r="R93" s="659"/>
      <c r="S93" s="660"/>
      <c r="T93" s="449"/>
      <c r="U93" s="449"/>
      <c r="V93" s="449"/>
      <c r="W93" s="449"/>
      <c r="X93" s="661"/>
      <c r="Y93" s="661"/>
      <c r="Z93" s="661"/>
      <c r="AC93" s="456" t="s">
        <v>466</v>
      </c>
      <c r="AQ93" s="456">
        <f>AP94*AQ94</f>
        <v>0</v>
      </c>
      <c r="AR93" s="456">
        <f>AQ93+AR94</f>
        <v>0</v>
      </c>
    </row>
    <row r="94" spans="1:44" s="449" customFormat="1" ht="12" hidden="1" customHeight="1">
      <c r="A94" s="490"/>
      <c r="B94" s="490"/>
      <c r="C94" s="580"/>
      <c r="D94" s="580"/>
      <c r="E94" s="586"/>
      <c r="F94" s="580"/>
      <c r="G94" s="586"/>
      <c r="H94" s="581"/>
      <c r="I94" s="581"/>
      <c r="K94" s="491"/>
      <c r="L94" s="627"/>
      <c r="M94" s="626"/>
      <c r="N94" s="626"/>
      <c r="O94" s="581"/>
      <c r="P94" s="581"/>
      <c r="Q94" s="626"/>
      <c r="R94" s="662"/>
      <c r="S94" s="663"/>
      <c r="T94" s="641"/>
      <c r="U94" s="526"/>
      <c r="V94" s="641"/>
      <c r="W94" s="536"/>
      <c r="X94" s="536"/>
      <c r="Y94" s="707"/>
      <c r="Z94" s="708"/>
    </row>
    <row r="95" spans="1:44" s="450" customFormat="1" ht="14.25" hidden="1" customHeight="1">
      <c r="A95" s="587"/>
      <c r="B95" s="587"/>
      <c r="C95" s="588"/>
      <c r="D95" s="589"/>
      <c r="E95" s="588"/>
      <c r="F95" s="588"/>
      <c r="G95" s="590"/>
      <c r="H95" s="591"/>
      <c r="I95" s="591"/>
      <c r="J95" s="599"/>
      <c r="K95" s="589"/>
      <c r="L95" s="589"/>
      <c r="M95" s="588"/>
      <c r="N95" s="589"/>
      <c r="O95" s="593"/>
      <c r="P95" s="593"/>
      <c r="Q95" s="588"/>
      <c r="R95" s="664"/>
      <c r="S95" s="547"/>
      <c r="T95" s="593"/>
      <c r="U95" s="665"/>
      <c r="V95" s="666"/>
      <c r="W95" s="667"/>
      <c r="X95" s="667"/>
      <c r="Y95" s="588"/>
      <c r="Z95" s="588"/>
    </row>
    <row r="96" spans="1:44" s="451" customFormat="1" hidden="1">
      <c r="A96" s="592"/>
      <c r="B96" s="587"/>
      <c r="C96" s="588"/>
      <c r="D96" s="588"/>
      <c r="E96" s="588"/>
      <c r="F96" s="589"/>
      <c r="G96" s="588"/>
      <c r="H96" s="593"/>
      <c r="I96" s="589"/>
      <c r="J96" s="593"/>
      <c r="K96" s="589"/>
      <c r="L96" s="588"/>
      <c r="M96" s="588"/>
      <c r="N96" s="589"/>
      <c r="O96" s="593"/>
      <c r="P96" s="593"/>
      <c r="Q96" s="588"/>
      <c r="R96" s="664"/>
      <c r="S96" s="547"/>
      <c r="T96" s="599"/>
      <c r="U96" s="668"/>
      <c r="V96" s="669"/>
      <c r="W96" s="667"/>
      <c r="X96" s="667"/>
      <c r="Y96" s="588"/>
      <c r="Z96" s="588"/>
      <c r="AD96" s="709"/>
    </row>
    <row r="97" spans="1:37" s="451" customFormat="1" hidden="1">
      <c r="A97" s="592"/>
      <c r="B97" s="587"/>
      <c r="C97" s="588"/>
      <c r="D97" s="588"/>
      <c r="E97" s="588"/>
      <c r="F97" s="588"/>
      <c r="G97" s="588"/>
      <c r="H97" s="593"/>
      <c r="I97" s="589"/>
      <c r="J97" s="593"/>
      <c r="K97" s="589"/>
      <c r="L97" s="588"/>
      <c r="M97" s="588"/>
      <c r="N97" s="589"/>
      <c r="O97" s="593"/>
      <c r="P97" s="593"/>
      <c r="Q97" s="588"/>
      <c r="R97" s="589"/>
      <c r="S97" s="493"/>
      <c r="T97" s="599"/>
      <c r="U97" s="668"/>
      <c r="V97" s="670"/>
      <c r="W97" s="667"/>
      <c r="X97" s="667"/>
      <c r="Y97" s="588"/>
    </row>
    <row r="98" spans="1:37" s="451" customFormat="1" hidden="1">
      <c r="A98" s="592"/>
      <c r="B98" s="587"/>
      <c r="C98" s="588"/>
      <c r="D98" s="588"/>
      <c r="E98" s="588"/>
      <c r="F98" s="588"/>
      <c r="G98" s="588"/>
      <c r="H98" s="593"/>
      <c r="I98" s="589"/>
      <c r="J98" s="593"/>
      <c r="K98" s="589"/>
      <c r="L98" s="588"/>
      <c r="M98" s="588"/>
      <c r="N98" s="589"/>
      <c r="O98" s="593"/>
      <c r="P98" s="593"/>
      <c r="Q98" s="588"/>
      <c r="R98" s="589"/>
      <c r="S98" s="493"/>
      <c r="T98" s="599"/>
      <c r="U98" s="668"/>
      <c r="V98" s="670"/>
      <c r="W98" s="667"/>
      <c r="X98" s="667"/>
      <c r="Y98" s="588"/>
    </row>
    <row r="99" spans="1:37" s="450" customFormat="1" ht="14.25" hidden="1" customHeight="1">
      <c r="A99" s="592"/>
      <c r="B99" s="587"/>
      <c r="C99" s="588"/>
      <c r="D99" s="589"/>
      <c r="E99" s="588"/>
      <c r="F99" s="589"/>
      <c r="G99" s="590"/>
      <c r="H99" s="591"/>
      <c r="I99" s="591"/>
      <c r="J99" s="593"/>
      <c r="K99" s="589"/>
      <c r="L99" s="589"/>
      <c r="M99" s="588"/>
      <c r="N99" s="589"/>
      <c r="O99" s="593"/>
      <c r="P99" s="593"/>
      <c r="Q99" s="588"/>
      <c r="R99" s="664"/>
      <c r="S99" s="547"/>
      <c r="T99" s="593"/>
      <c r="U99" s="665"/>
      <c r="V99" s="666"/>
      <c r="W99" s="667"/>
      <c r="X99" s="667"/>
      <c r="Y99" s="588"/>
      <c r="Z99" s="588"/>
      <c r="AC99" s="710"/>
      <c r="AK99" s="713"/>
    </row>
    <row r="100" spans="1:37" s="450" customFormat="1" hidden="1">
      <c r="A100" s="587"/>
      <c r="B100" s="587"/>
      <c r="C100" s="588"/>
      <c r="D100" s="588"/>
      <c r="E100" s="590"/>
      <c r="F100" s="594"/>
      <c r="G100" s="590"/>
      <c r="H100" s="595"/>
      <c r="I100" s="595"/>
      <c r="J100" s="628"/>
      <c r="K100" s="629"/>
      <c r="L100" s="629"/>
      <c r="M100" s="630"/>
      <c r="N100" s="630"/>
      <c r="O100" s="593"/>
      <c r="P100" s="593"/>
      <c r="Q100" s="671"/>
      <c r="R100" s="630"/>
      <c r="S100" s="672"/>
      <c r="T100" s="673"/>
      <c r="U100" s="674"/>
      <c r="V100" s="673"/>
      <c r="W100" s="675"/>
      <c r="X100" s="675"/>
      <c r="Y100" s="711"/>
      <c r="Z100" s="711"/>
    </row>
    <row r="101" spans="1:37" s="450" customFormat="1" ht="14.25" hidden="1" customHeight="1">
      <c r="A101" s="592"/>
      <c r="B101" s="587"/>
      <c r="C101" s="588"/>
      <c r="D101" s="589"/>
      <c r="E101" s="588"/>
      <c r="F101" s="589"/>
      <c r="G101" s="590"/>
      <c r="H101" s="591"/>
      <c r="I101" s="591"/>
      <c r="J101" s="593"/>
      <c r="K101" s="589"/>
      <c r="L101" s="589"/>
      <c r="M101" s="588"/>
      <c r="N101" s="589"/>
      <c r="O101" s="593"/>
      <c r="P101" s="593"/>
      <c r="Q101" s="588"/>
      <c r="R101" s="664"/>
      <c r="S101" s="547"/>
      <c r="T101" s="593"/>
      <c r="U101" s="665"/>
      <c r="V101" s="666"/>
      <c r="W101" s="667"/>
      <c r="X101" s="667"/>
      <c r="Y101" s="588"/>
      <c r="Z101" s="588"/>
      <c r="AK101" s="710"/>
    </row>
    <row r="102" spans="1:37" s="451" customFormat="1" hidden="1">
      <c r="A102" s="587"/>
      <c r="B102" s="587"/>
      <c r="C102" s="596"/>
      <c r="D102" s="588"/>
      <c r="E102" s="588"/>
      <c r="F102" s="597"/>
      <c r="G102" s="588"/>
      <c r="H102" s="595"/>
      <c r="I102" s="595"/>
      <c r="J102" s="631"/>
      <c r="K102" s="632"/>
      <c r="L102" s="632"/>
      <c r="M102" s="589"/>
      <c r="N102" s="589"/>
      <c r="O102" s="593"/>
      <c r="P102" s="593"/>
      <c r="Q102" s="676"/>
      <c r="R102" s="664"/>
      <c r="S102" s="547"/>
      <c r="T102" s="593"/>
      <c r="U102" s="667"/>
      <c r="V102" s="677"/>
      <c r="W102" s="675"/>
      <c r="X102" s="675"/>
      <c r="Y102" s="588"/>
      <c r="Z102" s="588"/>
    </row>
    <row r="103" spans="1:37" s="451" customFormat="1" ht="12.75" hidden="1" customHeight="1">
      <c r="A103" s="587"/>
      <c r="B103" s="587"/>
      <c r="C103" s="588"/>
      <c r="D103" s="588"/>
      <c r="E103" s="588"/>
      <c r="F103" s="589"/>
      <c r="G103" s="588"/>
      <c r="H103" s="588"/>
      <c r="I103" s="588"/>
      <c r="J103" s="588"/>
      <c r="K103" s="588"/>
      <c r="L103" s="588"/>
      <c r="M103" s="588"/>
      <c r="N103" s="588"/>
      <c r="O103" s="588"/>
      <c r="P103" s="588"/>
      <c r="Q103" s="588"/>
      <c r="R103" s="588"/>
      <c r="S103" s="482"/>
      <c r="T103" s="588"/>
      <c r="U103" s="450"/>
      <c r="V103" s="588"/>
      <c r="W103" s="667"/>
      <c r="X103" s="667"/>
      <c r="Y103" s="588"/>
      <c r="Z103" s="588"/>
    </row>
    <row r="104" spans="1:37" s="451" customFormat="1" ht="12.75" hidden="1" customHeight="1">
      <c r="A104" s="587"/>
      <c r="B104" s="587"/>
      <c r="C104" s="450"/>
      <c r="D104" s="588"/>
      <c r="E104" s="588"/>
      <c r="F104" s="450"/>
      <c r="G104" s="588"/>
      <c r="H104" s="588"/>
      <c r="I104" s="588"/>
      <c r="J104" s="589"/>
      <c r="K104" s="588"/>
      <c r="L104" s="588"/>
      <c r="M104" s="589"/>
      <c r="N104" s="589"/>
      <c r="O104" s="588"/>
      <c r="P104" s="588"/>
      <c r="Q104" s="588"/>
      <c r="R104" s="589"/>
      <c r="S104" s="493"/>
      <c r="T104" s="588"/>
      <c r="U104" s="450"/>
      <c r="V104" s="597"/>
      <c r="W104" s="667"/>
      <c r="X104" s="667"/>
      <c r="Y104" s="588"/>
      <c r="Z104" s="588"/>
    </row>
    <row r="105" spans="1:37" s="451" customFormat="1" ht="12.75" hidden="1" customHeight="1">
      <c r="A105" s="587"/>
      <c r="B105" s="587"/>
      <c r="C105" s="596"/>
      <c r="D105" s="588"/>
      <c r="E105" s="588"/>
      <c r="F105" s="597"/>
      <c r="G105" s="588"/>
      <c r="H105" s="588"/>
      <c r="I105" s="588"/>
      <c r="J105" s="589"/>
      <c r="K105" s="588"/>
      <c r="L105" s="588"/>
      <c r="M105" s="589"/>
      <c r="N105" s="589"/>
      <c r="O105" s="588"/>
      <c r="P105" s="588"/>
      <c r="Q105" s="588"/>
      <c r="R105" s="589"/>
      <c r="S105" s="493"/>
      <c r="T105" s="588"/>
      <c r="U105" s="678"/>
      <c r="V105" s="597"/>
      <c r="W105" s="667"/>
      <c r="X105" s="667"/>
      <c r="Y105" s="588"/>
      <c r="Z105" s="588"/>
    </row>
    <row r="106" spans="1:37" s="451" customFormat="1" hidden="1">
      <c r="A106" s="587"/>
      <c r="B106" s="587"/>
      <c r="C106" s="596"/>
      <c r="D106" s="588"/>
      <c r="E106" s="588"/>
      <c r="F106" s="597"/>
      <c r="G106" s="588"/>
      <c r="H106" s="595"/>
      <c r="I106" s="595"/>
      <c r="J106" s="631"/>
      <c r="K106" s="632"/>
      <c r="L106" s="632"/>
      <c r="M106" s="589"/>
      <c r="N106" s="589"/>
      <c r="O106" s="593"/>
      <c r="P106" s="593"/>
      <c r="Q106" s="679"/>
      <c r="R106" s="680"/>
      <c r="S106" s="681"/>
      <c r="T106" s="593"/>
      <c r="U106" s="667"/>
      <c r="V106" s="677"/>
      <c r="W106" s="675"/>
      <c r="X106" s="675"/>
      <c r="Y106" s="588"/>
      <c r="Z106" s="588"/>
    </row>
    <row r="107" spans="1:37" s="451" customFormat="1" ht="12.75" hidden="1" customHeight="1">
      <c r="A107" s="587"/>
      <c r="B107" s="587"/>
      <c r="C107" s="588"/>
      <c r="D107" s="588"/>
      <c r="E107" s="588"/>
      <c r="F107" s="588"/>
      <c r="G107" s="588"/>
      <c r="H107" s="595"/>
      <c r="I107" s="595"/>
      <c r="J107" s="631"/>
      <c r="K107" s="632"/>
      <c r="L107" s="632"/>
      <c r="M107" s="588"/>
      <c r="N107" s="588"/>
      <c r="O107" s="588"/>
      <c r="P107" s="588"/>
      <c r="Q107" s="588"/>
      <c r="R107" s="588"/>
      <c r="S107" s="482"/>
      <c r="T107" s="588"/>
      <c r="U107" s="678"/>
      <c r="V107" s="588"/>
      <c r="W107" s="675"/>
      <c r="X107" s="675"/>
      <c r="Y107" s="588"/>
      <c r="Z107" s="588"/>
    </row>
    <row r="108" spans="1:37" s="450" customFormat="1" hidden="1">
      <c r="A108" s="598"/>
      <c r="B108" s="598"/>
      <c r="S108" s="445"/>
    </row>
    <row r="109" spans="1:37" s="451" customFormat="1" hidden="1">
      <c r="A109" s="587"/>
      <c r="B109" s="587"/>
      <c r="C109" s="588"/>
      <c r="D109" s="588"/>
      <c r="E109" s="588"/>
      <c r="F109" s="588"/>
      <c r="G109" s="588"/>
      <c r="H109" s="599"/>
      <c r="I109" s="588"/>
      <c r="J109" s="633"/>
      <c r="K109" s="588"/>
      <c r="L109" s="588"/>
      <c r="M109" s="588"/>
      <c r="N109" s="589"/>
      <c r="O109" s="593"/>
      <c r="P109" s="593"/>
      <c r="Q109" s="588"/>
      <c r="R109" s="589"/>
      <c r="S109" s="493"/>
      <c r="T109" s="599"/>
      <c r="U109" s="668"/>
      <c r="V109" s="670"/>
      <c r="W109" s="667"/>
      <c r="X109" s="667"/>
      <c r="Y109" s="588"/>
      <c r="Z109" s="588"/>
    </row>
    <row r="110" spans="1:37" s="451" customFormat="1" hidden="1">
      <c r="A110" s="587"/>
      <c r="B110" s="587"/>
      <c r="C110" s="596"/>
      <c r="D110" s="588"/>
      <c r="E110" s="597"/>
      <c r="F110" s="596"/>
      <c r="G110" s="588"/>
      <c r="H110" s="595"/>
      <c r="I110" s="595"/>
      <c r="J110" s="631"/>
      <c r="K110" s="632"/>
      <c r="L110" s="632"/>
      <c r="M110" s="589"/>
      <c r="N110" s="589"/>
      <c r="O110" s="593"/>
      <c r="P110" s="593"/>
      <c r="Q110" s="676"/>
      <c r="R110" s="664"/>
      <c r="S110" s="547"/>
      <c r="T110" s="593"/>
      <c r="U110" s="667"/>
      <c r="V110" s="677"/>
      <c r="W110" s="675"/>
      <c r="X110" s="675"/>
      <c r="Y110" s="588"/>
      <c r="Z110" s="588"/>
    </row>
    <row r="111" spans="1:37" s="451" customFormat="1" ht="12.75" hidden="1" customHeight="1">
      <c r="A111" s="587"/>
      <c r="B111" s="587"/>
      <c r="C111" s="588"/>
      <c r="D111" s="588"/>
      <c r="E111" s="588"/>
      <c r="F111" s="588"/>
      <c r="G111" s="588"/>
      <c r="H111" s="588"/>
      <c r="I111" s="588"/>
      <c r="J111" s="588"/>
      <c r="K111" s="588"/>
      <c r="L111" s="588"/>
      <c r="M111" s="588"/>
      <c r="N111" s="588"/>
      <c r="O111" s="588"/>
      <c r="P111" s="588"/>
      <c r="Q111" s="588"/>
      <c r="R111" s="588"/>
      <c r="S111" s="482"/>
      <c r="T111" s="588"/>
      <c r="U111" s="678"/>
      <c r="V111" s="588"/>
      <c r="W111" s="667"/>
      <c r="X111" s="667"/>
      <c r="Y111" s="588"/>
      <c r="Z111" s="588"/>
    </row>
    <row r="112" spans="1:37" s="451" customFormat="1" hidden="1">
      <c r="A112" s="587"/>
      <c r="B112" s="587"/>
      <c r="C112" s="588"/>
      <c r="D112" s="588"/>
      <c r="E112" s="588"/>
      <c r="F112" s="588"/>
      <c r="G112" s="588"/>
      <c r="H112" s="599"/>
      <c r="I112" s="588"/>
      <c r="J112" s="633"/>
      <c r="K112" s="588"/>
      <c r="L112" s="588"/>
      <c r="M112" s="588"/>
      <c r="N112" s="589"/>
      <c r="O112" s="593"/>
      <c r="P112" s="593"/>
      <c r="Q112" s="588"/>
      <c r="R112" s="589"/>
      <c r="S112" s="493"/>
      <c r="T112" s="599"/>
      <c r="U112" s="668"/>
      <c r="V112" s="670"/>
      <c r="W112" s="667"/>
      <c r="X112" s="667"/>
      <c r="Y112" s="588"/>
      <c r="Z112" s="588"/>
    </row>
    <row r="113" spans="1:26" s="451" customFormat="1" ht="12.75" hidden="1" customHeight="1">
      <c r="A113" s="587"/>
      <c r="B113" s="587"/>
      <c r="C113" s="596"/>
      <c r="D113" s="588"/>
      <c r="E113" s="597"/>
      <c r="F113" s="596"/>
      <c r="G113" s="596"/>
      <c r="H113" s="593"/>
      <c r="I113" s="593"/>
      <c r="J113" s="599"/>
      <c r="K113" s="589"/>
      <c r="L113" s="589"/>
      <c r="M113" s="589"/>
      <c r="N113" s="589"/>
      <c r="O113" s="593"/>
      <c r="P113" s="593"/>
      <c r="Q113" s="676"/>
      <c r="R113" s="664"/>
      <c r="S113" s="547"/>
      <c r="T113" s="593"/>
      <c r="U113" s="667"/>
      <c r="V113" s="677"/>
      <c r="W113" s="667"/>
      <c r="X113" s="667"/>
      <c r="Y113" s="588"/>
      <c r="Z113" s="588"/>
    </row>
    <row r="114" spans="1:26" s="452" customFormat="1" hidden="1">
      <c r="A114" s="592"/>
      <c r="B114" s="592"/>
      <c r="C114" s="588"/>
      <c r="D114" s="588"/>
      <c r="E114" s="588"/>
      <c r="F114" s="588"/>
      <c r="G114" s="588"/>
      <c r="H114" s="593"/>
      <c r="I114" s="593"/>
      <c r="J114" s="593"/>
      <c r="K114" s="599"/>
      <c r="L114" s="599"/>
      <c r="M114" s="599"/>
      <c r="N114" s="599"/>
      <c r="O114" s="593"/>
      <c r="P114" s="593"/>
      <c r="Q114" s="599"/>
      <c r="R114" s="599"/>
      <c r="S114" s="549"/>
      <c r="T114" s="599"/>
      <c r="U114" s="682"/>
      <c r="V114" s="683"/>
      <c r="W114" s="667"/>
      <c r="X114" s="667"/>
      <c r="Y114" s="588"/>
      <c r="Z114" s="588"/>
    </row>
    <row r="115" spans="1:26" s="451" customFormat="1" ht="12.75" hidden="1" customHeight="1">
      <c r="A115" s="587"/>
      <c r="B115" s="587"/>
      <c r="C115" s="596"/>
      <c r="D115" s="588"/>
      <c r="E115" s="597"/>
      <c r="F115" s="596"/>
      <c r="G115" s="596"/>
      <c r="H115" s="593"/>
      <c r="I115" s="593"/>
      <c r="J115" s="599"/>
      <c r="K115" s="589"/>
      <c r="L115" s="589"/>
      <c r="M115" s="589"/>
      <c r="N115" s="589"/>
      <c r="O115" s="593"/>
      <c r="P115" s="593"/>
      <c r="Q115" s="676"/>
      <c r="R115" s="664"/>
      <c r="S115" s="547"/>
      <c r="T115" s="593"/>
      <c r="U115" s="667"/>
      <c r="V115" s="677"/>
      <c r="W115" s="667"/>
      <c r="X115" s="667"/>
      <c r="Y115" s="588"/>
      <c r="Z115" s="588"/>
    </row>
    <row r="116" spans="1:26" s="451" customFormat="1" ht="11.25" hidden="1" customHeight="1" outlineLevel="1">
      <c r="A116" s="600"/>
      <c r="B116" s="600"/>
      <c r="C116" s="588"/>
      <c r="D116" s="588"/>
      <c r="E116" s="588"/>
      <c r="F116" s="588"/>
      <c r="G116" s="588"/>
      <c r="H116" s="588"/>
      <c r="I116" s="588"/>
      <c r="J116" s="588"/>
      <c r="K116" s="588"/>
      <c r="L116" s="588"/>
      <c r="M116" s="588"/>
      <c r="N116" s="588"/>
      <c r="O116" s="588"/>
      <c r="P116" s="588"/>
      <c r="Q116" s="588"/>
      <c r="R116" s="588"/>
      <c r="S116" s="482"/>
      <c r="T116" s="588"/>
      <c r="U116" s="588"/>
      <c r="V116" s="588"/>
      <c r="W116" s="588"/>
      <c r="X116" s="588"/>
      <c r="Y116" s="588"/>
      <c r="Z116" s="588"/>
    </row>
    <row r="117" spans="1:26" s="451" customFormat="1" hidden="1" outlineLevel="1">
      <c r="A117" s="601"/>
      <c r="B117" s="601"/>
      <c r="C117" s="602"/>
      <c r="D117" s="603"/>
      <c r="E117" s="602"/>
      <c r="F117" s="604"/>
      <c r="G117" s="604"/>
      <c r="H117" s="605"/>
      <c r="I117" s="605"/>
      <c r="J117" s="634"/>
      <c r="K117" s="635"/>
      <c r="L117" s="635"/>
      <c r="M117" s="602"/>
      <c r="N117" s="602"/>
      <c r="O117" s="605"/>
      <c r="P117" s="605"/>
      <c r="Q117" s="684"/>
      <c r="R117" s="684"/>
      <c r="S117" s="685"/>
      <c r="T117" s="686"/>
      <c r="U117" s="687"/>
      <c r="V117" s="688"/>
      <c r="W117" s="687"/>
      <c r="X117" s="687"/>
      <c r="Y117" s="603"/>
      <c r="Z117" s="604"/>
    </row>
    <row r="118" spans="1:26" s="449" customFormat="1" hidden="1">
      <c r="A118" s="606" t="s">
        <v>567</v>
      </c>
      <c r="B118" s="606" t="s">
        <v>466</v>
      </c>
      <c r="C118" s="582">
        <f t="shared" ref="C118:F118" si="40">SUM(C95:C117)</f>
        <v>0</v>
      </c>
      <c r="D118" s="582">
        <f t="shared" si="40"/>
        <v>0</v>
      </c>
      <c r="E118" s="582">
        <f t="shared" si="40"/>
        <v>0</v>
      </c>
      <c r="F118" s="582">
        <f t="shared" si="40"/>
        <v>0</v>
      </c>
      <c r="G118" s="582">
        <f>SUM(G95:G103)</f>
        <v>0</v>
      </c>
      <c r="H118" s="607" t="e">
        <f>Q118/D118</f>
        <v>#DIV/0!</v>
      </c>
      <c r="I118" s="607" t="e">
        <f>R118/C118</f>
        <v>#DIV/0!</v>
      </c>
      <c r="J118" s="582" t="s">
        <v>466</v>
      </c>
      <c r="K118" s="582">
        <f>SUM(K95:K117)</f>
        <v>0</v>
      </c>
      <c r="L118" s="582">
        <f>SUM(L95:L117)</f>
        <v>0</v>
      </c>
      <c r="M118" s="582" t="e">
        <f>K118/D118</f>
        <v>#DIV/0!</v>
      </c>
      <c r="N118" s="582" t="e">
        <f>Q118/D118</f>
        <v>#DIV/0!</v>
      </c>
      <c r="O118" s="582" t="e">
        <f>Q118/F118</f>
        <v>#DIV/0!</v>
      </c>
      <c r="P118" s="582" t="e">
        <f>R118/F118</f>
        <v>#DIV/0!</v>
      </c>
      <c r="Q118" s="582">
        <f t="shared" ref="Q118:T118" si="41">SUM(Q95:Q117)</f>
        <v>0</v>
      </c>
      <c r="R118" s="582">
        <f t="shared" si="41"/>
        <v>0</v>
      </c>
      <c r="S118" s="689"/>
      <c r="T118" s="582">
        <f t="shared" si="41"/>
        <v>0</v>
      </c>
      <c r="U118" s="582"/>
      <c r="V118" s="582"/>
      <c r="W118" s="582" t="s">
        <v>466</v>
      </c>
      <c r="X118" s="582" t="s">
        <v>466</v>
      </c>
      <c r="Y118" s="582"/>
      <c r="Z118" s="582"/>
    </row>
    <row r="119" spans="1:26" hidden="1">
      <c r="C119" s="608"/>
      <c r="D119" s="608"/>
      <c r="E119" s="608"/>
      <c r="F119" s="608"/>
      <c r="G119" s="608"/>
      <c r="H119" s="609"/>
      <c r="I119" s="609"/>
      <c r="J119" s="609"/>
      <c r="K119" s="636"/>
      <c r="L119" s="636"/>
      <c r="M119" s="637"/>
      <c r="N119" s="637"/>
      <c r="O119" s="609"/>
      <c r="P119" s="609"/>
      <c r="Q119" s="690"/>
      <c r="R119" s="691"/>
      <c r="S119" s="692"/>
      <c r="T119" s="693"/>
      <c r="U119" s="694"/>
      <c r="V119" s="693"/>
      <c r="W119" s="653"/>
      <c r="X119" s="653"/>
      <c r="Y119" s="712"/>
      <c r="Z119" s="712"/>
    </row>
    <row r="120" spans="1:26" s="453" customFormat="1" ht="15.75" hidden="1" customHeight="1">
      <c r="A120" s="610" t="s">
        <v>568</v>
      </c>
      <c r="B120" s="610"/>
      <c r="C120" s="611"/>
      <c r="D120" s="611"/>
      <c r="E120" s="612"/>
      <c r="F120" s="612"/>
      <c r="G120" s="612"/>
      <c r="H120" s="613"/>
      <c r="I120" s="613"/>
      <c r="J120" s="638"/>
      <c r="K120" s="639"/>
      <c r="L120" s="639"/>
      <c r="M120" s="640"/>
      <c r="N120" s="640"/>
      <c r="O120" s="613"/>
      <c r="P120" s="613"/>
      <c r="Q120" s="695"/>
      <c r="R120" s="695"/>
      <c r="S120" s="696"/>
      <c r="T120" s="697"/>
      <c r="U120" s="698"/>
      <c r="V120" s="613"/>
      <c r="W120" s="699"/>
      <c r="X120" s="700"/>
      <c r="Y120" s="699"/>
      <c r="Z120" s="699"/>
    </row>
    <row r="121" spans="1:26" s="453" customFormat="1" ht="15" hidden="1" customHeight="1">
      <c r="A121" s="614"/>
      <c r="B121" s="614"/>
      <c r="C121" s="449"/>
      <c r="D121" s="449"/>
      <c r="E121" s="612"/>
      <c r="F121" s="612"/>
      <c r="G121" s="612"/>
      <c r="H121" s="613"/>
      <c r="I121" s="613"/>
      <c r="J121" s="638"/>
      <c r="K121" s="639"/>
      <c r="L121" s="639"/>
      <c r="M121" s="640"/>
      <c r="N121" s="640"/>
      <c r="O121" s="613"/>
      <c r="P121" s="613"/>
      <c r="Q121" s="695"/>
      <c r="R121" s="695"/>
      <c r="S121" s="696"/>
      <c r="T121" s="697"/>
      <c r="U121" s="698"/>
      <c r="V121" s="613"/>
      <c r="W121" s="699"/>
      <c r="X121" s="700"/>
      <c r="Y121" s="699"/>
      <c r="Z121" s="699"/>
    </row>
    <row r="122" spans="1:26" s="446" customFormat="1" hidden="1">
      <c r="A122" s="490"/>
      <c r="B122" s="490"/>
      <c r="C122" s="580"/>
      <c r="D122" s="580"/>
      <c r="E122" s="580"/>
      <c r="F122" s="580"/>
      <c r="G122" s="580"/>
      <c r="H122" s="581"/>
      <c r="I122" s="580"/>
      <c r="J122" s="581"/>
      <c r="K122" s="580"/>
      <c r="L122" s="580"/>
      <c r="M122" s="580"/>
      <c r="N122" s="580"/>
      <c r="O122" s="581"/>
      <c r="P122" s="581"/>
      <c r="Q122" s="580"/>
      <c r="R122" s="701"/>
      <c r="S122" s="702"/>
      <c r="T122" s="581"/>
      <c r="U122" s="536"/>
      <c r="V122" s="703"/>
      <c r="W122" s="536"/>
      <c r="X122" s="536"/>
      <c r="Y122" s="580"/>
      <c r="Z122" s="580"/>
    </row>
    <row r="123" spans="1:26" s="446" customFormat="1" hidden="1">
      <c r="A123" s="490"/>
      <c r="B123" s="490"/>
      <c r="C123" s="580"/>
      <c r="D123" s="580"/>
      <c r="E123" s="580"/>
      <c r="F123" s="580"/>
      <c r="G123" s="580"/>
      <c r="H123" s="581"/>
      <c r="I123" s="580"/>
      <c r="J123" s="581"/>
      <c r="K123" s="580"/>
      <c r="L123" s="580"/>
      <c r="M123" s="580"/>
      <c r="N123" s="580"/>
      <c r="O123" s="581"/>
      <c r="P123" s="581"/>
      <c r="Q123" s="580"/>
      <c r="R123" s="580"/>
      <c r="S123" s="652"/>
      <c r="T123" s="581"/>
      <c r="U123" s="536"/>
      <c r="V123" s="655"/>
      <c r="W123" s="536"/>
      <c r="X123" s="536"/>
      <c r="Y123" s="580"/>
      <c r="Z123" s="580"/>
    </row>
    <row r="124" spans="1:26" s="446" customFormat="1" hidden="1">
      <c r="A124" s="490"/>
      <c r="B124" s="490"/>
      <c r="C124" s="580"/>
      <c r="D124" s="580"/>
      <c r="E124" s="580"/>
      <c r="F124" s="580"/>
      <c r="G124" s="580"/>
      <c r="H124" s="581"/>
      <c r="I124" s="580"/>
      <c r="J124" s="581"/>
      <c r="K124" s="580"/>
      <c r="L124" s="580"/>
      <c r="M124" s="580"/>
      <c r="N124" s="580"/>
      <c r="O124" s="581"/>
      <c r="P124" s="581"/>
      <c r="Q124" s="580"/>
      <c r="R124" s="580"/>
      <c r="S124" s="652"/>
      <c r="T124" s="581"/>
      <c r="U124" s="536"/>
      <c r="V124" s="655"/>
      <c r="W124" s="536"/>
      <c r="X124" s="536"/>
      <c r="Y124" s="580"/>
      <c r="Z124" s="580"/>
    </row>
    <row r="125" spans="1:26" s="449" customFormat="1" hidden="1">
      <c r="A125" s="490"/>
      <c r="B125" s="490"/>
      <c r="C125" s="580"/>
      <c r="D125" s="580"/>
      <c r="E125" s="586"/>
      <c r="F125" s="586"/>
      <c r="G125" s="586"/>
      <c r="H125" s="581"/>
      <c r="I125" s="580"/>
      <c r="J125" s="641"/>
      <c r="K125" s="580"/>
      <c r="L125" s="580"/>
      <c r="M125" s="626"/>
      <c r="N125" s="626"/>
      <c r="O125" s="581"/>
      <c r="P125" s="581"/>
      <c r="Q125" s="626"/>
      <c r="R125" s="626"/>
      <c r="S125" s="704"/>
      <c r="T125" s="641"/>
      <c r="U125" s="526"/>
      <c r="V125" s="641"/>
      <c r="W125" s="536"/>
      <c r="X125" s="536"/>
      <c r="Y125" s="707"/>
      <c r="Z125" s="707"/>
    </row>
    <row r="126" spans="1:26" s="446" customFormat="1" hidden="1">
      <c r="A126" s="490"/>
      <c r="B126" s="490"/>
      <c r="C126" s="580"/>
      <c r="D126" s="580"/>
      <c r="E126" s="580"/>
      <c r="F126" s="580"/>
      <c r="G126" s="580"/>
      <c r="H126" s="581"/>
      <c r="I126" s="581"/>
      <c r="J126" s="581"/>
      <c r="K126" s="580"/>
      <c r="L126" s="580"/>
      <c r="M126" s="580"/>
      <c r="N126" s="580"/>
      <c r="O126" s="581"/>
      <c r="P126" s="581"/>
      <c r="Q126" s="580"/>
      <c r="R126" s="701" t="s">
        <v>466</v>
      </c>
      <c r="S126" s="702"/>
      <c r="T126" s="581"/>
      <c r="U126" s="536"/>
      <c r="V126" s="655"/>
      <c r="W126" s="536"/>
      <c r="X126" s="536"/>
      <c r="Y126" s="580"/>
      <c r="Z126" s="580"/>
    </row>
    <row r="127" spans="1:26" s="449" customFormat="1" hidden="1">
      <c r="A127" s="606"/>
      <c r="B127" s="606"/>
      <c r="C127" s="609"/>
      <c r="D127" s="609"/>
      <c r="E127" s="609"/>
      <c r="F127" s="609"/>
      <c r="G127" s="609"/>
      <c r="H127" s="609"/>
      <c r="I127" s="609"/>
      <c r="J127" s="609"/>
      <c r="K127" s="609"/>
      <c r="L127" s="609"/>
      <c r="M127" s="609"/>
      <c r="N127" s="609"/>
      <c r="O127" s="609"/>
      <c r="P127" s="609"/>
      <c r="Q127" s="609"/>
      <c r="S127" s="705"/>
      <c r="T127" s="609"/>
      <c r="U127" s="609"/>
      <c r="V127" s="609"/>
      <c r="W127" s="609"/>
      <c r="X127" s="609"/>
      <c r="Y127" s="609"/>
      <c r="Z127" s="609"/>
    </row>
    <row r="128" spans="1:26" s="449" customFormat="1" hidden="1">
      <c r="A128" s="606"/>
      <c r="B128" s="606"/>
      <c r="C128" s="609"/>
      <c r="D128" s="609"/>
      <c r="E128" s="609"/>
      <c r="F128" s="609"/>
      <c r="G128" s="609"/>
      <c r="H128" s="609"/>
      <c r="I128" s="609"/>
      <c r="J128" s="609"/>
      <c r="K128" s="609"/>
      <c r="L128" s="609"/>
      <c r="M128" s="609"/>
      <c r="N128" s="609"/>
      <c r="O128" s="609"/>
      <c r="P128" s="609"/>
      <c r="Q128" s="609"/>
      <c r="S128" s="705"/>
      <c r="T128" s="609"/>
      <c r="U128" s="609"/>
      <c r="V128" s="609"/>
      <c r="W128" s="609"/>
      <c r="X128" s="609"/>
      <c r="Y128" s="609"/>
      <c r="Z128" s="609"/>
    </row>
    <row r="129" spans="1:26" s="449" customFormat="1" hidden="1">
      <c r="A129" s="606"/>
      <c r="B129" s="606"/>
      <c r="C129" s="609"/>
      <c r="D129" s="609"/>
      <c r="E129" s="609"/>
      <c r="F129" s="609"/>
      <c r="G129" s="609"/>
      <c r="H129" s="609"/>
      <c r="I129" s="609"/>
      <c r="J129" s="609"/>
      <c r="K129" s="609"/>
      <c r="L129" s="609"/>
      <c r="M129" s="609"/>
      <c r="N129" s="609"/>
      <c r="O129" s="609"/>
      <c r="P129" s="609"/>
      <c r="Q129" s="609"/>
      <c r="S129" s="705"/>
      <c r="T129" s="609"/>
      <c r="U129" s="609"/>
      <c r="V129" s="609"/>
      <c r="W129" s="609"/>
      <c r="X129" s="609"/>
      <c r="Y129" s="609"/>
      <c r="Z129" s="609"/>
    </row>
    <row r="130" spans="1:26" s="449" customFormat="1" hidden="1">
      <c r="A130" s="606"/>
      <c r="B130" s="606"/>
      <c r="C130" s="609"/>
      <c r="D130" s="609"/>
      <c r="E130" s="609"/>
      <c r="F130" s="609"/>
      <c r="G130" s="609"/>
      <c r="H130" s="609"/>
      <c r="I130" s="609"/>
      <c r="J130" s="609"/>
      <c r="K130" s="609"/>
      <c r="L130" s="609"/>
      <c r="M130" s="609"/>
      <c r="N130" s="609"/>
      <c r="O130" s="609"/>
      <c r="P130" s="609"/>
      <c r="Q130" s="609"/>
      <c r="S130" s="705"/>
      <c r="T130" s="609"/>
      <c r="U130" s="609"/>
      <c r="V130" s="609"/>
      <c r="W130" s="609"/>
      <c r="X130" s="609"/>
      <c r="Y130" s="609"/>
      <c r="Z130" s="609"/>
    </row>
    <row r="131" spans="1:26" s="449" customFormat="1" hidden="1">
      <c r="A131" s="606"/>
      <c r="B131" s="606"/>
      <c r="C131" s="609"/>
      <c r="D131" s="609"/>
      <c r="E131" s="609"/>
      <c r="F131" s="609"/>
      <c r="G131" s="609"/>
      <c r="H131" s="609"/>
      <c r="I131" s="609"/>
      <c r="J131" s="609"/>
      <c r="K131" s="609"/>
      <c r="L131" s="609"/>
      <c r="M131" s="609"/>
      <c r="N131" s="609"/>
      <c r="O131" s="609"/>
      <c r="P131" s="609"/>
      <c r="Q131" s="609"/>
      <c r="S131" s="705"/>
      <c r="T131" s="609"/>
      <c r="U131" s="609"/>
      <c r="V131" s="609"/>
      <c r="W131" s="609"/>
      <c r="X131" s="609"/>
      <c r="Y131" s="609"/>
      <c r="Z131" s="609"/>
    </row>
    <row r="132" spans="1:26" s="449" customFormat="1" hidden="1">
      <c r="A132" s="606"/>
      <c r="B132" s="606"/>
      <c r="C132" s="609"/>
      <c r="D132" s="609"/>
      <c r="E132" s="609"/>
      <c r="F132" s="609"/>
      <c r="G132" s="609"/>
      <c r="H132" s="609"/>
      <c r="I132" s="609"/>
      <c r="J132" s="609"/>
      <c r="K132" s="609"/>
      <c r="L132" s="609"/>
      <c r="M132" s="609"/>
      <c r="N132" s="609"/>
      <c r="O132" s="609"/>
      <c r="P132" s="609"/>
      <c r="Q132" s="609"/>
      <c r="S132" s="705"/>
      <c r="T132" s="609"/>
      <c r="U132" s="609"/>
      <c r="V132" s="609"/>
      <c r="W132" s="609"/>
      <c r="X132" s="609"/>
      <c r="Y132" s="609"/>
      <c r="Z132" s="609"/>
    </row>
    <row r="133" spans="1:26" s="446" customFormat="1" hidden="1">
      <c r="A133" s="490"/>
      <c r="B133" s="490"/>
      <c r="C133" s="580"/>
      <c r="D133" s="580"/>
      <c r="E133" s="580"/>
      <c r="F133" s="580"/>
      <c r="G133" s="580"/>
      <c r="H133" s="581"/>
      <c r="I133" s="581"/>
      <c r="J133" s="581"/>
      <c r="K133" s="580"/>
      <c r="L133" s="580"/>
      <c r="M133" s="580"/>
      <c r="N133" s="580"/>
      <c r="O133" s="581"/>
      <c r="P133" s="581"/>
      <c r="Q133" s="580"/>
      <c r="R133" s="580"/>
      <c r="S133" s="652"/>
      <c r="T133" s="581"/>
      <c r="U133" s="536"/>
      <c r="V133" s="655"/>
      <c r="W133" s="536"/>
      <c r="X133" s="536"/>
      <c r="Y133" s="580"/>
      <c r="Z133" s="580"/>
    </row>
    <row r="134" spans="1:26" s="449" customFormat="1" ht="14.25" hidden="1" customHeight="1">
      <c r="A134" s="490"/>
      <c r="B134" s="490"/>
      <c r="C134" s="580"/>
      <c r="D134" s="580"/>
      <c r="E134" s="580"/>
      <c r="F134" s="580"/>
      <c r="G134" s="586"/>
      <c r="H134" s="714"/>
      <c r="I134" s="714"/>
      <c r="J134" s="581"/>
      <c r="K134" s="580"/>
      <c r="L134" s="580"/>
      <c r="M134" s="716"/>
      <c r="N134" s="716"/>
      <c r="O134" s="717"/>
      <c r="P134" s="717"/>
      <c r="Q134" s="716"/>
      <c r="R134" s="701"/>
      <c r="S134" s="702"/>
      <c r="T134" s="581"/>
      <c r="U134" s="526"/>
      <c r="V134" s="703"/>
      <c r="W134" s="536"/>
      <c r="X134" s="536"/>
      <c r="Y134" s="580"/>
      <c r="Z134" s="580"/>
    </row>
    <row r="135" spans="1:26" s="449" customFormat="1" hidden="1">
      <c r="A135" s="576"/>
      <c r="B135" s="576"/>
      <c r="C135" s="577"/>
      <c r="D135" s="577"/>
      <c r="E135" s="715"/>
      <c r="F135" s="715"/>
      <c r="G135" s="715"/>
      <c r="H135" s="607"/>
      <c r="I135" s="607"/>
      <c r="J135" s="609"/>
      <c r="K135" s="718"/>
      <c r="L135" s="718"/>
      <c r="M135" s="637"/>
      <c r="N135" s="637"/>
      <c r="O135" s="578"/>
      <c r="P135" s="578"/>
      <c r="Q135" s="637"/>
      <c r="R135" s="626"/>
      <c r="S135" s="704"/>
      <c r="T135" s="693"/>
      <c r="U135" s="694"/>
      <c r="V135" s="693"/>
      <c r="W135" s="719"/>
      <c r="X135" s="719"/>
      <c r="Y135" s="712"/>
      <c r="Z135" s="712"/>
    </row>
    <row r="136" spans="1:26" s="449" customFormat="1" hidden="1">
      <c r="A136" s="576"/>
      <c r="B136" s="576"/>
      <c r="C136" s="577"/>
      <c r="D136" s="577"/>
      <c r="E136" s="715"/>
      <c r="F136" s="715"/>
      <c r="G136" s="715"/>
      <c r="H136" s="578"/>
      <c r="I136" s="578"/>
      <c r="J136" s="609"/>
      <c r="K136" s="577"/>
      <c r="L136" s="577"/>
      <c r="M136" s="637"/>
      <c r="N136" s="637"/>
      <c r="O136" s="578"/>
      <c r="P136" s="578"/>
      <c r="Q136" s="637"/>
      <c r="R136" s="626"/>
      <c r="S136" s="704"/>
      <c r="T136" s="693"/>
      <c r="U136" s="694"/>
      <c r="V136" s="693"/>
      <c r="W136" s="653"/>
      <c r="X136" s="653"/>
      <c r="Y136" s="712"/>
      <c r="Z136" s="712"/>
    </row>
    <row r="137" spans="1:26" s="446" customFormat="1" ht="15" hidden="1" customHeight="1">
      <c r="A137" s="576"/>
      <c r="B137" s="576"/>
      <c r="C137" s="577"/>
      <c r="D137" s="577"/>
      <c r="E137" s="577"/>
      <c r="F137" s="577"/>
      <c r="G137" s="577"/>
      <c r="H137" s="578"/>
      <c r="I137" s="578"/>
      <c r="J137" s="578"/>
      <c r="K137" s="578"/>
      <c r="L137" s="578"/>
      <c r="M137" s="577"/>
      <c r="N137" s="577"/>
      <c r="O137" s="578"/>
      <c r="P137" s="578"/>
      <c r="Q137" s="578"/>
      <c r="R137" s="580"/>
      <c r="S137" s="652"/>
      <c r="T137" s="578"/>
      <c r="U137" s="720"/>
      <c r="V137" s="721"/>
      <c r="W137" s="536"/>
      <c r="X137" s="536"/>
      <c r="Y137" s="577"/>
      <c r="Z137" s="577"/>
    </row>
    <row r="138" spans="1:26" s="446" customFormat="1" ht="12.75" customHeight="1">
      <c r="A138" s="490"/>
      <c r="B138" s="490"/>
      <c r="C138" s="580"/>
      <c r="D138" s="580"/>
      <c r="E138" s="580"/>
      <c r="F138" s="580"/>
      <c r="G138" s="580"/>
      <c r="H138" s="581"/>
      <c r="I138" s="581"/>
      <c r="J138" s="581"/>
      <c r="K138" s="580"/>
      <c r="L138" s="580"/>
      <c r="M138" s="580"/>
      <c r="N138" s="580"/>
      <c r="O138" s="581"/>
      <c r="P138" s="581"/>
      <c r="Q138" s="701"/>
      <c r="R138" s="701"/>
      <c r="S138" s="702"/>
      <c r="T138" s="581"/>
      <c r="U138" s="536"/>
      <c r="V138" s="655"/>
      <c r="W138" s="536"/>
      <c r="X138" s="536"/>
      <c r="Y138" s="580"/>
      <c r="Z138" s="580"/>
    </row>
    <row r="139" spans="1:26" s="446" customFormat="1">
      <c r="A139" s="576"/>
      <c r="B139" s="576"/>
      <c r="C139" s="577"/>
      <c r="D139" s="577"/>
      <c r="E139" s="577"/>
      <c r="F139" s="577"/>
      <c r="G139" s="577"/>
      <c r="H139" s="578"/>
      <c r="I139" s="578"/>
      <c r="J139" s="578"/>
      <c r="K139" s="578"/>
      <c r="L139" s="578"/>
      <c r="M139" s="578"/>
      <c r="N139" s="578"/>
      <c r="O139" s="578"/>
      <c r="P139" s="578"/>
      <c r="Q139" s="578"/>
      <c r="R139" s="581"/>
      <c r="S139" s="722"/>
      <c r="T139" s="578"/>
      <c r="U139" s="720"/>
      <c r="V139" s="723"/>
      <c r="W139" s="536"/>
      <c r="X139" s="653"/>
      <c r="Y139" s="577"/>
      <c r="Z139" s="577"/>
    </row>
    <row r="140" spans="1:26" s="446" customFormat="1">
      <c r="A140" s="576"/>
      <c r="B140" s="576"/>
      <c r="C140" s="577"/>
      <c r="D140" s="577"/>
      <c r="E140" s="577"/>
      <c r="F140" s="577"/>
      <c r="G140" s="577"/>
      <c r="H140" s="578"/>
      <c r="I140" s="578"/>
      <c r="J140" s="578"/>
      <c r="K140" s="578"/>
      <c r="L140" s="578"/>
      <c r="M140" s="578"/>
      <c r="N140" s="578"/>
      <c r="O140" s="578"/>
      <c r="P140" s="578"/>
      <c r="Q140" s="578"/>
      <c r="R140" s="581"/>
      <c r="S140" s="722"/>
      <c r="T140" s="578"/>
      <c r="U140" s="720"/>
      <c r="V140" s="723"/>
      <c r="W140" s="653"/>
      <c r="X140" s="653"/>
      <c r="Y140" s="577"/>
      <c r="Z140" s="577"/>
    </row>
    <row r="141" spans="1:26" s="446" customFormat="1">
      <c r="A141" s="576"/>
      <c r="B141" s="576"/>
      <c r="C141" s="577"/>
      <c r="D141" s="577"/>
      <c r="E141" s="577"/>
      <c r="F141" s="577"/>
      <c r="G141" s="577"/>
      <c r="H141" s="578"/>
      <c r="I141" s="578"/>
      <c r="J141" s="578"/>
      <c r="K141" s="578"/>
      <c r="L141" s="578"/>
      <c r="M141" s="578"/>
      <c r="N141" s="578"/>
      <c r="O141" s="578"/>
      <c r="P141" s="578"/>
      <c r="Q141" s="578"/>
      <c r="R141" s="581"/>
      <c r="S141" s="722"/>
      <c r="T141" s="578"/>
      <c r="U141" s="720"/>
      <c r="V141" s="723"/>
      <c r="W141" s="653"/>
      <c r="X141" s="653"/>
      <c r="Y141" s="577"/>
      <c r="Z141" s="577"/>
    </row>
    <row r="142" spans="1:26" s="446" customFormat="1">
      <c r="A142" s="576"/>
      <c r="B142" s="576"/>
      <c r="C142" s="577"/>
      <c r="D142" s="577"/>
      <c r="E142" s="577"/>
      <c r="F142" s="577"/>
      <c r="G142" s="577"/>
      <c r="H142" s="578"/>
      <c r="I142" s="578"/>
      <c r="J142" s="578"/>
      <c r="K142" s="578"/>
      <c r="L142" s="578"/>
      <c r="M142" s="578"/>
      <c r="N142" s="578"/>
      <c r="O142" s="578"/>
      <c r="P142" s="578"/>
      <c r="Q142" s="578"/>
      <c r="R142" s="581"/>
      <c r="S142" s="722"/>
      <c r="T142" s="578"/>
      <c r="U142" s="720"/>
      <c r="V142" s="723"/>
      <c r="W142" s="653"/>
      <c r="X142" s="653"/>
      <c r="Y142" s="577"/>
      <c r="Z142" s="577"/>
    </row>
    <row r="143" spans="1:26" s="446" customFormat="1">
      <c r="A143" s="576"/>
      <c r="B143" s="576"/>
      <c r="C143" s="577"/>
      <c r="D143" s="577"/>
      <c r="E143" s="577"/>
      <c r="F143" s="577"/>
      <c r="G143" s="577"/>
      <c r="H143" s="578"/>
      <c r="I143" s="578"/>
      <c r="J143" s="578"/>
      <c r="K143" s="577"/>
      <c r="L143" s="577"/>
      <c r="M143" s="577"/>
      <c r="N143" s="577"/>
      <c r="O143" s="578"/>
      <c r="P143" s="578"/>
      <c r="Q143" s="577"/>
      <c r="R143" s="580"/>
      <c r="S143" s="652"/>
      <c r="T143" s="578"/>
      <c r="U143" s="653"/>
      <c r="V143" s="654"/>
      <c r="W143" s="653"/>
      <c r="X143" s="653"/>
      <c r="Y143" s="577"/>
      <c r="Z143" s="577"/>
    </row>
  </sheetData>
  <mergeCells count="19">
    <mergeCell ref="N4:N5"/>
    <mergeCell ref="O4:O5"/>
    <mergeCell ref="Y4:Z4"/>
    <mergeCell ref="H4:H5"/>
    <mergeCell ref="L4:L5"/>
    <mergeCell ref="M4:M5"/>
    <mergeCell ref="H87:H89"/>
    <mergeCell ref="I4:I5"/>
    <mergeCell ref="I87:I89"/>
    <mergeCell ref="J4:J5"/>
    <mergeCell ref="K4:K5"/>
    <mergeCell ref="O87:O89"/>
    <mergeCell ref="P4:P5"/>
    <mergeCell ref="P87:P89"/>
    <mergeCell ref="Q4:Q5"/>
    <mergeCell ref="W4:X4"/>
    <mergeCell ref="R4:R5"/>
    <mergeCell ref="T4:T5"/>
    <mergeCell ref="U4:U5"/>
  </mergeCells>
  <phoneticPr fontId="97" type="noConversion"/>
  <pageMargins left="0.69861111111111107" right="0.69861111111111107" top="0.75" bottom="0.75" header="0.3" footer="0.3"/>
  <headerFooter alignWithMargins="0"/>
  <legacyDrawing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22</vt:i4>
      </vt:variant>
      <vt:variant>
        <vt:lpstr>命名范围</vt:lpstr>
      </vt:variant>
      <vt:variant>
        <vt:i4>9</vt:i4>
      </vt:variant>
    </vt:vector>
  </HeadingPairs>
  <TitlesOfParts>
    <vt:vector size="31" baseType="lpstr">
      <vt:lpstr>权属依据</vt:lpstr>
      <vt:lpstr>系统读取表</vt:lpstr>
      <vt:lpstr>面积</vt:lpstr>
      <vt:lpstr>结果汇总</vt:lpstr>
      <vt:lpstr>住租约</vt:lpstr>
      <vt:lpstr>市（住）</vt:lpstr>
      <vt:lpstr>收（住租约）</vt:lpstr>
      <vt:lpstr>建筑（住）</vt:lpstr>
      <vt:lpstr>商租约</vt:lpstr>
      <vt:lpstr>收（商租约）</vt:lpstr>
      <vt:lpstr>建筑（商）</vt:lpstr>
      <vt:lpstr>办租约</vt:lpstr>
      <vt:lpstr>市（商业）</vt:lpstr>
      <vt:lpstr>收（办租约）</vt:lpstr>
      <vt:lpstr>建筑（办）</vt:lpstr>
      <vt:lpstr>收益法 (商)</vt:lpstr>
      <vt:lpstr>市（车）</vt:lpstr>
      <vt:lpstr>收（车）</vt:lpstr>
      <vt:lpstr>案例</vt:lpstr>
      <vt:lpstr>市（停车楼）</vt:lpstr>
      <vt:lpstr>收（停车楼）</vt:lpstr>
      <vt:lpstr>税费</vt:lpstr>
      <vt:lpstr>结果汇总!Print_Area</vt:lpstr>
      <vt:lpstr>'市（车）'!Print_Area</vt:lpstr>
      <vt:lpstr>'市（商业）'!Print_Area</vt:lpstr>
      <vt:lpstr>'收（办租约）'!Print_Area</vt:lpstr>
      <vt:lpstr>'收（车）'!Print_Area</vt:lpstr>
      <vt:lpstr>'收（商租约）'!Print_Area</vt:lpstr>
      <vt:lpstr>'收（住租约）'!Print_Area</vt:lpstr>
      <vt:lpstr>'收益法 (商)'!Print_Area</vt:lpstr>
      <vt:lpstr>税费!Print_Area</vt:lpstr>
    </vt:vector>
  </TitlesOfParts>
  <Manager/>
  <Company>Microsoft</Company>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KG</cp:lastModifiedBy>
  <cp:revision/>
  <cp:lastPrinted>2015-01-26T07:14:42Z</cp:lastPrinted>
  <dcterms:created xsi:type="dcterms:W3CDTF">2011-07-03T10:05:06Z</dcterms:created>
  <dcterms:modified xsi:type="dcterms:W3CDTF">2019-04-28T07:05:53Z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2052-9.1.0.4739</vt:lpwstr>
  </property>
</Properties>
</file>