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4785" tabRatio="875" firstSheet="9"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结果汇总" sheetId="73"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搬迁费" sheetId="72" r:id="rId42"/>
    <sheet name="停产停业损失补偿" sheetId="71" r:id="rId43"/>
    <sheet name="Sheet1" sheetId="68" r:id="rId44"/>
    <sheet name="土地案例" sheetId="69"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4"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 localSheetId="21">'[2]不动产比较法-办公'!$B$119:$M$119</definedName>
    <definedName name="办公层高" localSheetId="42">'[2]不动产比较法-办公'!$B$119:$M$119</definedName>
    <definedName name="办公层高">'不动产比较法-办公'!$B$119:$M$119</definedName>
    <definedName name="办公朝向" localSheetId="41">'[2]不动产比较法-办公'!$B$91:$M$91</definedName>
    <definedName name="办公朝向" localSheetId="21">'[2]不动产比较法-办公'!$B$91:$M$91</definedName>
    <definedName name="办公朝向" localSheetId="42">'[2]不动产比较法-办公'!$B$91:$M$91</definedName>
    <definedName name="办公朝向">'不动产比较法-办公'!$B$91:$M$91</definedName>
    <definedName name="办公道路级别" localSheetId="41">'[2]不动产比较法-办公'!$B$87:$M$87</definedName>
    <definedName name="办公道路级别" localSheetId="21">'[2]不动产比较法-办公'!$B$87:$M$87</definedName>
    <definedName name="办公道路级别" localSheetId="42">'[2]不动产比较法-办公'!$B$87:$M$87</definedName>
    <definedName name="办公道路级别">'不动产比较法-办公'!$B$87:$M$87</definedName>
    <definedName name="办公公共部分装修" localSheetId="41">'[2]不动产比较法-办公'!$B$108:$M$108</definedName>
    <definedName name="办公公共部分装修" localSheetId="21">'[2]不动产比较法-办公'!$B$108:$M$108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41">'[2]不动产比较法-办公'!$B$117:$M$117</definedName>
    <definedName name="办公基础设施水平" localSheetId="21">'[2]不动产比较法-办公'!$B$117:$M$117</definedName>
    <definedName name="办公基础设施水平" localSheetId="42">'[2]不动产比较法-办公'!$B$117:$M$117</definedName>
    <definedName name="办公基础设施水平">'不动产比较法-办公'!$B$117:$M$117</definedName>
    <definedName name="办公集聚程度" localSheetId="41">[2]定义!$M$1:$M$6</definedName>
    <definedName name="办公集聚程度" localSheetId="21">[2]定义!$M$1:$M$6</definedName>
    <definedName name="办公集聚程度" localSheetId="42">[2]定义!$M$1:$M$6</definedName>
    <definedName name="办公集聚程度">定义!$M$1:$M$6</definedName>
    <definedName name="办公建筑结构" localSheetId="41">'[2]不动产比较法-办公'!$B$106:$M$106</definedName>
    <definedName name="办公建筑结构" localSheetId="21">'[2]不动产比较法-办公'!$B$106:$M$106</definedName>
    <definedName name="办公建筑结构" localSheetId="42">'[2]不动产比较法-办公'!$B$106:$M$106</definedName>
    <definedName name="办公建筑结构">'不动产比较法-办公'!$B$106:$M$106</definedName>
    <definedName name="办公建筑类型" localSheetId="41">'[2]不动产比较法-办公'!$B$101:$M$101</definedName>
    <definedName name="办公建筑类型" localSheetId="21">'[2]不动产比较法-办公'!$B$101:$M$101</definedName>
    <definedName name="办公建筑类型" localSheetId="42">'[2]不动产比较法-办公'!$B$101:$M$101</definedName>
    <definedName name="办公建筑类型">'不动产比较法-办公'!$B$101:$M$101</definedName>
    <definedName name="办公交易情况" localSheetId="41">'[2]不动产比较法-办公'!$A$62:$M$62</definedName>
    <definedName name="办公交易情况" localSheetId="21">'[2]不动产比较法-办公'!$A$62:$M$62</definedName>
    <definedName name="办公交易情况" localSheetId="42">'[2]不动产比较法-办公'!$A$62:$M$62</definedName>
    <definedName name="办公交易情况">'不动产比较法-办公'!$A$62:$M$62</definedName>
    <definedName name="办公楼层" localSheetId="41">'[2]不动产比较法-办公'!$B$89:$M$89</definedName>
    <definedName name="办公楼层" localSheetId="21">'[2]不动产比较法-办公'!$B$89:$M$89</definedName>
    <definedName name="办公楼层" localSheetId="42">'[2]不动产比较法-办公'!$B$89:$M$89</definedName>
    <definedName name="办公楼层">'不动产比较法-办公'!$B$89:$M$89</definedName>
    <definedName name="办公内部装修" localSheetId="41">'[2]不动产比较法-办公'!$B$123:$M$123</definedName>
    <definedName name="办公内部装修" localSheetId="21">'[2]不动产比较法-办公'!$B$123:$M$123</definedName>
    <definedName name="办公内部装修" localSheetId="42">'[2]不动产比较法-办公'!$B$123:$M$123</definedName>
    <definedName name="办公内部装修">'不动产比较法-办公'!$B$123:$M$123</definedName>
    <definedName name="办公物业管理" localSheetId="41">'[2]不动产比较法-办公'!$B$115:$M$115</definedName>
    <definedName name="办公物业管理" localSheetId="21">'[2]不动产比较法-办公'!$B$115:$M$115</definedName>
    <definedName name="办公物业管理" localSheetId="42">'[2]不动产比较法-办公'!$B$115:$M$115</definedName>
    <definedName name="办公物业管理">'不动产比较法-办公'!$B$115:$M$115</definedName>
    <definedName name="办公用途" localSheetId="41">'[2]不动产比较法-办公'!$B$64:$M$64</definedName>
    <definedName name="办公用途" localSheetId="21">'[2]不动产比较法-办公'!$B$64:$M$64</definedName>
    <definedName name="办公用途" localSheetId="42">'[2]不动产比较法-办公'!$B$64:$M$64</definedName>
    <definedName name="办公用途">'不动产比较法-办公'!$B$64:$M$64</definedName>
    <definedName name="仓储公共部分装修" localSheetId="41">'[2]不动产比较法-仓储'!$B$77:$M$77</definedName>
    <definedName name="仓储公共部分装修" localSheetId="21">'[2]不动产比较法-仓储'!$B$77:$M$77</definedName>
    <definedName name="仓储公共部分装修" localSheetId="42">'[2]不动产比较法-仓储'!$B$77:$M$77</definedName>
    <definedName name="仓储公共部分装修">'不动产比较法-仓储'!$B$77:$M$77</definedName>
    <definedName name="仓储交易情况" localSheetId="41">'[2]不动产比较法-仓储'!$A$49:$M$49</definedName>
    <definedName name="仓储交易情况" localSheetId="21">'[2]不动产比较法-仓储'!$A$49:$M$49</definedName>
    <definedName name="仓储交易情况" localSheetId="42">'[2]不动产比较法-仓储'!$A$49:$M$49</definedName>
    <definedName name="仓储交易情况">'不动产比较法-仓储'!$A$49:$M$49</definedName>
    <definedName name="仓储楼层" localSheetId="41">'[2]不动产比较法-仓储'!$B$69:$M$69</definedName>
    <definedName name="仓储楼层" localSheetId="21">'[2]不动产比较法-仓储'!$B$69:$M$69</definedName>
    <definedName name="仓储楼层" localSheetId="42">'[2]不动产比较法-仓储'!$B$69:$M$69</definedName>
    <definedName name="仓储楼层">'不动产比较法-仓储'!$B$69:$M$69</definedName>
    <definedName name="仓储物业等级" localSheetId="41">'[2]不动产比较法-仓储'!$B$82:$M$82</definedName>
    <definedName name="仓储物业等级" localSheetId="21">'[2]不动产比较法-仓储'!$B$82:$M$82</definedName>
    <definedName name="仓储物业等级" localSheetId="42">'[2]不动产比较法-仓储'!$B$82:$M$82</definedName>
    <definedName name="仓储物业等级">'不动产比较法-仓储'!$B$82:$M$82</definedName>
    <definedName name="仓储用途" localSheetId="41">'[2]不动产比较法-仓储'!$B$51:$M$51</definedName>
    <definedName name="仓储用途" localSheetId="21">'[2]不动产比较法-仓储'!$B$51:$M$51</definedName>
    <definedName name="仓储用途" localSheetId="42">'[2]不动产比较法-仓储'!$B$51:$M$51</definedName>
    <definedName name="仓储用途">'不动产比较法-仓储'!$B$51:$M$51</definedName>
    <definedName name="产业集聚程度" localSheetId="41">[2]定义!$N$1:$N$6</definedName>
    <definedName name="产业集聚程度" localSheetId="21">[2]定义!$N$1:$N$6</definedName>
    <definedName name="产业集聚程度" localSheetId="42">[2]定义!$N$1:$N$6</definedName>
    <definedName name="产业集聚程度">定义!$N$1:$N$6</definedName>
    <definedName name="车位公共部分装修" localSheetId="41">'[2]不动产比较法-车位'!$B$83:$M$83</definedName>
    <definedName name="车位公共部分装修" localSheetId="21">'[2]不动产比较法-车位'!$B$83:$M$83</definedName>
    <definedName name="车位公共部分装修" localSheetId="42">'[2]不动产比较法-车位'!$B$83:$M$83</definedName>
    <definedName name="车位公共部分装修">'不动产比较法-车位'!$B$83:$M$83</definedName>
    <definedName name="车位交易情况" localSheetId="41">'[2]不动产比较法-车位'!$A$51:$M$51</definedName>
    <definedName name="车位交易情况" localSheetId="21">'[2]不动产比较法-车位'!$A$51:$M$51</definedName>
    <definedName name="车位交易情况" localSheetId="42">'[2]不动产比较法-车位'!$A$51:$M$51</definedName>
    <definedName name="车位交易情况">'不动产比较法-车位'!$A$51:$M$51</definedName>
    <definedName name="车位类型" localSheetId="41">'[2]不动产比较法-车位'!$B$93:$M$93</definedName>
    <definedName name="车位类型" localSheetId="21">'[2]不动产比较法-车位'!$B$93:$M$93</definedName>
    <definedName name="车位类型" localSheetId="42">'[2]不动产比较法-车位'!$B$93:$M$93</definedName>
    <definedName name="车位类型">'不动产比较法-车位'!$B$93:$M$93</definedName>
    <definedName name="车位楼层" localSheetId="41">'[2]不动产比较法-车位'!$B$71:$M$71</definedName>
    <definedName name="车位楼层" localSheetId="21">'[2]不动产比较法-车位'!$B$71:$M$71</definedName>
    <definedName name="车位楼层" localSheetId="42">'[2]不动产比较法-车位'!$B$71:$M$71</definedName>
    <definedName name="车位楼层">'不动产比较法-车位'!$B$71:$M$71</definedName>
    <definedName name="车位配套类型" localSheetId="41">'[2]不动产比较法-车位'!$B$79:$M$79</definedName>
    <definedName name="车位配套类型" localSheetId="21">'[2]不动产比较法-车位'!$B$79:$M$79</definedName>
    <definedName name="车位配套类型" localSheetId="42">'[2]不动产比较法-车位'!$B$79:$M$79</definedName>
    <definedName name="车位配套类型">'不动产比较法-车位'!$B$79:$M$79</definedName>
    <definedName name="车位物业等级" localSheetId="41">'[2]不动产比较法-车位'!$B$88:$M$88</definedName>
    <definedName name="车位物业等级" localSheetId="21">'[2]不动产比较法-车位'!$B$88:$M$88</definedName>
    <definedName name="车位物业等级" localSheetId="42">'[2]不动产比较法-车位'!$B$88:$M$88</definedName>
    <definedName name="车位物业等级">'不动产比较法-车位'!$B$88:$M$88</definedName>
    <definedName name="车位用途" localSheetId="41">'[2]不动产比较法-车位'!$B$53:$M$53</definedName>
    <definedName name="车位用途" localSheetId="21">'[2]不动产比较法-车位'!$B$53:$M$53</definedName>
    <definedName name="车位用途" localSheetId="42">'[2]不动产比较法-车位'!$B$53:$M$53</definedName>
    <definedName name="车位用途">'不动产比较法-车位'!$B$53:$M$53</definedName>
    <definedName name="城镇土地纳税等级分级范围" localSheetId="41">'[2]数据-取费表'!$A$53:$A$63</definedName>
    <definedName name="城镇土地纳税等级分级范围" localSheetId="21">'[2]数据-取费表'!$A$53:$A$63</definedName>
    <definedName name="城镇土地纳税等级分级范围" localSheetId="42">'[2]数据-取费表'!$A$53:$A$63</definedName>
    <definedName name="城镇土地纳税等级分级范围">'数据-取费表'!$A$53:$A$63</definedName>
    <definedName name="单价内涵" localSheetId="41">[2]定义!$V$1:$V$3</definedName>
    <definedName name="单价内涵" localSheetId="21">[2]定义!$V$1:$V$3</definedName>
    <definedName name="单价内涵" localSheetId="42">[2]定义!$V$1:$V$3</definedName>
    <definedName name="单价内涵">定义!$V$1:$V$3</definedName>
    <definedName name="地类判定" localSheetId="41">[2]定义!$H$1:$H$9</definedName>
    <definedName name="地类判定" localSheetId="21">[2]定义!$H$1:$H$9</definedName>
    <definedName name="地类判定" localSheetId="42">[2]定义!$H$1:$H$9</definedName>
    <definedName name="地类判定">定义!$H$1:$H$9</definedName>
    <definedName name="二级">区片价!$J$1:$J$20</definedName>
    <definedName name="二级分类" localSheetId="41">[2]修正!$C$17:$C$39</definedName>
    <definedName name="二级分类" localSheetId="21">[2]修正!$C$17:$C$39</definedName>
    <definedName name="二级分类" localSheetId="42">[2]修正!$C$17:$C$39</definedName>
    <definedName name="二级分类">修正!$C$17:$C$39</definedName>
    <definedName name="法定最高年限" localSheetId="41">[2]定义!$G$2:$G$4</definedName>
    <definedName name="法定最高年限" localSheetId="21">[2]定义!$G$2:$G$4</definedName>
    <definedName name="法定最高年限" localSheetId="42">[2]定义!$G$2:$G$4</definedName>
    <definedName name="法定最高年限">定义!$G$2:$G$4</definedName>
    <definedName name="工业公共部分装修" localSheetId="41">'[2]不动产比较法-工业'!$B$95:$M$95</definedName>
    <definedName name="工业公共部分装修" localSheetId="21">'[2]不动产比较法-工业'!$B$95:$M$95</definedName>
    <definedName name="工业公共部分装修" localSheetId="42">'[2]不动产比较法-工业'!$B$95:$M$95</definedName>
    <definedName name="工业公共部分装修">'不动产比较法-工业'!$B$95:$M$95</definedName>
    <definedName name="工业基础设施水平" localSheetId="41">'[2]不动产比较法-工业'!$B$102:$M$102</definedName>
    <definedName name="工业基础设施水平" localSheetId="21">'[2]不动产比较法-工业'!$B$102:$M$102</definedName>
    <definedName name="工业基础设施水平" localSheetId="42">'[2]不动产比较法-工业'!$B$102:$M$102</definedName>
    <definedName name="工业基础设施水平">'不动产比较法-工业'!$B$102:$M$102</definedName>
    <definedName name="工业建筑结构" localSheetId="41">'[2]不动产比较法-工业'!$B$93:$M$93</definedName>
    <definedName name="工业建筑结构" localSheetId="21">'[2]不动产比较法-工业'!$B$93:$M$93</definedName>
    <definedName name="工业建筑结构" localSheetId="42">'[2]不动产比较法-工业'!$B$93:$M$93</definedName>
    <definedName name="工业建筑结构">'不动产比较法-工业'!$B$93:$M$93</definedName>
    <definedName name="工业建筑类型" localSheetId="41">'[2]不动产比较法-工业'!$B$88:$M$88</definedName>
    <definedName name="工业建筑类型" localSheetId="21">'[2]不动产比较法-工业'!$B$88:$M$88</definedName>
    <definedName name="工业建筑类型" localSheetId="42">'[2]不动产比较法-工业'!$B$88:$M$88</definedName>
    <definedName name="工业建筑类型">'不动产比较法-工业'!$B$88:$M$88</definedName>
    <definedName name="工业交易情况" localSheetId="41">'[2]不动产比较法-工业'!$A$55:$M$55</definedName>
    <definedName name="工业交易情况" localSheetId="21">'[2]不动产比较法-工业'!$A$55:$M$55</definedName>
    <definedName name="工业交易情况" localSheetId="42">'[2]不动产比较法-工业'!$A$55:$M$55</definedName>
    <definedName name="工业交易情况">'不动产比较法-工业'!$A$55:$M$55</definedName>
    <definedName name="工业内部装修" localSheetId="41">'[2]不动产比较法-工业'!$B$104:$M$104</definedName>
    <definedName name="工业内部装修" localSheetId="21">'[2]不动产比较法-工业'!$B$104:$M$104</definedName>
    <definedName name="工业内部装修" localSheetId="42">'[2]不动产比较法-工业'!$B$104:$M$104</definedName>
    <definedName name="工业内部装修">'不动产比较法-工业'!$B$104:$M$104</definedName>
    <definedName name="工业物业管理" localSheetId="41">'[2]不动产比较法-工业'!$B$100:$M$100</definedName>
    <definedName name="工业物业管理" localSheetId="21">'[2]不动产比较法-工业'!$B$100:$M$100</definedName>
    <definedName name="工业物业管理" localSheetId="42">'[2]不动产比较法-工业'!$B$100:$M$100</definedName>
    <definedName name="工业物业管理">'不动产比较法-工业'!$B$100:$M$100</definedName>
    <definedName name="工业用途" localSheetId="41">'[2]不动产比较法-工业'!$B$57:$M$57</definedName>
    <definedName name="工业用途" localSheetId="21">'[2]不动产比较法-工业'!$B$57:$M$57</definedName>
    <definedName name="工业用途" localSheetId="42">'[2]不动产比较法-工业'!$B$57:$M$57</definedName>
    <definedName name="工业用途">'不动产比较法-工业'!$B$57:$M$57</definedName>
    <definedName name="公共配套设施" localSheetId="41">[2]定义!$Q$1:$Q$6</definedName>
    <definedName name="公共配套设施" localSheetId="21">[2]定义!$Q$1:$Q$6</definedName>
    <definedName name="公共配套设施" localSheetId="42">[2]定义!$Q$1:$Q$6</definedName>
    <definedName name="公共配套设施">定义!$Q$1:$Q$6</definedName>
    <definedName name="公用设施及基础设施水平">[1]定义!$Q$1:$Q$6</definedName>
    <definedName name="估价方法" localSheetId="41">[2]定义!$B$1:$B$50</definedName>
    <definedName name="估价方法" localSheetId="21">[2]定义!$B$1:$B$50</definedName>
    <definedName name="估价方法" localSheetId="42">[2]定义!$B$1:$B$50</definedName>
    <definedName name="估价方法">定义!$B$1:$B$50</definedName>
    <definedName name="环境" localSheetId="41">[2]定义!$S$1:$S$6</definedName>
    <definedName name="环境" localSheetId="21">[2]定义!$S$1:$S$6</definedName>
    <definedName name="环境" localSheetId="42">[2]定义!$S$1:$S$6</definedName>
    <definedName name="环境">定义!$S$1:$S$6</definedName>
    <definedName name="基础设施水平" localSheetId="41">[2]定义!$R$1:$R$6</definedName>
    <definedName name="基础设施水平" localSheetId="21">[2]定义!$R$1:$R$6</definedName>
    <definedName name="基础设施水平" localSheetId="42">[2]定义!$R$1:$R$6</definedName>
    <definedName name="基础设施水平">定义!$R$1:$R$6</definedName>
    <definedName name="季度">基准地价!$N$19:$AG$19</definedName>
    <definedName name="季度2014">地价!$A$2:$A$25</definedName>
    <definedName name="价值类型2" localSheetId="41">[2]定义!$B$54:$B$56</definedName>
    <definedName name="价值类型2" localSheetId="21">[2]定义!$B$54:$B$56</definedName>
    <definedName name="价值类型2" localSheetId="42">[2]定义!$B$54:$B$56</definedName>
    <definedName name="价值类型2">定义!$B$54:$B$56</definedName>
    <definedName name="交通便捷度" localSheetId="41">[2]定义!$O$1:$O$6</definedName>
    <definedName name="交通便捷度" localSheetId="21">[2]定义!$O$1:$O$6</definedName>
    <definedName name="交通便捷度" localSheetId="42">[2]定义!$O$1:$O$6</definedName>
    <definedName name="交通便捷度">定义!$O$1:$O$6</definedName>
    <definedName name="九级">区片价!$Q$1:$Q$46</definedName>
    <definedName name="居住社区成熟度" localSheetId="41">[2]定义!$K$1:$K$6</definedName>
    <definedName name="居住社区成熟度" localSheetId="21">[2]定义!$K$1:$K$6</definedName>
    <definedName name="居住社区成熟度" localSheetId="42">[2]定义!$K$1:$K$6</definedName>
    <definedName name="居住社区成熟度">定义!$K$1:$K$6</definedName>
    <definedName name="类别" localSheetId="41">[2]定义!$J$1:$J$3</definedName>
    <definedName name="类别" localSheetId="21">[2]定义!$J$1:$J$3</definedName>
    <definedName name="类别" localSheetId="42">[2]定义!$J$1:$J$3</definedName>
    <definedName name="类别">定义!$J$1:$J$3</definedName>
    <definedName name="临街状况" localSheetId="41">[2]定义!$T$1:$T$5</definedName>
    <definedName name="临街状况" localSheetId="21">[2]定义!$T$1:$T$5</definedName>
    <definedName name="临街状况" localSheetId="42">[2]定义!$T$1:$T$5</definedName>
    <definedName name="临街状况">定义!$T$1:$T$5</definedName>
    <definedName name="六级">区片价!$N$1:$N$49</definedName>
    <definedName name="内部装修维护情况" localSheetId="41">[2]定义!$U$1:$U$6</definedName>
    <definedName name="内部装修维护情况" localSheetId="21">[2]定义!$U$1:$U$6</definedName>
    <definedName name="内部装修维护情况" localSheetId="42">[2]定义!$U$1:$U$6</definedName>
    <definedName name="内部装修维护情况">定义!$U$1:$U$6</definedName>
    <definedName name="判定" localSheetId="41">[2]定义!$D$1:$D$4</definedName>
    <definedName name="判定" localSheetId="21">[2]定义!$D$1:$D$4</definedName>
    <definedName name="判定" localSheetId="42">[2]定义!$D$1:$D$4</definedName>
    <definedName name="判定">定义!$D$1:$D$4</definedName>
    <definedName name="七级">区片价!$O$1:$O$49</definedName>
    <definedName name="七通一平" localSheetId="41">[2]修正!$A$6:$A$14</definedName>
    <definedName name="七通一平" localSheetId="21">[2]修正!$A$6:$A$14</definedName>
    <definedName name="七通一平" localSheetId="42">[2]修正!$A$6:$A$14</definedName>
    <definedName name="七通一平">修正!$A$6:$A$14</definedName>
    <definedName name="区域土地利用方向" localSheetId="41">[2]定义!$P$1:$P$6</definedName>
    <definedName name="区域土地利用方向" localSheetId="21">[2]定义!$P$1:$P$6</definedName>
    <definedName name="区域土地利用方向" localSheetId="42">[2]定义!$P$1:$P$6</definedName>
    <definedName name="区域土地利用方向">定义!$P$1:$P$6</definedName>
    <definedName name="三级">区片价!$K$1:$K$21</definedName>
    <definedName name="商业层高" localSheetId="41">'[2]不动产比较法-商业'!$B$116:$M$116</definedName>
    <definedName name="商业层高" localSheetId="21">'[2]不动产比较法-商业'!$B$116:$M$116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 localSheetId="21">[2]定义!$L$1:$L$6</definedName>
    <definedName name="商业繁华度" localSheetId="42">[2]定义!$L$1:$L$6</definedName>
    <definedName name="商业繁华度">定义!$L$1:$L$6</definedName>
    <definedName name="商业公共部分装修" localSheetId="41">'[2]不动产比较法-商业'!$B$107:$M$107</definedName>
    <definedName name="商业公共部分装修" localSheetId="21">'[2]不动产比较法-商业'!$B$107:$M$107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41">'[2]不动产比较法-商业'!$B$112:$M$112</definedName>
    <definedName name="商业基础设施水平" localSheetId="21">'[2]不动产比较法-商业'!$B$112:$M$112</definedName>
    <definedName name="商业基础设施水平" localSheetId="42">'[2]不动产比较法-商业'!$B$112:$M$112</definedName>
    <definedName name="商业基础设施水平">'不动产比较法-商业'!$B$112:$M$112</definedName>
    <definedName name="商业建筑结构" localSheetId="41">'[2]不动产比较法-商业'!$B$105:$M$105</definedName>
    <definedName name="商业建筑结构" localSheetId="21">'[2]不动产比较法-商业'!$B$105:$M$105</definedName>
    <definedName name="商业建筑结构" localSheetId="42">'[2]不动产比较法-商业'!$B$105:$M$105</definedName>
    <definedName name="商业建筑结构">'不动产比较法-商业'!$B$105:$M$105</definedName>
    <definedName name="商业交易情况" localSheetId="41">'[2]不动产比较法-商业'!$A$61:$M$61</definedName>
    <definedName name="商业交易情况" localSheetId="21">'[2]不动产比较法-商业'!$A$61:$M$61</definedName>
    <definedName name="商业交易情况" localSheetId="42">'[2]不动产比较法-商业'!$A$61:$M$61</definedName>
    <definedName name="商业交易情况">'不动产比较法-商业'!$A$61:$M$61</definedName>
    <definedName name="商业街名称" localSheetId="41">[2]修正!$C$59:$C$119</definedName>
    <definedName name="商业街名称" localSheetId="21">[2]修正!$C$59:$C$119</definedName>
    <definedName name="商业街名称" localSheetId="42">[2]修正!$C$59:$C$119</definedName>
    <definedName name="商业街名称">修正!$C$59:$C$119</definedName>
    <definedName name="商业进深比" localSheetId="41">'[2]不动产比较法-商业'!$B$120:$M$120</definedName>
    <definedName name="商业进深比" localSheetId="21">'[2]不动产比较法-商业'!$B$120:$M$120</definedName>
    <definedName name="商业进深比" localSheetId="42">'[2]不动产比较法-商业'!$B$120:$M$120</definedName>
    <definedName name="商业进深比">'不动产比较法-商业'!$B$120:$M$120</definedName>
    <definedName name="商业类型" localSheetId="41">'[2]不动产比较法-商业'!$B$100:$M$100</definedName>
    <definedName name="商业类型" localSheetId="21">'[2]不动产比较法-商业'!$B$100:$M$100</definedName>
    <definedName name="商业类型" localSheetId="42">'[2]不动产比较法-商业'!$B$100:$M$100</definedName>
    <definedName name="商业类型">'不动产比较法-商业'!$B$100:$M$100</definedName>
    <definedName name="商业临街状况" localSheetId="41">'[2]不动产比较法-商业'!$B$86:$M$86</definedName>
    <definedName name="商业临街状况" localSheetId="21">'[2]不动产比较法-商业'!$B$86:$M$86</definedName>
    <definedName name="商业临街状况" localSheetId="42">'[2]不动产比较法-商业'!$B$86:$M$86</definedName>
    <definedName name="商业临街状况">'不动产比较法-商业'!$B$86:$M$86</definedName>
    <definedName name="商业楼层" localSheetId="41">'[2]不动产比较法-商业'!$B$92:$M$92</definedName>
    <definedName name="商业楼层" localSheetId="21">'[2]不动产比较法-商业'!$B$92:$M$92</definedName>
    <definedName name="商业楼层" localSheetId="42">'[2]不动产比较法-商业'!$B$92:$M$92</definedName>
    <definedName name="商业楼层">'不动产比较法-商业'!$B$92:$M$92</definedName>
    <definedName name="商业内部装修" localSheetId="41">'[2]不动产比较法-商业'!$B$122:$M$122</definedName>
    <definedName name="商业内部装修" localSheetId="21">'[2]不动产比较法-商业'!$B$122:$M$122</definedName>
    <definedName name="商业内部装修" localSheetId="42">'[2]不动产比较法-商业'!$B$122:$M$122</definedName>
    <definedName name="商业内部装修">'不动产比较法-商业'!$B$122:$M$122</definedName>
    <definedName name="商业人流量" localSheetId="41">'[2]不动产比较法-商业'!$B$90:$M$90</definedName>
    <definedName name="商业人流量" localSheetId="21">'[2]不动产比较法-商业'!$B$90:$M$90</definedName>
    <definedName name="商业人流量" localSheetId="42">'[2]不动产比较法-商业'!$B$90:$M$90</definedName>
    <definedName name="商业人流量">'不动产比较法-商业'!$B$90:$M$90</definedName>
    <definedName name="商业业态" localSheetId="41">'[2]不动产比较法-商业'!$B$114:$M$114</definedName>
    <definedName name="商业业态" localSheetId="21">'[2]不动产比较法-商业'!$B$114:$M$114</definedName>
    <definedName name="商业业态" localSheetId="42">'[2]不动产比较法-商业'!$B$114:$M$114</definedName>
    <definedName name="商业业态">'不动产比较法-商业'!$B$114:$M$114</definedName>
    <definedName name="商业用途" localSheetId="41">'[2]不动产比较法-商业'!$B$63:$M$63</definedName>
    <definedName name="商业用途" localSheetId="21">'[2]不动产比较法-商业'!$B$63:$M$63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 localSheetId="21">'[2]不动产比较法-仓储'!$B$89:$M$89</definedName>
    <definedName name="是否封闭" localSheetId="42">'[2]不动产比较法-仓储'!$B$89:$M$89</definedName>
    <definedName name="是否封闭">'不动产比较法-仓储'!$B$89:$M$89</definedName>
    <definedName name="是否直接入户" localSheetId="41">'[2]不动产比较法-车位'!$B$95:$M$95</definedName>
    <definedName name="是否直接入户" localSheetId="21">'[2]不动产比较法-车位'!$B$95:$M$95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 localSheetId="21">'[2]比较法-工业'!$B$116:$M$116</definedName>
    <definedName name="套工工程地质条件" localSheetId="42">'[2]比较法-工业'!$B$116:$M$116</definedName>
    <definedName name="套工工程地质条件">'比较法-工业'!$B$116:$M$116</definedName>
    <definedName name="套工交易情况" localSheetId="41">'[2]比较法-住宅、综合'!$A$75:$M$75</definedName>
    <definedName name="套工交易情况" localSheetId="21">'[2]比较法-住宅、综合'!$A$75:$M$75</definedName>
    <definedName name="套工交易情况" localSheetId="42">'[2]比较法-住宅、综合'!$A$75:$M$75</definedName>
    <definedName name="套工交易情况">'比较法-住宅、综合'!$A$75:$M$75</definedName>
    <definedName name="套工开发程度" localSheetId="41">'[2]比较法-工业'!$B$114:$M$114</definedName>
    <definedName name="套工开发程度" localSheetId="21">'[2]比较法-工业'!$B$114:$M$114</definedName>
    <definedName name="套工开发程度" localSheetId="42">'[2]比较法-工业'!$B$114:$M$114</definedName>
    <definedName name="套工开发程度">'比较法-工业'!$B$114:$M$114</definedName>
    <definedName name="套工临街等级" localSheetId="41">'[2]比较法-工业'!$B$99:$M$99</definedName>
    <definedName name="套工临街等级" localSheetId="21">'[2]比较法-工业'!$B$99:$M$99</definedName>
    <definedName name="套工临街等级" localSheetId="42">'[2]比较法-工业'!$B$99:$M$99</definedName>
    <definedName name="套工临街等级">'比较法-工业'!$B$99:$M$99</definedName>
    <definedName name="套工土地级别" localSheetId="41">'[2]比较法-工业'!$B$101:$M$101</definedName>
    <definedName name="套工土地级别" localSheetId="21">'[2]比较法-工业'!$B$101:$M$101</definedName>
    <definedName name="套工土地级别" localSheetId="42">'[2]比较法-工业'!$B$101:$M$101</definedName>
    <definedName name="套工土地级别">'比较法-工业'!$B$101:$M$101</definedName>
    <definedName name="套工用途" localSheetId="41">'[2]比较法-工业'!$B$72:$M$72</definedName>
    <definedName name="套工用途" localSheetId="21">'[2]比较法-工业'!$B$72:$M$72</definedName>
    <definedName name="套工用途" localSheetId="42">'[2]比较法-工业'!$B$72:$M$72</definedName>
    <definedName name="套工用途">'比较法-工业'!$B$72:$M$72</definedName>
    <definedName name="套工宗地形状" localSheetId="41">'[2]比较法-工业'!$B$112:$M$112</definedName>
    <definedName name="套工宗地形状" localSheetId="21">'[2]比较法-工业'!$B$112:$M$112</definedName>
    <definedName name="套工宗地形状" localSheetId="42">'[2]比较法-工业'!$B$112:$M$112</definedName>
    <definedName name="套工宗地形状">'比较法-工业'!$B$112:$M$112</definedName>
    <definedName name="套综道路等级" localSheetId="41">'[2]比较法-住宅、综合'!$B$108:$M$108</definedName>
    <definedName name="套综道路等级" localSheetId="21">'[2]比较法-住宅、综合'!$B$108:$M$108</definedName>
    <definedName name="套综道路等级" localSheetId="42">'[2]比较法-住宅、综合'!$B$108:$M$108</definedName>
    <definedName name="套综道路等级">'比较法-住宅、综合'!$B$108:$M$108</definedName>
    <definedName name="套综工程地质条件" localSheetId="41">'[2]比较法-住宅、综合'!$B$127:$M$127</definedName>
    <definedName name="套综工程地质条件" localSheetId="21">'[2]比较法-住宅、综合'!$B$127:$M$127</definedName>
    <definedName name="套综工程地质条件" localSheetId="42">'[2]比较法-住宅、综合'!$B$127:$M$127</definedName>
    <definedName name="套综工程地质条件">'比较法-住宅、综合'!$B$127:$M$127</definedName>
    <definedName name="套综交易情况" localSheetId="41">'[2]比较法-住宅、综合'!$A$75:$M$75</definedName>
    <definedName name="套综交易情况" localSheetId="21">'[2]比较法-住宅、综合'!$A$75:$M$75</definedName>
    <definedName name="套综交易情况" localSheetId="42">'[2]比较法-住宅、综合'!$A$75:$M$75</definedName>
    <definedName name="套综交易情况">'比较法-住宅、综合'!$A$75:$M$75</definedName>
    <definedName name="套综临街宽度及深度" localSheetId="41">'[2]比较法-住宅、综合'!$B$123:$M$123</definedName>
    <definedName name="套综临街宽度及深度" localSheetId="21">'[2]比较法-住宅、综合'!$B$123:$M$123</definedName>
    <definedName name="套综临街宽度及深度" localSheetId="42">'[2]比较法-住宅、综合'!$B$123:$M$123</definedName>
    <definedName name="套综临街宽度及深度">'比较法-住宅、综合'!$B$123:$M$123</definedName>
    <definedName name="套综土地级别" localSheetId="41">'[2]比较法-住宅、综合'!$B$110:$M$110</definedName>
    <definedName name="套综土地级别" localSheetId="21">'[2]比较法-住宅、综合'!$B$110:$M$110</definedName>
    <definedName name="套综土地级别" localSheetId="42">'[2]比较法-住宅、综合'!$B$110:$M$110</definedName>
    <definedName name="套综土地级别">'比较法-住宅、综合'!$B$110:$M$110</definedName>
    <definedName name="套综用途" localSheetId="41">'[2]比较法-住宅、综合'!$B$77:$M$77</definedName>
    <definedName name="套综用途" localSheetId="21">'[2]比较法-住宅、综合'!$B$77:$M$77</definedName>
    <definedName name="套综用途" localSheetId="42">'[2]比较法-住宅、综合'!$B$77:$M$77</definedName>
    <definedName name="套综用途">'比较法-住宅、综合'!$B$77:$M$77</definedName>
    <definedName name="套综宗地内开发程度" localSheetId="41">'[2]比较法-住宅、综合'!$B$125:$M$125</definedName>
    <definedName name="套综宗地内开发程度" localSheetId="21">'[2]比较法-住宅、综合'!$B$125:$M$125</definedName>
    <definedName name="套综宗地内开发程度" localSheetId="42">'[2]比较法-住宅、综合'!$B$125:$M$125</definedName>
    <definedName name="套综宗地内开发程度">'比较法-住宅、综合'!$B$125:$M$125</definedName>
    <definedName name="套综宗地形状" localSheetId="41">'[2]比较法-住宅、综合'!$B$121:$M$121</definedName>
    <definedName name="套综宗地形状" localSheetId="21">'[2]比较法-住宅、综合'!$B$121:$M$121</definedName>
    <definedName name="套综宗地形状" localSheetId="42">'[2]比较法-住宅、综合'!$B$121:$M$121</definedName>
    <definedName name="套综宗地形状">'比较法-住宅、综合'!$B$121:$M$121</definedName>
    <definedName name="土地估价师" localSheetId="41">[2]估价师及机构信息!$D$3:$D$24</definedName>
    <definedName name="土地估价师" localSheetId="21">[2]估价师及机构信息!$D$3:$D$24</definedName>
    <definedName name="土地估价师" localSheetId="42">[2]估价师及机构信息!$D$3:$D$24</definedName>
    <definedName name="土地估价师">估价师及机构信息!$D$3:$D$24</definedName>
    <definedName name="土地级别" localSheetId="41">[2]定义!$C$1:$C$14</definedName>
    <definedName name="土地级别" localSheetId="21">[2]定义!$C$1:$C$14</definedName>
    <definedName name="土地级别" localSheetId="42">[2]定义!$C$1:$C$14</definedName>
    <definedName name="土地级别">定义!$C$1:$C$14</definedName>
    <definedName name="土地利用方向">定义!$P$1:$P$6</definedName>
    <definedName name="土地年限区间" localSheetId="41">[2]定义!$I$1:$I$8</definedName>
    <definedName name="土地年限区间" localSheetId="21">[2]定义!$I$1:$I$8</definedName>
    <definedName name="土地年限区间" localSheetId="42">[2]定义!$I$1:$I$8</definedName>
    <definedName name="土地年限区间">定义!$I$1:$I$8</definedName>
    <definedName name="位置" localSheetId="41">[2]定义!$E$2:$E$4</definedName>
    <definedName name="位置" localSheetId="21">[2]定义!$E$2:$E$4</definedName>
    <definedName name="位置" localSheetId="42">[2]定义!$E$2:$E$4</definedName>
    <definedName name="位置">定义!$E$2:$E$4</definedName>
    <definedName name="五等判定" localSheetId="41">[2]定义!$W$1:$W$6</definedName>
    <definedName name="五等判定" localSheetId="21">[2]定义!$W$1:$W$6</definedName>
    <definedName name="五等判定" localSheetId="42">[2]定义!$W$1:$W$6</definedName>
    <definedName name="五等判定">定义!$W$1:$W$6</definedName>
    <definedName name="五级">区片价!$M$1:$M$35</definedName>
    <definedName name="项目类型" localSheetId="41">'[2]数据-汇总表'!$C$17:$C$26</definedName>
    <definedName name="项目类型" localSheetId="21">'[2]数据-汇总表'!$C$17:$C$26</definedName>
    <definedName name="项目类型" localSheetId="42">'[2]数据-汇总表'!$C$17:$C$26</definedName>
    <definedName name="项目类型">'数据-汇总表'!$C$17:$C$26</definedName>
    <definedName name="写字楼等级" localSheetId="41">'[2]不动产比较法-办公'!$B$113:$M$113</definedName>
    <definedName name="写字楼等级" localSheetId="21">'[2]不动产比较法-办公'!$B$113:$M$113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 localSheetId="21">[2]典型户型修正!$5:$5</definedName>
    <definedName name="一修多修正项2" localSheetId="42">[2]典型户型修正!$5:$5</definedName>
    <definedName name="一修多修正项2">典型户型修正!$5:$5</definedName>
    <definedName name="一修多修正项3" localSheetId="41">[2]典型户型修正!$7:$7</definedName>
    <definedName name="一修多修正项3" localSheetId="21">[2]典型户型修正!$7:$7</definedName>
    <definedName name="一修多修正项3" localSheetId="42">[2]典型户型修正!$7:$7</definedName>
    <definedName name="一修多修正项3">典型户型修正!$7:$7</definedName>
    <definedName name="一修多修正项4" localSheetId="41">[2]典型户型修正!$9:$9</definedName>
    <definedName name="一修多修正项4" localSheetId="21">[2]典型户型修正!$9:$9</definedName>
    <definedName name="一修多修正项4" localSheetId="42">[2]典型户型修正!$9:$9</definedName>
    <definedName name="一修多修正项4">典型户型修正!$9:$9</definedName>
    <definedName name="一修多修正项5" localSheetId="41">[2]典型户型修正!$11:$11</definedName>
    <definedName name="一修多修正项5" localSheetId="21">[2]典型户型修正!$11:$11</definedName>
    <definedName name="一修多修正项5" localSheetId="42">[2]典型户型修正!$11:$11</definedName>
    <definedName name="一修多修正项5">典型户型修正!$11:$11</definedName>
    <definedName name="一修多修正项6" localSheetId="41">[2]典型户型修正!$13:$13</definedName>
    <definedName name="一修多修正项6" localSheetId="21">[2]典型户型修正!$13:$13</definedName>
    <definedName name="一修多修正项6" localSheetId="42">[2]典型户型修正!$13:$13</definedName>
    <definedName name="一修多修正项6">典型户型修正!$13:$13</definedName>
    <definedName name="一修多修正项7" localSheetId="41">[2]典型户型修正!$15:$15</definedName>
    <definedName name="一修多修正项7" localSheetId="21">[2]典型户型修正!$15:$15</definedName>
    <definedName name="一修多修正项7" localSheetId="42">[2]典型户型修正!$15:$15</definedName>
    <definedName name="一修多修正项7">典型户型修正!$15:$15</definedName>
    <definedName name="一修多修正项8" localSheetId="41">[2]典型户型修正!$17:$17</definedName>
    <definedName name="一修多修正项8" localSheetId="21">[2]典型户型修正!$17:$17</definedName>
    <definedName name="一修多修正项8" localSheetId="42">[2]典型户型修正!$17:$17</definedName>
    <definedName name="一修多修正项8">典型户型修正!$17:$17</definedName>
    <definedName name="用途类型" localSheetId="41">[2]定义!$A$1:$A$50</definedName>
    <definedName name="用途类型" localSheetId="21">[2]定义!$A$1:$A$50</definedName>
    <definedName name="用途类型" localSheetId="42">[2]定义!$A$1:$A$50</definedName>
    <definedName name="用途类型">定义!$A$1:$A$50</definedName>
    <definedName name="有无电梯" localSheetId="41">'[2]不动产比较法-仓储'!$B$84:$M$84</definedName>
    <definedName name="有无电梯" localSheetId="21">'[2]不动产比较法-仓储'!$B$84:$M$84</definedName>
    <definedName name="有无电梯" localSheetId="42">'[2]不动产比较法-仓储'!$B$84:$M$84</definedName>
    <definedName name="有无电梯">'不动产比较法-仓储'!$B$84:$M$84</definedName>
    <definedName name="主用途" localSheetId="41">[2]定义!$F$1:$F$10</definedName>
    <definedName name="主用途" localSheetId="21">[2]定义!$F$1:$F$10</definedName>
    <definedName name="主用途" localSheetId="42">[2]定义!$F$1:$F$10</definedName>
    <definedName name="主用途">定义!$F$1:$F$10</definedName>
    <definedName name="住宅朝向" localSheetId="41">'[2]不动产比较法-住宅'!$B$88:$M$88</definedName>
    <definedName name="住宅朝向" localSheetId="21">'[2]不动产比较法-住宅'!$B$88:$M$88</definedName>
    <definedName name="住宅朝向" localSheetId="42">'[2]不动产比较法-住宅'!$B$88:$M$88</definedName>
    <definedName name="住宅朝向">'不动产比较法-住宅'!$B$88:$M$88</definedName>
    <definedName name="住宅房型" localSheetId="41">'[2]不动产比较法-住宅'!$B$118:$M$118</definedName>
    <definedName name="住宅房型" localSheetId="21">'[2]不动产比较法-住宅'!$B$118:$M$118</definedName>
    <definedName name="住宅房型" localSheetId="42">'[2]不动产比较法-住宅'!$B$118:$M$118</definedName>
    <definedName name="住宅房型">'不动产比较法-住宅'!$B$118:$M$118</definedName>
    <definedName name="住宅公共部分装修" localSheetId="41">'[2]不动产比较法-住宅'!$B$109:$M$109</definedName>
    <definedName name="住宅公共部分装修" localSheetId="21">'[2]不动产比较法-住宅'!$B$109:$M$109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41">'[2]不动产比较法-住宅'!$B$116:$M$116</definedName>
    <definedName name="住宅基础设施水平" localSheetId="21">'[2]不动产比较法-住宅'!$B$116:$M$116</definedName>
    <definedName name="住宅基础设施水平" localSheetId="42">'[2]不动产比较法-住宅'!$B$116:$M$116</definedName>
    <definedName name="住宅基础设施水平">'不动产比较法-住宅'!$B$116:$M$116</definedName>
    <definedName name="住宅建筑结构" localSheetId="41">'[2]不动产比较法-住宅'!$B$105:$M$105</definedName>
    <definedName name="住宅建筑结构" localSheetId="21">'[2]不动产比较法-住宅'!$B$105:$M$105</definedName>
    <definedName name="住宅建筑结构" localSheetId="42">'[2]不动产比较法-住宅'!$B$105:$M$105</definedName>
    <definedName name="住宅建筑结构">'不动产比较法-住宅'!$B$105:$M$105</definedName>
    <definedName name="住宅建筑类型" localSheetId="41">'[2]不动产比较法-住宅'!$B$100:$M$100</definedName>
    <definedName name="住宅建筑类型" localSheetId="21">'[2]不动产比较法-住宅'!$B$100:$M$100</definedName>
    <definedName name="住宅建筑类型" localSheetId="42">'[2]不动产比较法-住宅'!$B$100:$M$100</definedName>
    <definedName name="住宅建筑类型">'不动产比较法-住宅'!$B$100:$M$100</definedName>
    <definedName name="住宅建筑品质" localSheetId="41">'[2]不动产比较法-住宅'!$B$107:$M$107</definedName>
    <definedName name="住宅建筑品质" localSheetId="21">'[2]不动产比较法-住宅'!$B$107:$M$107</definedName>
    <definedName name="住宅建筑品质" localSheetId="42">'[2]不动产比较法-住宅'!$B$107:$M$107</definedName>
    <definedName name="住宅建筑品质">'不动产比较法-住宅'!$B$107:$M$107</definedName>
    <definedName name="住宅交易情况" localSheetId="41">'[2]不动产比较法-住宅'!$A$61:$M$61</definedName>
    <definedName name="住宅交易情况" localSheetId="21">'[2]不动产比较法-住宅'!$A$61:$M$61</definedName>
    <definedName name="住宅交易情况" localSheetId="42">'[2]不动产比较法-住宅'!$A$61:$M$61</definedName>
    <definedName name="住宅交易情况">'不动产比较法-住宅'!$A$61:$M$61</definedName>
    <definedName name="住宅楼层" localSheetId="41">'[2]不动产比较法-住宅'!$B$86:$M$86</definedName>
    <definedName name="住宅楼层" localSheetId="21">'[2]不动产比较法-住宅'!$B$86:$M$86</definedName>
    <definedName name="住宅楼层" localSheetId="42">'[2]不动产比较法-住宅'!$B$86:$M$86</definedName>
    <definedName name="住宅楼层">'不动产比较法-住宅'!$B$86:$M$86</definedName>
    <definedName name="住宅内部装修" localSheetId="41">'[2]不动产比较法-住宅'!$B$122:$M$122</definedName>
    <definedName name="住宅内部装修" localSheetId="21">'[2]不动产比较法-住宅'!$B$122:$M$122</definedName>
    <definedName name="住宅内部装修" localSheetId="42">'[2]不动产比较法-住宅'!$B$122:$M$122</definedName>
    <definedName name="住宅内部装修">'不动产比较法-住宅'!$B$122:$M$122</definedName>
    <definedName name="住宅物业管理" localSheetId="41">'[2]不动产比较法-住宅'!$B$114:$M$114</definedName>
    <definedName name="住宅物业管理" localSheetId="21">'[2]不动产比较法-住宅'!$B$114:$M$114</definedName>
    <definedName name="住宅物业管理" localSheetId="42">'[2]不动产比较法-住宅'!$B$114:$M$114</definedName>
    <definedName name="住宅物业管理">'不动产比较法-住宅'!$B$114:$M$114</definedName>
    <definedName name="住宅用途" localSheetId="41">'[2]不动产比较法-住宅'!$B$63:$M$63</definedName>
    <definedName name="住宅用途" localSheetId="21">'[2]不动产比较法-住宅'!$B$63:$M$63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5" i="71" l="1"/>
  <c r="D3" i="72"/>
  <c r="D29" i="46" l="1"/>
  <c r="E10" i="11"/>
  <c r="D10" i="11"/>
  <c r="G81" i="46"/>
  <c r="G82" i="46"/>
  <c r="G83" i="46"/>
  <c r="G84" i="46"/>
  <c r="G85" i="46"/>
  <c r="G86" i="46"/>
  <c r="G87" i="46"/>
  <c r="G80" i="46"/>
  <c r="K11" i="11" l="1"/>
  <c r="N33" i="69"/>
  <c r="K33" i="69"/>
  <c r="L33" i="69"/>
  <c r="M33" i="69"/>
  <c r="C8" i="11" l="1"/>
  <c r="N4" i="69" l="1"/>
  <c r="N5" i="69"/>
  <c r="N6" i="69"/>
  <c r="N7" i="69"/>
  <c r="N8" i="69"/>
  <c r="N9" i="69"/>
  <c r="N11" i="69"/>
  <c r="N12" i="69"/>
  <c r="N13" i="69"/>
  <c r="N14" i="69"/>
  <c r="N15" i="69"/>
  <c r="N16" i="69"/>
  <c r="N17" i="69"/>
  <c r="N18" i="69"/>
  <c r="N19" i="69"/>
  <c r="N20" i="69"/>
  <c r="N21" i="69"/>
  <c r="N22" i="69"/>
  <c r="N23" i="69"/>
  <c r="N24" i="69"/>
  <c r="N25" i="69"/>
  <c r="N26" i="69"/>
  <c r="N27" i="69"/>
  <c r="N28" i="69"/>
  <c r="N29" i="69"/>
  <c r="N30" i="69"/>
  <c r="N31" i="69"/>
  <c r="N32" i="69"/>
  <c r="C6" i="73" l="1"/>
  <c r="C5" i="73" l="1"/>
  <c r="C4" i="73"/>
  <c r="D10" i="73" l="1"/>
  <c r="D5" i="72"/>
  <c r="C9" i="73" s="1"/>
  <c r="D24" i="71" l="1"/>
  <c r="D19" i="71"/>
  <c r="E11" i="71"/>
  <c r="E10" i="71"/>
  <c r="C12" i="71" s="1"/>
  <c r="C14" i="71" s="1"/>
  <c r="I14" i="3"/>
  <c r="I13" i="3"/>
  <c r="K8" i="11"/>
  <c r="K7" i="11"/>
  <c r="K6" i="11"/>
  <c r="I8" i="11"/>
  <c r="I7" i="11"/>
  <c r="N10" i="69"/>
  <c r="I6" i="11"/>
  <c r="D6" i="71" l="1"/>
  <c r="G9" i="71" s="1"/>
  <c r="C8" i="73" s="1"/>
  <c r="K9" i="11"/>
  <c r="C6" i="68" l="1"/>
  <c r="C5" i="68"/>
  <c r="C4" i="68"/>
  <c r="AH5" i="59" l="1"/>
  <c r="AG5" i="59"/>
  <c r="AF5" i="59"/>
  <c r="AE5" i="59"/>
  <c r="AD5" i="59"/>
  <c r="Q5" i="59"/>
  <c r="P5" i="59"/>
  <c r="O5" i="59"/>
  <c r="N5" i="59"/>
  <c r="L3" i="59" l="1"/>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c r="E5" i="54"/>
  <c r="B32" i="63"/>
  <c r="R2" i="54"/>
  <c r="B24" i="63" s="1"/>
  <c r="B19" i="63"/>
  <c r="B49" i="50"/>
  <c r="B5" i="63"/>
  <c r="B40" i="50"/>
  <c r="B3" i="63" s="1"/>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s="1"/>
  <c r="D58" i="46"/>
  <c r="K50" i="46"/>
  <c r="D83" i="46"/>
  <c r="D77" i="46"/>
  <c r="B83" i="46"/>
  <c r="B82" i="46"/>
  <c r="B71" i="46"/>
  <c r="B60" i="46"/>
  <c r="B49" i="46"/>
  <c r="M87" i="46"/>
  <c r="N87" i="46" s="1"/>
  <c r="K87" i="46"/>
  <c r="J87" i="46" s="1"/>
  <c r="M86" i="46"/>
  <c r="D86" i="46"/>
  <c r="K86" i="46"/>
  <c r="J86" i="46"/>
  <c r="M85" i="46"/>
  <c r="N85" i="46" s="1"/>
  <c r="D85" i="46"/>
  <c r="K85" i="46"/>
  <c r="J85" i="46"/>
  <c r="M84" i="46"/>
  <c r="N84" i="46" s="1"/>
  <c r="K84" i="46"/>
  <c r="J84" i="46" s="1"/>
  <c r="M83" i="46"/>
  <c r="N83" i="46"/>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c r="BA16" i="3"/>
  <c r="BA17" i="3"/>
  <c r="AZ17" i="3"/>
  <c r="C24" i="12"/>
  <c r="F3" i="35"/>
  <c r="K1" i="43"/>
  <c r="K1" i="12"/>
  <c r="G1" i="44"/>
  <c r="I4" i="6"/>
  <c r="G3" i="46" s="1"/>
  <c r="J22" i="46" s="1"/>
  <c r="AZ15" i="3"/>
  <c r="G5" i="3"/>
  <c r="B3" i="3" s="1"/>
  <c r="Q6" i="3" s="1"/>
  <c r="BK5" i="3"/>
  <c r="BO5" i="3"/>
  <c r="BP5" i="3"/>
  <c r="BN5" i="3"/>
  <c r="BL18" i="3"/>
  <c r="AZ18" i="3"/>
  <c r="BC5" i="3"/>
  <c r="E8" i="6"/>
  <c r="BD5" i="3"/>
  <c r="BR5" i="3"/>
  <c r="G28" i="6" s="1"/>
  <c r="BS5" i="3"/>
  <c r="BQ5" i="3"/>
  <c r="BL16" i="3"/>
  <c r="BM5"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D69" i="46"/>
  <c r="E69" i="46" s="1"/>
  <c r="B67" i="46" s="1"/>
  <c r="E47" i="46"/>
  <c r="E58" i="46"/>
  <c r="B56" i="46" s="1"/>
  <c r="A4" i="64"/>
  <c r="A4" i="51"/>
  <c r="B6" i="63" s="1"/>
  <c r="C51" i="10"/>
  <c r="H58" i="46"/>
  <c r="H61" i="46"/>
  <c r="H62" i="46"/>
  <c r="H71" i="46"/>
  <c r="H75" i="46"/>
  <c r="H76" i="46"/>
  <c r="I100" i="46"/>
  <c r="N100" i="46"/>
  <c r="H100" i="46"/>
  <c r="F108" i="46"/>
  <c r="B45" i="46"/>
  <c r="E100" i="46"/>
  <c r="G100" i="46"/>
  <c r="H65" i="46"/>
  <c r="H66" i="46"/>
  <c r="C100" i="46"/>
  <c r="J100" i="46"/>
  <c r="M100" i="46"/>
  <c r="AA12" i="36"/>
  <c r="U12" i="35"/>
  <c r="AB12" i="35"/>
  <c r="W11" i="35"/>
  <c r="AA11" i="35"/>
  <c r="S14" i="37"/>
  <c r="U13" i="37"/>
  <c r="S13" i="21"/>
  <c r="C24" i="9"/>
  <c r="C25" i="9"/>
  <c r="G7" i="1"/>
  <c r="G9" i="1"/>
  <c r="G8" i="1"/>
  <c r="L5" i="54"/>
  <c r="B39" i="63"/>
  <c r="K5" i="54"/>
  <c r="B38" i="63"/>
  <c r="T41" i="4"/>
  <c r="A17" i="64"/>
  <c r="B46" i="50"/>
  <c r="B4" i="63" s="1"/>
  <c r="C46" i="36"/>
  <c r="D46" i="36" s="1"/>
  <c r="C59" i="34"/>
  <c r="D59" i="34" s="1"/>
  <c r="C48" i="35"/>
  <c r="D48" i="35"/>
  <c r="C52" i="37"/>
  <c r="D52" i="37"/>
  <c r="O19" i="46"/>
  <c r="K17" i="4"/>
  <c r="A22" i="51" s="1"/>
  <c r="B16" i="63" s="1"/>
  <c r="H77" i="46"/>
  <c r="H73" i="46"/>
  <c r="H69" i="46"/>
  <c r="H74" i="46"/>
  <c r="H63" i="46"/>
  <c r="H59" i="46"/>
  <c r="H64" i="46"/>
  <c r="H60" i="46"/>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AA11" i="46"/>
  <c r="AA1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21" i="12" s="1"/>
  <c r="C21" i="12" s="1"/>
  <c r="C15" i="12"/>
  <c r="BA5" i="3"/>
  <c r="G29" i="6"/>
  <c r="AZ16" i="3"/>
  <c r="H70" i="46"/>
  <c r="H72" i="46"/>
  <c r="A9" i="64"/>
  <c r="A9" i="51"/>
  <c r="B9" i="63" s="1"/>
  <c r="A25" i="51"/>
  <c r="B18" i="63" s="1"/>
  <c r="A3" i="55"/>
  <c r="B56" i="63"/>
  <c r="E52" i="37"/>
  <c r="F52" i="37"/>
  <c r="E48" i="35"/>
  <c r="E46" i="36"/>
  <c r="F46" i="36" s="1"/>
  <c r="G46" i="36"/>
  <c r="H46" i="36" s="1"/>
  <c r="I46" i="36" s="1"/>
  <c r="G66" i="36"/>
  <c r="J18" i="36"/>
  <c r="AE8" i="1"/>
  <c r="AE7" i="1"/>
  <c r="AE6" i="1"/>
  <c r="W18" i="36"/>
  <c r="AC18" i="36"/>
  <c r="AG6" i="1"/>
  <c r="L20" i="6"/>
  <c r="L19" i="6"/>
  <c r="F7" i="21"/>
  <c r="J7" i="21"/>
  <c r="H7" i="21"/>
  <c r="AB7" i="21" s="1"/>
  <c r="T48" i="21" s="1"/>
  <c r="G48" i="21" s="1"/>
  <c r="S7" i="1"/>
  <c r="S8" i="1"/>
  <c r="S9" i="1"/>
  <c r="AC7" i="21"/>
  <c r="V48" i="21" s="1"/>
  <c r="I48" i="21" s="1"/>
  <c r="I52" i="21" s="1"/>
  <c r="J52" i="21" s="1"/>
  <c r="W7" i="21"/>
  <c r="U7" i="21"/>
  <c r="S7" i="21"/>
  <c r="AA7" i="21"/>
  <c r="R48" i="21"/>
  <c r="E48" i="21" s="1"/>
  <c r="R49" i="21"/>
  <c r="C49" i="21" s="1"/>
  <c r="R9" i="1"/>
  <c r="E53" i="21"/>
  <c r="F53" i="21" s="1"/>
  <c r="E52" i="21"/>
  <c r="F52" i="21" s="1"/>
  <c r="C48" i="21"/>
  <c r="B3" i="21"/>
  <c r="B2" i="21" s="1"/>
  <c r="I53" i="21"/>
  <c r="J53" i="21" s="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E14" i="52"/>
  <c r="N6" i="65"/>
  <c r="F40" i="44"/>
  <c r="F46" i="44"/>
  <c r="M22" i="15"/>
  <c r="F43" i="44"/>
  <c r="F13" i="15"/>
  <c r="C19" i="44"/>
  <c r="F38" i="15"/>
  <c r="F10" i="44"/>
  <c r="F35" i="15"/>
  <c r="B9" i="67"/>
  <c r="F41" i="15"/>
  <c r="F36" i="15"/>
  <c r="F8" i="44"/>
  <c r="M28" i="15"/>
  <c r="F8" i="67"/>
  <c r="M6" i="15"/>
  <c r="I3" i="65"/>
  <c r="M24" i="15"/>
  <c r="M24" i="44"/>
  <c r="I5" i="65"/>
  <c r="J5" i="65"/>
  <c r="E14" i="67"/>
  <c r="F9" i="44"/>
  <c r="M25" i="44"/>
  <c r="L48" i="44"/>
  <c r="F6" i="15"/>
  <c r="F38" i="44"/>
  <c r="I6" i="65"/>
  <c r="J7" i="65"/>
  <c r="F9" i="15"/>
  <c r="F45" i="44"/>
  <c r="E12" i="67"/>
  <c r="M26" i="44"/>
  <c r="F8" i="15"/>
  <c r="B11" i="67"/>
  <c r="F16" i="15"/>
  <c r="N7" i="65"/>
  <c r="F11" i="44"/>
  <c r="F9" i="67"/>
  <c r="B14" i="67"/>
  <c r="F12" i="67"/>
  <c r="J6" i="65"/>
  <c r="N5" i="65"/>
  <c r="L47" i="15"/>
  <c r="M21" i="15"/>
  <c r="F26" i="15"/>
  <c r="E11" i="67"/>
  <c r="I7" i="65"/>
  <c r="F13" i="67"/>
  <c r="F40" i="15"/>
  <c r="M23" i="15"/>
  <c r="B10" i="67"/>
  <c r="I4" i="65"/>
  <c r="M23" i="44"/>
  <c r="F10" i="67"/>
  <c r="M29" i="15"/>
  <c r="M26" i="15"/>
  <c r="M31" i="44"/>
  <c r="E8" i="67"/>
  <c r="M30" i="44"/>
  <c r="F15" i="44"/>
  <c r="M8" i="44"/>
  <c r="J15" i="15"/>
  <c r="E13" i="67"/>
  <c r="M11" i="44"/>
  <c r="E9" i="67"/>
  <c r="F14" i="67"/>
  <c r="M28" i="44"/>
  <c r="F42" i="15"/>
  <c r="B12" i="67"/>
  <c r="M9" i="15"/>
  <c r="N4" i="65"/>
  <c r="F11" i="67"/>
  <c r="F28" i="44"/>
  <c r="F18" i="44"/>
  <c r="L49" i="44"/>
  <c r="J17" i="44"/>
  <c r="F37" i="15"/>
  <c r="J4" i="65"/>
  <c r="M10" i="44"/>
  <c r="B13" i="67"/>
  <c r="J36" i="15"/>
  <c r="F43" i="15"/>
  <c r="N3" i="65"/>
  <c r="F7" i="15"/>
  <c r="J3" i="65"/>
  <c r="M29" i="44"/>
  <c r="M8" i="15"/>
  <c r="F39" i="44"/>
  <c r="M27" i="15"/>
  <c r="L48" i="15"/>
  <c r="F37" i="44"/>
  <c r="B8" i="67"/>
  <c r="E10" i="67"/>
  <c r="D87" i="46" l="1"/>
  <c r="E80" i="46" s="1"/>
  <c r="B78" i="46" s="1"/>
  <c r="C24" i="46" s="1"/>
  <c r="G10" i="1"/>
  <c r="G13" i="1"/>
  <c r="I20" i="46"/>
  <c r="F80" i="46"/>
  <c r="H80" i="46" s="1"/>
  <c r="H51" i="46"/>
  <c r="H50" i="46"/>
  <c r="H53" i="46"/>
  <c r="H48" i="46"/>
  <c r="H47" i="46"/>
  <c r="A30" i="51"/>
  <c r="B22" i="63" s="1"/>
  <c r="A30" i="64"/>
  <c r="D12" i="11"/>
  <c r="C12" i="11" s="1"/>
  <c r="F19" i="6"/>
  <c r="E19" i="6" s="1"/>
  <c r="K6" i="1" s="1"/>
  <c r="M6" i="1" s="1"/>
  <c r="D1" i="46"/>
  <c r="F1" i="46" s="1"/>
  <c r="H84" i="46"/>
  <c r="H87" i="46"/>
  <c r="H81" i="46"/>
  <c r="H85" i="46"/>
  <c r="G17" i="46"/>
  <c r="C16" i="46" s="1"/>
  <c r="D5" i="46" s="1"/>
  <c r="X7" i="46"/>
  <c r="AL6" i="3"/>
  <c r="E252" i="3"/>
  <c r="E325" i="3"/>
  <c r="E523" i="3"/>
  <c r="E406" i="3"/>
  <c r="E169" i="3"/>
  <c r="E281" i="3"/>
  <c r="E13" i="3"/>
  <c r="E544" i="3"/>
  <c r="E519" i="3"/>
  <c r="E510" i="3"/>
  <c r="E163" i="3"/>
  <c r="E373" i="3"/>
  <c r="E559" i="3"/>
  <c r="E207" i="3"/>
  <c r="E557" i="3"/>
  <c r="E541" i="3"/>
  <c r="E346" i="3"/>
  <c r="E155" i="3"/>
  <c r="E244" i="3"/>
  <c r="E504" i="3"/>
  <c r="E368" i="3"/>
  <c r="E351" i="3"/>
  <c r="E226" i="3"/>
  <c r="E106" i="3"/>
  <c r="E216" i="3"/>
  <c r="E324" i="3"/>
  <c r="AF6" i="3"/>
  <c r="E466" i="3"/>
  <c r="AE6" i="3"/>
  <c r="E503" i="3"/>
  <c r="E380" i="3"/>
  <c r="E565" i="3"/>
  <c r="E318" i="3"/>
  <c r="E175" i="3"/>
  <c r="E316" i="3"/>
  <c r="E268" i="3"/>
  <c r="E341" i="3"/>
  <c r="E112" i="3"/>
  <c r="E488" i="3"/>
  <c r="E227" i="3"/>
  <c r="E516" i="3"/>
  <c r="E572" i="3"/>
  <c r="E522" i="3"/>
  <c r="E342" i="3"/>
  <c r="E364" i="3"/>
  <c r="E378" i="3"/>
  <c r="E118" i="3"/>
  <c r="E14" i="3"/>
  <c r="E360" i="3"/>
  <c r="E392" i="3"/>
  <c r="E396" i="3"/>
  <c r="E334" i="3"/>
  <c r="E228" i="3"/>
  <c r="E40" i="3"/>
  <c r="E290" i="3"/>
  <c r="E198" i="3"/>
  <c r="E211" i="3"/>
  <c r="E257" i="3"/>
  <c r="E463" i="3"/>
  <c r="E33" i="3"/>
  <c r="E119" i="3"/>
  <c r="E97" i="3"/>
  <c r="E289" i="3"/>
  <c r="E425" i="3"/>
  <c r="E166" i="3"/>
  <c r="E204" i="3"/>
  <c r="E449" i="3"/>
  <c r="E248" i="3"/>
  <c r="E336" i="3"/>
  <c r="AR6" i="3"/>
  <c r="E65" i="3"/>
  <c r="E513"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481" i="3"/>
  <c r="E564" i="3"/>
  <c r="E356" i="3"/>
  <c r="E20" i="3"/>
  <c r="E326" i="3"/>
  <c r="E509" i="3"/>
  <c r="E484" i="3"/>
  <c r="E358" i="3"/>
  <c r="E382" i="3"/>
  <c r="E18" i="3"/>
  <c r="E301" i="3"/>
  <c r="E377" i="3"/>
  <c r="E240" i="3"/>
  <c r="E17" i="3"/>
  <c r="E137" i="3"/>
  <c r="E511" i="3"/>
  <c r="E71" i="3"/>
  <c r="E322" i="3"/>
  <c r="S6" i="3"/>
  <c r="E26" i="3"/>
  <c r="AB6" i="3"/>
  <c r="E329" i="3"/>
  <c r="E487" i="3"/>
  <c r="E567" i="3"/>
  <c r="E310" i="3"/>
  <c r="E371" i="3"/>
  <c r="E384" i="3"/>
  <c r="E512" i="3"/>
  <c r="E501" i="3"/>
  <c r="E514" i="3"/>
  <c r="E159" i="3"/>
  <c r="E312" i="3"/>
  <c r="E323" i="3"/>
  <c r="E267" i="3"/>
  <c r="E315" i="3"/>
  <c r="E182" i="3"/>
  <c r="E361" i="3"/>
  <c r="E35" i="3"/>
  <c r="E298" i="3"/>
  <c r="E284" i="3"/>
  <c r="E45" i="3"/>
  <c r="E320" i="3"/>
  <c r="E183" i="3"/>
  <c r="E286" i="3"/>
  <c r="E489" i="3"/>
  <c r="E502" i="3"/>
  <c r="E314" i="3"/>
  <c r="E150" i="3"/>
  <c r="E362" i="3"/>
  <c r="E331" i="3"/>
  <c r="E440" i="3"/>
  <c r="E72" i="3"/>
  <c r="E345" i="3"/>
  <c r="E51" i="3"/>
  <c r="Y6" i="3"/>
  <c r="E196" i="3"/>
  <c r="O6" i="3"/>
  <c r="E113" i="3"/>
  <c r="E500" i="3"/>
  <c r="E426" i="3"/>
  <c r="E143" i="3"/>
  <c r="E292" i="3"/>
  <c r="E60" i="3"/>
  <c r="E75" i="3"/>
  <c r="E178" i="3"/>
  <c r="J6" i="3"/>
  <c r="E48" i="3"/>
  <c r="E438" i="3"/>
  <c r="E455" i="3"/>
  <c r="E363" i="3"/>
  <c r="E79" i="3"/>
  <c r="E401" i="3"/>
  <c r="E272" i="3"/>
  <c r="E102" i="3"/>
  <c r="E25" i="3"/>
  <c r="E258" i="3"/>
  <c r="E479" i="3"/>
  <c r="E43" i="3"/>
  <c r="E276" i="3"/>
  <c r="E259" i="3"/>
  <c r="E370" i="3"/>
  <c r="E308" i="3"/>
  <c r="E526" i="3"/>
  <c r="E416" i="3"/>
  <c r="E477" i="3"/>
  <c r="E96" i="3"/>
  <c r="E540" i="3"/>
  <c r="E160"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AD11" i="46"/>
  <c r="AD13" i="46" s="1"/>
  <c r="C101" i="46"/>
  <c r="C107" i="46" s="1"/>
  <c r="E447" i="3"/>
  <c r="E547" i="3"/>
  <c r="E32" i="3"/>
  <c r="E274" i="3"/>
  <c r="E101" i="46"/>
  <c r="E103" i="46" s="1"/>
  <c r="E121" i="3"/>
  <c r="E197" i="3"/>
  <c r="AG6" i="3"/>
  <c r="AQ6" i="3"/>
  <c r="E74" i="3"/>
  <c r="E58" i="3"/>
  <c r="E105" i="3"/>
  <c r="E453" i="3"/>
  <c r="E448" i="3"/>
  <c r="E400" i="3"/>
  <c r="V6" i="3"/>
  <c r="E517" i="3"/>
  <c r="E309" i="3"/>
  <c r="E347" i="3"/>
  <c r="E369" i="3"/>
  <c r="E220" i="3"/>
  <c r="E243" i="3"/>
  <c r="E279" i="3"/>
  <c r="E264" i="3"/>
  <c r="E126" i="3"/>
  <c r="E365" i="3"/>
  <c r="E73" i="3"/>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B113" i="46"/>
  <c r="D118" i="46" s="1"/>
  <c r="E118" i="46" s="1"/>
  <c r="F118" i="46" s="1"/>
  <c r="F101" i="46"/>
  <c r="F103" i="46" s="1"/>
  <c r="E58" i="39"/>
  <c r="F27" i="6"/>
  <c r="F31" i="6" s="1"/>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7" i="6"/>
  <c r="K22" i="6" s="1"/>
  <c r="M22" i="6" s="1"/>
  <c r="I22" i="6" s="1"/>
  <c r="S22" i="6" s="1"/>
  <c r="E53" i="40"/>
  <c r="J101" i="46"/>
  <c r="J107" i="46" s="1"/>
  <c r="L101" i="46"/>
  <c r="L105" i="46" s="1"/>
  <c r="K101" i="46"/>
  <c r="K106" i="46" s="1"/>
  <c r="H16" i="1"/>
  <c r="L27" i="6"/>
  <c r="F30" i="6"/>
  <c r="E28" i="6"/>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K26" i="6"/>
  <c r="M26" i="6" s="1"/>
  <c r="I26" i="6" s="1"/>
  <c r="S26" i="6" s="1"/>
  <c r="K23" i="6"/>
  <c r="M23" i="6" s="1"/>
  <c r="I23" i="6" s="1"/>
  <c r="S23" i="6" s="1"/>
  <c r="K19" i="6"/>
  <c r="S6" i="1" s="1"/>
  <c r="K20" i="6"/>
  <c r="M20" i="6" s="1"/>
  <c r="I20" i="6" s="1"/>
  <c r="S20" i="6" s="1"/>
  <c r="K14" i="1"/>
  <c r="G30" i="6"/>
  <c r="G31" i="6" s="1"/>
  <c r="E29" i="6"/>
  <c r="Q16" i="1"/>
  <c r="F24" i="43" s="1"/>
  <c r="C26" i="43" s="1"/>
  <c r="D24" i="43" s="1"/>
  <c r="BL13" i="3"/>
  <c r="O6" i="1"/>
  <c r="P6" i="1" s="1"/>
  <c r="E12" i="6"/>
  <c r="E14" i="6"/>
  <c r="E15" i="6"/>
  <c r="E13" i="6"/>
  <c r="E10" i="6"/>
  <c r="E11" i="6"/>
  <c r="BL5" i="3"/>
  <c r="AZ13" i="3"/>
  <c r="AZ5" i="3" s="1"/>
  <c r="S16" i="1"/>
  <c r="O7" i="1"/>
  <c r="P7" i="1" s="1"/>
  <c r="O11" i="1"/>
  <c r="P11" i="1" s="1"/>
  <c r="O13" i="1"/>
  <c r="P13" i="1" s="1"/>
  <c r="O9" i="1"/>
  <c r="P9" i="1" s="1"/>
  <c r="O8" i="1"/>
  <c r="P8" i="1" s="1"/>
  <c r="O12" i="1"/>
  <c r="P12" i="1" s="1"/>
  <c r="G6" i="1"/>
  <c r="G16" i="1" s="1"/>
  <c r="F12" i="39" s="1"/>
  <c r="AA12" i="39" s="1"/>
  <c r="G52" i="21"/>
  <c r="H52" i="21" s="1"/>
  <c r="G53" i="21"/>
  <c r="H53" i="21" s="1"/>
  <c r="J46" i="36"/>
  <c r="K46" i="36" s="1"/>
  <c r="L46" i="36" s="1"/>
  <c r="M46" i="36" s="1"/>
  <c r="N46" i="36" s="1"/>
  <c r="O46" i="36" s="1"/>
  <c r="J7" i="36"/>
  <c r="H7" i="36"/>
  <c r="E59" i="34"/>
  <c r="D70" i="39"/>
  <c r="C72" i="39"/>
  <c r="F48" i="35"/>
  <c r="G52" i="37"/>
  <c r="F7" i="36"/>
  <c r="H7" i="33"/>
  <c r="D58" i="33"/>
  <c r="E58" i="33" s="1"/>
  <c r="F58" i="33" s="1"/>
  <c r="G58" i="33" s="1"/>
  <c r="H58" i="33" s="1"/>
  <c r="I58" i="33" s="1"/>
  <c r="J58" i="33" s="1"/>
  <c r="K58" i="33" s="1"/>
  <c r="L58" i="33" s="1"/>
  <c r="M58" i="33" s="1"/>
  <c r="N58" i="33" s="1"/>
  <c r="O58" i="33" s="1"/>
  <c r="J7" i="33"/>
  <c r="C67" i="40"/>
  <c r="D65" i="40"/>
  <c r="C27" i="43"/>
  <c r="C31" i="43"/>
  <c r="C15" i="43"/>
  <c r="C25" i="12"/>
  <c r="C28" i="15"/>
  <c r="C30" i="44"/>
  <c r="C29" i="12"/>
  <c r="AP16" i="1"/>
  <c r="D23" i="15"/>
  <c r="J103" i="46"/>
  <c r="J109" i="46"/>
  <c r="L102" i="46"/>
  <c r="L104" i="46"/>
  <c r="L103" i="46"/>
  <c r="K104" i="46"/>
  <c r="K103" i="46"/>
  <c r="K102" i="46"/>
  <c r="C106" i="46"/>
  <c r="C102" i="46"/>
  <c r="C103" i="46"/>
  <c r="I116" i="46"/>
  <c r="J116" i="46" s="1"/>
  <c r="K116" i="46" s="1"/>
  <c r="L116" i="46" s="1"/>
  <c r="M116" i="46" s="1"/>
  <c r="B115" i="46"/>
  <c r="G118" i="46"/>
  <c r="H118" i="46" s="1"/>
  <c r="D115" i="46"/>
  <c r="E115" i="46" s="1"/>
  <c r="F115" i="46" s="1"/>
  <c r="G115" i="46" s="1"/>
  <c r="H115" i="46" s="1"/>
  <c r="D116" i="46"/>
  <c r="E116" i="46" s="1"/>
  <c r="F116" i="46" s="1"/>
  <c r="G116" i="46" s="1"/>
  <c r="H116" i="46" s="1"/>
  <c r="E104" i="46"/>
  <c r="E105" i="46"/>
  <c r="E107" i="46"/>
  <c r="F107" i="46"/>
  <c r="F102" i="46"/>
  <c r="F104" i="46"/>
  <c r="AB11" i="46"/>
  <c r="AB13" i="46" s="1"/>
  <c r="AE11" i="46"/>
  <c r="AE13" i="46" s="1"/>
  <c r="AJ11" i="46"/>
  <c r="AJ13" i="46" s="1"/>
  <c r="AF11" i="46"/>
  <c r="AF13" i="46" s="1"/>
  <c r="Y11" i="46"/>
  <c r="Y13" i="46" s="1"/>
  <c r="AG11" i="46"/>
  <c r="AG13" i="46" s="1"/>
  <c r="AC11" i="46"/>
  <c r="AC13" i="46" s="1"/>
  <c r="E22" i="46"/>
  <c r="H101" i="46"/>
  <c r="M101" i="46"/>
  <c r="D101" i="46"/>
  <c r="I101" i="46"/>
  <c r="G22" i="46"/>
  <c r="G101" i="46"/>
  <c r="N104" i="45"/>
  <c r="F22" i="46"/>
  <c r="Z7" i="46"/>
  <c r="N101" i="46"/>
  <c r="Z11" i="46"/>
  <c r="Z13" i="46" s="1"/>
  <c r="AH11" i="46"/>
  <c r="AH13" i="46" s="1"/>
  <c r="C23" i="46"/>
  <c r="AI11" i="46"/>
  <c r="AI13" i="46" s="1"/>
  <c r="H22" i="46"/>
  <c r="C5" i="46"/>
  <c r="C6" i="59"/>
  <c r="C5" i="59" s="1"/>
  <c r="D5" i="59" s="1"/>
  <c r="B6" i="52"/>
  <c r="E7" i="52"/>
  <c r="E6" i="52"/>
  <c r="E4" i="4" s="1"/>
  <c r="B21" i="55" s="1"/>
  <c r="B72" i="63" s="1"/>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C4" i="4" s="1"/>
  <c r="B20" i="55" s="1"/>
  <c r="B70" i="63" s="1"/>
  <c r="E21" i="52"/>
  <c r="M19" i="44"/>
  <c r="F33" i="44"/>
  <c r="M17" i="15"/>
  <c r="F31" i="15"/>
  <c r="F58" i="15"/>
  <c r="E3" i="65"/>
  <c r="C17" i="15"/>
  <c r="C16" i="15"/>
  <c r="C18" i="44"/>
  <c r="E2" i="65"/>
  <c r="I118" i="46" l="1"/>
  <c r="J118" i="46" s="1"/>
  <c r="K118" i="46" s="1"/>
  <c r="L118" i="46" s="1"/>
  <c r="M118" i="46" s="1"/>
  <c r="D117" i="46"/>
  <c r="E117" i="46" s="1"/>
  <c r="F117" i="46" s="1"/>
  <c r="G117" i="46" s="1"/>
  <c r="H117" i="46" s="1"/>
  <c r="B116" i="46"/>
  <c r="C116" i="46" s="1"/>
  <c r="I117" i="46"/>
  <c r="J117" i="46" s="1"/>
  <c r="K117" i="46" s="1"/>
  <c r="L117" i="46" s="1"/>
  <c r="M117" i="46" s="1"/>
  <c r="C104" i="46"/>
  <c r="C105" i="46"/>
  <c r="L107" i="46"/>
  <c r="J12" i="40"/>
  <c r="H86" i="46"/>
  <c r="H83" i="46"/>
  <c r="H82" i="46"/>
  <c r="H12" i="40"/>
  <c r="J12" i="39"/>
  <c r="C109" i="46"/>
  <c r="F106" i="46"/>
  <c r="F105" i="46"/>
  <c r="F109" i="46"/>
  <c r="E109" i="46"/>
  <c r="E106" i="46"/>
  <c r="K107" i="46"/>
  <c r="K105" i="46"/>
  <c r="K109" i="46"/>
  <c r="J102" i="46"/>
  <c r="J105" i="46"/>
  <c r="J104" i="46"/>
  <c r="E102" i="46"/>
  <c r="K25" i="6"/>
  <c r="M25" i="6" s="1"/>
  <c r="I25" i="6" s="1"/>
  <c r="S25" i="6" s="1"/>
  <c r="K24" i="6"/>
  <c r="M24" i="6" s="1"/>
  <c r="I24" i="6" s="1"/>
  <c r="S24" i="6" s="1"/>
  <c r="K21" i="6"/>
  <c r="M21" i="6" s="1"/>
  <c r="I21" i="6" s="1"/>
  <c r="S21" i="6" s="1"/>
  <c r="B118" i="46"/>
  <c r="C118" i="46" s="1"/>
  <c r="B117" i="46"/>
  <c r="C117" i="46" s="1"/>
  <c r="I115" i="46"/>
  <c r="J115" i="46" s="1"/>
  <c r="K115" i="46" s="1"/>
  <c r="L115" i="46" s="1"/>
  <c r="M115" i="46" s="1"/>
  <c r="J106" i="46"/>
  <c r="L109" i="46"/>
  <c r="L106" i="46"/>
  <c r="H6" i="3"/>
  <c r="AC6" i="3"/>
  <c r="F12" i="40"/>
  <c r="S12" i="39"/>
  <c r="E16" i="6"/>
  <c r="F18" i="11"/>
  <c r="F33" i="12"/>
  <c r="C34" i="12" s="1"/>
  <c r="D33" i="12" s="1"/>
  <c r="E30" i="6"/>
  <c r="E31" i="6" s="1"/>
  <c r="K15" i="1"/>
  <c r="K16" i="1" s="1"/>
  <c r="M14" i="1"/>
  <c r="K27" i="6"/>
  <c r="M19" i="6"/>
  <c r="E67" i="39"/>
  <c r="E62" i="40"/>
  <c r="E64" i="39"/>
  <c r="E59" i="40"/>
  <c r="E3" i="6"/>
  <c r="AY6" i="3"/>
  <c r="E58" i="40"/>
  <c r="E63" i="39"/>
  <c r="E60" i="40"/>
  <c r="E65" i="39"/>
  <c r="E61" i="40"/>
  <c r="E66" i="39"/>
  <c r="H12" i="39"/>
  <c r="F7" i="33"/>
  <c r="H52" i="37"/>
  <c r="G48" i="35"/>
  <c r="E70" i="39"/>
  <c r="D72" i="39"/>
  <c r="W7" i="36"/>
  <c r="AC7" i="36"/>
  <c r="V36" i="36" s="1"/>
  <c r="I36" i="36" s="1"/>
  <c r="E65" i="40"/>
  <c r="D67" i="40"/>
  <c r="AC7" i="33"/>
  <c r="V48" i="33" s="1"/>
  <c r="I48" i="33" s="1"/>
  <c r="W7" i="33"/>
  <c r="AB7" i="33"/>
  <c r="T48" i="33" s="1"/>
  <c r="G48" i="33" s="1"/>
  <c r="U7" i="33"/>
  <c r="AA7" i="36"/>
  <c r="R36" i="36" s="1"/>
  <c r="S7" i="36"/>
  <c r="F59" i="34"/>
  <c r="AB7" i="36"/>
  <c r="T36" i="36" s="1"/>
  <c r="G36" i="36" s="1"/>
  <c r="U7" i="36"/>
  <c r="AA12" i="40"/>
  <c r="S12" i="40"/>
  <c r="U12" i="40"/>
  <c r="AB12" i="40"/>
  <c r="W12" i="39"/>
  <c r="AC12" i="39"/>
  <c r="D102" i="46"/>
  <c r="D104" i="46"/>
  <c r="D106" i="46"/>
  <c r="D109" i="46"/>
  <c r="D103" i="46"/>
  <c r="D105" i="46"/>
  <c r="D107" i="46"/>
  <c r="H104" i="46"/>
  <c r="H105" i="46"/>
  <c r="H106" i="46"/>
  <c r="H109" i="46"/>
  <c r="H102" i="46"/>
  <c r="H103" i="46"/>
  <c r="H107" i="46"/>
  <c r="N109" i="46"/>
  <c r="N105" i="46"/>
  <c r="N102" i="46"/>
  <c r="N107" i="46"/>
  <c r="N103" i="46"/>
  <c r="N106" i="46"/>
  <c r="N104" i="46"/>
  <c r="G104" i="46"/>
  <c r="G102" i="46"/>
  <c r="G107" i="46"/>
  <c r="G109" i="46"/>
  <c r="G105" i="46"/>
  <c r="G103" i="46"/>
  <c r="G106" i="46"/>
  <c r="I102" i="46"/>
  <c r="I109" i="46"/>
  <c r="I107" i="46"/>
  <c r="I105" i="46"/>
  <c r="I103" i="46"/>
  <c r="I104" i="46"/>
  <c r="I106" i="46"/>
  <c r="M104" i="46"/>
  <c r="M103" i="46"/>
  <c r="M105" i="46"/>
  <c r="M107" i="46"/>
  <c r="M109" i="46"/>
  <c r="M102" i="46"/>
  <c r="M106" i="46"/>
  <c r="D22" i="46"/>
  <c r="C21" i="46" s="1"/>
  <c r="C115" i="46"/>
  <c r="D113" i="46" s="1"/>
  <c r="C48" i="15"/>
  <c r="F17" i="11"/>
  <c r="B40" i="1"/>
  <c r="O17" i="46"/>
  <c r="P17" i="46"/>
  <c r="G20" i="46" s="1"/>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S4" i="46" l="1"/>
  <c r="AC12" i="40"/>
  <c r="W12" i="40"/>
  <c r="S3" i="46"/>
  <c r="E41" i="46"/>
  <c r="C41" i="46" s="1"/>
  <c r="C20" i="46"/>
  <c r="T4" i="46" s="1"/>
  <c r="V4" i="46" s="1"/>
  <c r="S7" i="46"/>
  <c r="S5" i="46"/>
  <c r="T5" i="46" s="1"/>
  <c r="V5" i="46" s="1"/>
  <c r="S2" i="46"/>
  <c r="E6" i="3"/>
  <c r="S6" i="46"/>
  <c r="M27" i="6"/>
  <c r="I19" i="6"/>
  <c r="O14" i="1"/>
  <c r="O16" i="1" s="1"/>
  <c r="P14" i="1"/>
  <c r="P16" i="1" s="1"/>
  <c r="C13" i="12" s="1"/>
  <c r="T9" i="1"/>
  <c r="T12" i="1"/>
  <c r="T6" i="1"/>
  <c r="M16" i="1"/>
  <c r="T13" i="1"/>
  <c r="T11" i="1"/>
  <c r="T10" i="1"/>
  <c r="T8" i="1"/>
  <c r="T7" i="1"/>
  <c r="N16" i="1"/>
  <c r="C29" i="43" s="1"/>
  <c r="D16" i="12"/>
  <c r="E6" i="6"/>
  <c r="L38" i="9"/>
  <c r="B14" i="66" s="1"/>
  <c r="B1" i="66" s="1"/>
  <c r="D44" i="9"/>
  <c r="D16" i="43"/>
  <c r="C16" i="43" s="1"/>
  <c r="C21" i="4"/>
  <c r="O5" i="54" s="1"/>
  <c r="B45" i="63" s="1"/>
  <c r="D45" i="9"/>
  <c r="D46" i="9"/>
  <c r="AY537" i="3"/>
  <c r="AY53" i="3"/>
  <c r="AY73" i="3"/>
  <c r="AY74" i="3"/>
  <c r="AY144" i="3"/>
  <c r="AY98" i="3"/>
  <c r="AY57" i="3"/>
  <c r="AY136"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0" i="3"/>
  <c r="AY47" i="3"/>
  <c r="AY126" i="3"/>
  <c r="AY106"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127" i="3"/>
  <c r="AY531" i="3"/>
  <c r="AY32" i="3"/>
  <c r="AY388" i="3"/>
  <c r="AY498" i="3"/>
  <c r="AY137" i="3"/>
  <c r="AY456" i="3"/>
  <c r="BD6" i="3"/>
  <c r="AY494" i="3"/>
  <c r="AY510" i="3"/>
  <c r="AY526" i="3"/>
  <c r="AY567" i="3"/>
  <c r="AY566" i="3"/>
  <c r="AY40" i="3"/>
  <c r="AY48" i="3"/>
  <c r="AY276" i="3"/>
  <c r="AY212" i="3"/>
  <c r="AY401" i="3"/>
  <c r="AY19" i="3"/>
  <c r="AY538" i="3"/>
  <c r="AY488" i="3"/>
  <c r="AY281" i="3"/>
  <c r="AY215" i="3"/>
  <c r="AY436" i="3"/>
  <c r="BB6" i="3"/>
  <c r="AY495" i="3"/>
  <c r="AY513" i="3"/>
  <c r="AY534" i="3"/>
  <c r="AY504" i="3"/>
  <c r="AY83" i="3"/>
  <c r="AY182" i="3"/>
  <c r="AY45"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86" i="3"/>
  <c r="AY27" i="3"/>
  <c r="AY24" i="3"/>
  <c r="AY268" i="3"/>
  <c r="AY431" i="3"/>
  <c r="BN6" i="3"/>
  <c r="AY239"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568" i="3"/>
  <c r="AY61" i="3"/>
  <c r="AY251" i="3"/>
  <c r="AY347" i="3"/>
  <c r="AY451" i="3"/>
  <c r="AY23" i="3"/>
  <c r="AY296" i="3"/>
  <c r="AY345" i="3"/>
  <c r="AY54" i="3"/>
  <c r="AY23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22" i="3"/>
  <c r="AY113" i="3"/>
  <c r="AY267" i="3"/>
  <c r="AY557" i="3"/>
  <c r="AY395" i="3"/>
  <c r="AY192" i="3"/>
  <c r="AY363" i="3"/>
  <c r="AY478" i="3"/>
  <c r="AY189" i="3"/>
  <c r="AY387"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AY486" i="3"/>
  <c r="AY82" i="3"/>
  <c r="AY80" i="3"/>
  <c r="AY37" i="3"/>
  <c r="AY67" i="3"/>
  <c r="AY41" i="3"/>
  <c r="AY58" i="3"/>
  <c r="AY203" i="3"/>
  <c r="AY159" i="3"/>
  <c r="AY128" i="3"/>
  <c r="AY179" i="3"/>
  <c r="AY95" i="3"/>
  <c r="AY105" i="3"/>
  <c r="AY36" i="3"/>
  <c r="AY274" i="3"/>
  <c r="AY150" i="3"/>
  <c r="BL6" i="3"/>
  <c r="AY64" i="3"/>
  <c r="AY154" i="3"/>
  <c r="AY42" i="3"/>
  <c r="AY160" i="3"/>
  <c r="AY515" i="3"/>
  <c r="AY75" i="3"/>
  <c r="AY175"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530" i="3"/>
  <c r="AY549" i="3"/>
  <c r="AY87" i="3"/>
  <c r="AY69" i="3"/>
  <c r="AY97" i="3"/>
  <c r="AY88" i="3"/>
  <c r="AY109" i="3"/>
  <c r="AY26" i="3"/>
  <c r="AY198" i="3"/>
  <c r="AY129" i="3"/>
  <c r="AY142" i="3"/>
  <c r="AY529" i="3"/>
  <c r="AY77" i="3"/>
  <c r="AY104" i="3"/>
  <c r="AY34" i="3"/>
  <c r="AY145" i="3"/>
  <c r="AY13" i="3"/>
  <c r="AY103" i="3"/>
  <c r="AY21" i="3"/>
  <c r="AY52" i="3"/>
  <c r="AY191" i="3"/>
  <c r="AY204" i="3"/>
  <c r="AY92" i="3"/>
  <c r="AY31"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U12" i="39"/>
  <c r="AB12" i="39"/>
  <c r="G40" i="36"/>
  <c r="H40" i="36" s="1"/>
  <c r="G41" i="36"/>
  <c r="H41" i="36" s="1"/>
  <c r="G59" i="34"/>
  <c r="H59" i="34" s="1"/>
  <c r="I59" i="34" s="1"/>
  <c r="J59" i="34" s="1"/>
  <c r="K59" i="34" s="1"/>
  <c r="L59" i="34" s="1"/>
  <c r="M59" i="34" s="1"/>
  <c r="N59" i="34" s="1"/>
  <c r="O59" i="34" s="1"/>
  <c r="F7" i="34"/>
  <c r="E36" i="36"/>
  <c r="R37" i="36"/>
  <c r="G52" i="33"/>
  <c r="H52" i="33" s="1"/>
  <c r="G53" i="33"/>
  <c r="H53" i="33" s="1"/>
  <c r="I52" i="33"/>
  <c r="J52" i="33" s="1"/>
  <c r="E67" i="40"/>
  <c r="F65" i="40"/>
  <c r="E72" i="39"/>
  <c r="F70" i="39"/>
  <c r="AA7" i="33"/>
  <c r="R48" i="33" s="1"/>
  <c r="S7" i="33"/>
  <c r="H7" i="34"/>
  <c r="J7" i="34"/>
  <c r="I40" i="36"/>
  <c r="J40" i="36" s="1"/>
  <c r="I41" i="36"/>
  <c r="J41" i="36" s="1"/>
  <c r="H48" i="35"/>
  <c r="I52" i="37"/>
  <c r="J28" i="44"/>
  <c r="J31" i="44" s="1"/>
  <c r="J26" i="44"/>
  <c r="J20" i="44"/>
  <c r="F21" i="43"/>
  <c r="C23" i="43" s="1"/>
  <c r="D21" i="43" s="1"/>
  <c r="F24" i="15"/>
  <c r="C24" i="15" s="1"/>
  <c r="F26" i="44"/>
  <c r="C26" i="44" s="1"/>
  <c r="F26" i="12"/>
  <c r="C34" i="44"/>
  <c r="C40" i="44"/>
  <c r="C52" i="15"/>
  <c r="C47" i="15" s="1"/>
  <c r="C10" i="15"/>
  <c r="C5" i="15" s="1"/>
  <c r="J26" i="15"/>
  <c r="J29" i="15" s="1"/>
  <c r="J24" i="15"/>
  <c r="J18" i="15"/>
  <c r="C14" i="15"/>
  <c r="C16" i="44"/>
  <c r="L52" i="44"/>
  <c r="T6" i="46" l="1"/>
  <c r="V6" i="46" s="1"/>
  <c r="T2" i="46"/>
  <c r="V2" i="46" s="1"/>
  <c r="C15" i="11"/>
  <c r="C10" i="11" s="1"/>
  <c r="T7" i="46"/>
  <c r="V7" i="46" s="1"/>
  <c r="C39" i="46"/>
  <c r="C38" i="46"/>
  <c r="C35" i="46"/>
  <c r="T9" i="46"/>
  <c r="V9" i="46" s="1"/>
  <c r="C33" i="46"/>
  <c r="T16" i="46"/>
  <c r="V16" i="46" s="1"/>
  <c r="C36" i="46"/>
  <c r="T15" i="46"/>
  <c r="V15" i="46" s="1"/>
  <c r="T14" i="46"/>
  <c r="V14" i="46" s="1"/>
  <c r="C29" i="46"/>
  <c r="T12" i="46"/>
  <c r="V12" i="46" s="1"/>
  <c r="C37" i="46"/>
  <c r="T8" i="46"/>
  <c r="V8" i="46" s="1"/>
  <c r="T13" i="46"/>
  <c r="V13" i="46" s="1"/>
  <c r="C34" i="46"/>
  <c r="T11" i="46"/>
  <c r="V11" i="46" s="1"/>
  <c r="T10" i="46"/>
  <c r="V10" i="46" s="1"/>
  <c r="T3" i="46"/>
  <c r="V3" i="46" s="1"/>
  <c r="C20" i="44"/>
  <c r="C17" i="44"/>
  <c r="C18" i="15"/>
  <c r="C15" i="15"/>
  <c r="L16" i="1"/>
  <c r="C13" i="43"/>
  <c r="C14" i="12"/>
  <c r="C17" i="12"/>
  <c r="S19" i="6"/>
  <c r="S27" i="6" s="1"/>
  <c r="I27" i="6"/>
  <c r="T16" i="1"/>
  <c r="D22" i="12"/>
  <c r="C22" i="12" s="1"/>
  <c r="C20" i="12" s="1"/>
  <c r="D13" i="11"/>
  <c r="C13" i="11" s="1"/>
  <c r="D19" i="6"/>
  <c r="H21" i="6"/>
  <c r="D14" i="6"/>
  <c r="E45" i="9"/>
  <c r="E68" i="39"/>
  <c r="K38" i="9"/>
  <c r="C14" i="66" s="1"/>
  <c r="B2" i="66" s="1"/>
  <c r="D26" i="6"/>
  <c r="D11" i="6"/>
  <c r="H20" i="6"/>
  <c r="D9" i="6"/>
  <c r="D29" i="6"/>
  <c r="D15" i="6"/>
  <c r="E44" i="9"/>
  <c r="D21" i="6"/>
  <c r="R21" i="6" s="1"/>
  <c r="D13" i="6"/>
  <c r="D23" i="6"/>
  <c r="D20" i="6"/>
  <c r="R20" i="6" s="1"/>
  <c r="F45" i="9"/>
  <c r="E63" i="40"/>
  <c r="D10" i="6"/>
  <c r="D6" i="6"/>
  <c r="D8" i="6"/>
  <c r="D16" i="6" s="1"/>
  <c r="F44" i="9"/>
  <c r="H19" i="6"/>
  <c r="D24" i="6"/>
  <c r="D22" i="6"/>
  <c r="D12" i="6"/>
  <c r="H25" i="6"/>
  <c r="D5" i="6"/>
  <c r="H22" i="6"/>
  <c r="H26" i="6"/>
  <c r="F46" i="9"/>
  <c r="C22" i="4"/>
  <c r="D25" i="6"/>
  <c r="R25" i="6" s="1"/>
  <c r="H24" i="6"/>
  <c r="D28" i="6"/>
  <c r="D30" i="6" s="1"/>
  <c r="H23" i="6"/>
  <c r="E46" i="9"/>
  <c r="C7" i="66"/>
  <c r="C6" i="66"/>
  <c r="C8" i="66"/>
  <c r="D19" i="12"/>
  <c r="C19" i="12" s="1"/>
  <c r="C16" i="12"/>
  <c r="J52" i="37"/>
  <c r="W7" i="34"/>
  <c r="AC7" i="34"/>
  <c r="V49" i="34" s="1"/>
  <c r="I49" i="34" s="1"/>
  <c r="R49" i="33"/>
  <c r="E48" i="33"/>
  <c r="E40" i="36"/>
  <c r="F40" i="36" s="1"/>
  <c r="E41" i="36"/>
  <c r="F41" i="36" s="1"/>
  <c r="I48" i="35"/>
  <c r="AB7" i="34"/>
  <c r="T49" i="34" s="1"/>
  <c r="G49" i="34" s="1"/>
  <c r="U7" i="34"/>
  <c r="F72" i="39"/>
  <c r="G70" i="39"/>
  <c r="F67" i="40"/>
  <c r="G65" i="40"/>
  <c r="C37" i="36"/>
  <c r="B3" i="36" s="1"/>
  <c r="B2" i="36" s="1"/>
  <c r="C36" i="36"/>
  <c r="S7" i="34"/>
  <c r="AA7" i="34"/>
  <c r="R49" i="34" s="1"/>
  <c r="Q69" i="44"/>
  <c r="L58" i="44"/>
  <c r="L61" i="44" s="1"/>
  <c r="L47" i="44" s="1"/>
  <c r="C32" i="15"/>
  <c r="C38" i="15"/>
  <c r="C59" i="15"/>
  <c r="C65" i="15"/>
  <c r="C27" i="12"/>
  <c r="D26" i="12" s="1"/>
  <c r="C32" i="12" s="1"/>
  <c r="D30" i="12" s="1"/>
  <c r="Q49" i="44"/>
  <c r="Q55" i="44" s="1"/>
  <c r="Q67" i="44"/>
  <c r="Q58" i="44"/>
  <c r="C17" i="11" l="1"/>
  <c r="C19" i="11" s="1"/>
  <c r="C20" i="11" s="1"/>
  <c r="C21" i="11" s="1"/>
  <c r="C22" i="11" s="1"/>
  <c r="C23" i="11" s="1"/>
  <c r="B2" i="11" s="1"/>
  <c r="C18" i="11"/>
  <c r="C18" i="12"/>
  <c r="G37" i="46"/>
  <c r="I37" i="46" s="1"/>
  <c r="E37" i="46"/>
  <c r="C30" i="46"/>
  <c r="E30" i="46" s="1"/>
  <c r="E29" i="46"/>
  <c r="E38" i="46"/>
  <c r="G38" i="46"/>
  <c r="I38" i="46" s="1"/>
  <c r="E34" i="46"/>
  <c r="G34" i="46"/>
  <c r="I34" i="46" s="1"/>
  <c r="G36" i="46"/>
  <c r="I36" i="46" s="1"/>
  <c r="E36" i="46"/>
  <c r="E33" i="46"/>
  <c r="G33" i="46"/>
  <c r="I33" i="46" s="1"/>
  <c r="E35" i="46"/>
  <c r="G35" i="46"/>
  <c r="I35" i="46" s="1"/>
  <c r="G39" i="46"/>
  <c r="I39" i="46" s="1"/>
  <c r="E39" i="46"/>
  <c r="H27" i="6"/>
  <c r="C19" i="15"/>
  <c r="C20" i="15" s="1"/>
  <c r="C21" i="44"/>
  <c r="C23" i="12"/>
  <c r="C14" i="43"/>
  <c r="C17" i="43"/>
  <c r="R22" i="6"/>
  <c r="R23" i="6"/>
  <c r="D6" i="66"/>
  <c r="D7" i="66"/>
  <c r="D8" i="66"/>
  <c r="N5" i="54"/>
  <c r="B43" i="63" s="1"/>
  <c r="A20" i="64"/>
  <c r="A6" i="51"/>
  <c r="B7" i="63" s="1"/>
  <c r="A6" i="64"/>
  <c r="A20" i="51"/>
  <c r="B15" i="63" s="1"/>
  <c r="R24" i="6"/>
  <c r="R26" i="6"/>
  <c r="D27" i="6"/>
  <c r="D31" i="6" s="1"/>
  <c r="R19" i="6"/>
  <c r="R6" i="1" s="1"/>
  <c r="R16" i="1" s="1"/>
  <c r="R50" i="34"/>
  <c r="E49" i="34"/>
  <c r="G67" i="40"/>
  <c r="H65" i="40"/>
  <c r="G72" i="39"/>
  <c r="H70" i="39"/>
  <c r="G54" i="34"/>
  <c r="H54" i="34" s="1"/>
  <c r="G53" i="34"/>
  <c r="H53" i="34" s="1"/>
  <c r="J48" i="35"/>
  <c r="E52" i="33"/>
  <c r="F52" i="33" s="1"/>
  <c r="E53" i="33"/>
  <c r="F53" i="33" s="1"/>
  <c r="I53" i="33"/>
  <c r="J53" i="33" s="1"/>
  <c r="I53" i="34"/>
  <c r="J53" i="34" s="1"/>
  <c r="I54" i="34"/>
  <c r="J54" i="34" s="1"/>
  <c r="C48" i="33"/>
  <c r="C49" i="33"/>
  <c r="B3" i="33" s="1"/>
  <c r="B2" i="33" s="1"/>
  <c r="K52" i="37"/>
  <c r="Q68" i="44"/>
  <c r="Q77" i="44" s="1"/>
  <c r="Q59" i="44"/>
  <c r="Q64" i="44" s="1"/>
  <c r="F7" i="67"/>
  <c r="C19" i="9"/>
  <c r="C22" i="44" l="1"/>
  <c r="C28" i="44" s="1"/>
  <c r="C18" i="43"/>
  <c r="C19" i="43" s="1"/>
  <c r="C25" i="43" s="1"/>
  <c r="C24" i="43" s="1"/>
  <c r="L43" i="9"/>
  <c r="B5" i="11"/>
  <c r="B4" i="11"/>
  <c r="B3" i="11"/>
  <c r="C26" i="15"/>
  <c r="C23" i="15"/>
  <c r="E4" i="67"/>
  <c r="C26" i="46"/>
  <c r="B2" i="46" s="1"/>
  <c r="C27" i="46"/>
  <c r="R27" i="6"/>
  <c r="C35" i="12"/>
  <c r="C33" i="12" s="1"/>
  <c r="C28" i="12"/>
  <c r="C26" i="12" s="1"/>
  <c r="C31" i="12" s="1"/>
  <c r="C30" i="12" s="1"/>
  <c r="I5" i="6"/>
  <c r="I6" i="6"/>
  <c r="C50" i="34"/>
  <c r="B3" i="34" s="1"/>
  <c r="B2" i="34" s="1"/>
  <c r="C49" i="34"/>
  <c r="L52" i="37"/>
  <c r="K48" i="35"/>
  <c r="H72" i="39"/>
  <c r="I70" i="39"/>
  <c r="H67" i="40"/>
  <c r="I65" i="40"/>
  <c r="E54" i="34"/>
  <c r="F54" i="34" s="1"/>
  <c r="E53" i="34"/>
  <c r="F53" i="34" s="1"/>
  <c r="C21" i="9"/>
  <c r="C20" i="9"/>
  <c r="E7" i="67"/>
  <c r="C25" i="44" l="1"/>
  <c r="C31" i="44" s="1"/>
  <c r="C29" i="15"/>
  <c r="C36" i="15" s="1"/>
  <c r="E3" i="67"/>
  <c r="C22" i="43"/>
  <c r="C21" i="43" s="1"/>
  <c r="C28" i="43" s="1"/>
  <c r="C30" i="43" s="1"/>
  <c r="C32" i="43" s="1"/>
  <c r="B2" i="43" s="1"/>
  <c r="B4" i="43" s="1"/>
  <c r="C36" i="12"/>
  <c r="B2" i="12" s="1"/>
  <c r="J65" i="40"/>
  <c r="I67" i="40"/>
  <c r="J70" i="39"/>
  <c r="I72" i="39"/>
  <c r="M52" i="37"/>
  <c r="L48" i="35"/>
  <c r="M48" i="35" s="1"/>
  <c r="N48" i="35" s="1"/>
  <c r="O48" i="35" s="1"/>
  <c r="H7" i="35" s="1"/>
  <c r="F7" i="35"/>
  <c r="J7" i="35"/>
  <c r="B7" i="67"/>
  <c r="D19" i="9"/>
  <c r="C38" i="44" l="1"/>
  <c r="J21" i="44"/>
  <c r="J19" i="44" s="1"/>
  <c r="C15" i="44"/>
  <c r="J16" i="44"/>
  <c r="Q51" i="44"/>
  <c r="C35" i="44"/>
  <c r="C33" i="44" s="1"/>
  <c r="J59" i="15"/>
  <c r="J60" i="15" s="1"/>
  <c r="Q49" i="15" s="1"/>
  <c r="B3" i="43"/>
  <c r="B5" i="43"/>
  <c r="J14" i="15"/>
  <c r="J22" i="15" s="1"/>
  <c r="C56" i="15"/>
  <c r="C60" i="15" s="1"/>
  <c r="C58" i="15" s="1"/>
  <c r="Q50" i="15"/>
  <c r="C33" i="15"/>
  <c r="C31" i="15" s="1"/>
  <c r="J19" i="15"/>
  <c r="J17" i="15" s="1"/>
  <c r="C13" i="15"/>
  <c r="C55" i="15" s="1"/>
  <c r="C64" i="15" s="1"/>
  <c r="L44" i="9"/>
  <c r="D22" i="9"/>
  <c r="G19" i="9"/>
  <c r="C3" i="73" s="1"/>
  <c r="C63" i="15"/>
  <c r="B2" i="67"/>
  <c r="B4" i="46"/>
  <c r="D4" i="46"/>
  <c r="B3" i="46"/>
  <c r="B5" i="12"/>
  <c r="B4" i="12"/>
  <c r="B3" i="12"/>
  <c r="AB7" i="35"/>
  <c r="T38" i="35" s="1"/>
  <c r="G38" i="35" s="1"/>
  <c r="U7" i="35"/>
  <c r="AA7" i="35"/>
  <c r="R38" i="35" s="1"/>
  <c r="S7" i="35"/>
  <c r="AC7" i="35"/>
  <c r="V38" i="35" s="1"/>
  <c r="I38" i="35" s="1"/>
  <c r="W7" i="35"/>
  <c r="N52" i="37"/>
  <c r="K70" i="39"/>
  <c r="J72" i="39"/>
  <c r="K65" i="40"/>
  <c r="J67" i="40"/>
  <c r="D21" i="9"/>
  <c r="D20" i="9"/>
  <c r="J24" i="44" l="1"/>
  <c r="J15" i="44"/>
  <c r="J25" i="44" s="1"/>
  <c r="Q72" i="44"/>
  <c r="C39" i="44"/>
  <c r="C32" i="44" s="1"/>
  <c r="C42" i="44" s="1"/>
  <c r="C43" i="44"/>
  <c r="J13" i="15"/>
  <c r="J23" i="15" s="1"/>
  <c r="J35" i="15"/>
  <c r="C10" i="73"/>
  <c r="E10" i="73" s="1"/>
  <c r="E3" i="73"/>
  <c r="Q71" i="15"/>
  <c r="C37" i="15"/>
  <c r="C30" i="15" s="1"/>
  <c r="C39" i="15" s="1"/>
  <c r="J39" i="15" s="1"/>
  <c r="J40" i="15" s="1"/>
  <c r="C57" i="15"/>
  <c r="C66" i="15" s="1"/>
  <c r="C67" i="15" s="1"/>
  <c r="G20" i="9"/>
  <c r="G21" i="9"/>
  <c r="C32" i="9"/>
  <c r="G22" i="9"/>
  <c r="N43" i="9"/>
  <c r="J16" i="15"/>
  <c r="J25" i="15" s="1"/>
  <c r="C40" i="15"/>
  <c r="C70" i="15"/>
  <c r="B3" i="67"/>
  <c r="B4" i="67"/>
  <c r="K67" i="40"/>
  <c r="L65" i="40"/>
  <c r="K72" i="39"/>
  <c r="L70" i="39"/>
  <c r="R39" i="35"/>
  <c r="E38" i="35"/>
  <c r="G42" i="35"/>
  <c r="H42" i="35" s="1"/>
  <c r="G43" i="35"/>
  <c r="H43" i="35" s="1"/>
  <c r="O52" i="37"/>
  <c r="F7" i="37"/>
  <c r="I42" i="35"/>
  <c r="J42" i="35" s="1"/>
  <c r="I43" i="35"/>
  <c r="J43" i="35" s="1"/>
  <c r="L51" i="15"/>
  <c r="J18" i="44" l="1"/>
  <c r="J27" i="44" s="1"/>
  <c r="Q71" i="44"/>
  <c r="Q70" i="44" s="1"/>
  <c r="C44" i="44"/>
  <c r="C45" i="44" s="1"/>
  <c r="B2" i="44" s="1"/>
  <c r="Q70" i="15"/>
  <c r="Q69" i="15" s="1"/>
  <c r="Q68" i="15"/>
  <c r="L57" i="15"/>
  <c r="L60" i="15" s="1"/>
  <c r="Q58" i="15" s="1"/>
  <c r="O38" i="9"/>
  <c r="C35" i="9"/>
  <c r="F42" i="9" s="1"/>
  <c r="C34" i="9"/>
  <c r="C42" i="9"/>
  <c r="C33" i="9"/>
  <c r="O43" i="9"/>
  <c r="C43" i="15"/>
  <c r="Q48" i="15"/>
  <c r="Q54" i="15" s="1"/>
  <c r="Q57" i="15"/>
  <c r="Q66" i="15"/>
  <c r="J42" i="15"/>
  <c r="J43" i="15" s="1"/>
  <c r="C46" i="15"/>
  <c r="L46" i="15"/>
  <c r="B2" i="15" s="1"/>
  <c r="B3" i="15" s="1"/>
  <c r="Q67" i="15"/>
  <c r="Q76" i="15" s="1"/>
  <c r="S7" i="37"/>
  <c r="AA7" i="37"/>
  <c r="R42" i="37" s="1"/>
  <c r="H7" i="37"/>
  <c r="J7" i="37"/>
  <c r="E43" i="35"/>
  <c r="F43" i="35" s="1"/>
  <c r="E42" i="35"/>
  <c r="F42" i="35" s="1"/>
  <c r="L72" i="39"/>
  <c r="M70" i="39"/>
  <c r="M65" i="40"/>
  <c r="L67" i="40"/>
  <c r="C39" i="35"/>
  <c r="B3" i="35" s="1"/>
  <c r="B2" i="35" s="1"/>
  <c r="C38" i="35"/>
  <c r="B3" i="44" l="1"/>
  <c r="B4" i="44"/>
  <c r="B5" i="44"/>
  <c r="Q63" i="15"/>
  <c r="D63" i="9"/>
  <c r="R5" i="54"/>
  <c r="B48" i="63" s="1"/>
  <c r="D14" i="66"/>
  <c r="N68" i="9"/>
  <c r="D42" i="9"/>
  <c r="Q5" i="54" s="1"/>
  <c r="B47" i="63" s="1"/>
  <c r="N38" i="9"/>
  <c r="K28" i="9" s="1"/>
  <c r="E42" i="9"/>
  <c r="P5" i="54" s="1"/>
  <c r="B46" i="63" s="1"/>
  <c r="M38" i="9"/>
  <c r="K27" i="9" s="1"/>
  <c r="K26" i="9"/>
  <c r="K25" i="9"/>
  <c r="N70" i="39"/>
  <c r="N72" i="39" s="1"/>
  <c r="M72" i="39"/>
  <c r="W7" i="37"/>
  <c r="AC7" i="37"/>
  <c r="V42" i="37" s="1"/>
  <c r="I42" i="37" s="1"/>
  <c r="R43" i="37"/>
  <c r="E42" i="37"/>
  <c r="M67" i="40"/>
  <c r="N65" i="40"/>
  <c r="N67" i="40" s="1"/>
  <c r="U7" i="37"/>
  <c r="AB7" i="37"/>
  <c r="T42" i="37" s="1"/>
  <c r="G42" i="37" s="1"/>
  <c r="B5" i="66" l="1"/>
  <c r="F14" i="66"/>
  <c r="E14" i="66"/>
  <c r="D77" i="9"/>
  <c r="N75" i="9" s="1"/>
  <c r="C82" i="9"/>
  <c r="C81" i="9" s="1"/>
  <c r="C85" i="9" s="1"/>
  <c r="C86" i="9" s="1"/>
  <c r="D72" i="9" s="1"/>
  <c r="C96" i="9"/>
  <c r="C91" i="9" s="1"/>
  <c r="D70" i="9"/>
  <c r="C111" i="9"/>
  <c r="C104" i="9" s="1"/>
  <c r="C103" i="9"/>
  <c r="D71" i="9"/>
  <c r="D66" i="9" s="1"/>
  <c r="N72" i="9" s="1"/>
  <c r="C90" i="9"/>
  <c r="J9" i="40"/>
  <c r="F9" i="40"/>
  <c r="H9" i="40"/>
  <c r="E46" i="37"/>
  <c r="F46" i="37" s="1"/>
  <c r="E47" i="37"/>
  <c r="F47" i="37" s="1"/>
  <c r="I46" i="37"/>
  <c r="J46" i="37" s="1"/>
  <c r="I47" i="37"/>
  <c r="J47" i="37" s="1"/>
  <c r="G46" i="37"/>
  <c r="H46" i="37" s="1"/>
  <c r="G47" i="37"/>
  <c r="H47" i="37" s="1"/>
  <c r="C42" i="37"/>
  <c r="C43" i="37"/>
  <c r="B3" i="37" s="1"/>
  <c r="B2" i="37" s="1"/>
  <c r="J9" i="39"/>
  <c r="F9" i="39"/>
  <c r="H9" i="39"/>
  <c r="C97" i="9" l="1"/>
  <c r="C98" i="9" s="1"/>
  <c r="E98" i="9" s="1"/>
  <c r="E99" i="9" s="1"/>
  <c r="C113" i="9"/>
  <c r="D5" i="66"/>
  <c r="C5" i="66"/>
  <c r="AB9" i="39"/>
  <c r="T49" i="39" s="1"/>
  <c r="G49" i="39" s="1"/>
  <c r="U9" i="39"/>
  <c r="AC9" i="39"/>
  <c r="V49" i="39" s="1"/>
  <c r="I49" i="39" s="1"/>
  <c r="W9" i="39"/>
  <c r="S9" i="40"/>
  <c r="AA9" i="40"/>
  <c r="R44" i="40" s="1"/>
  <c r="S9" i="39"/>
  <c r="AA9" i="39"/>
  <c r="R49" i="39" s="1"/>
  <c r="U9" i="40"/>
  <c r="AB9" i="40"/>
  <c r="T44" i="40" s="1"/>
  <c r="G44" i="40" s="1"/>
  <c r="W9" i="40"/>
  <c r="AC9" i="40"/>
  <c r="V44" i="40" s="1"/>
  <c r="I44" i="40" s="1"/>
  <c r="C99" i="9" l="1"/>
  <c r="C114" i="9"/>
  <c r="E114" i="9" s="1"/>
  <c r="E115" i="9" s="1"/>
  <c r="G48" i="40"/>
  <c r="H48" i="40" s="1"/>
  <c r="G49" i="40"/>
  <c r="H49" i="40" s="1"/>
  <c r="R50" i="39"/>
  <c r="E49" i="39"/>
  <c r="I54" i="39" s="1"/>
  <c r="J54" i="39" s="1"/>
  <c r="E44" i="40"/>
  <c r="I49" i="40" s="1"/>
  <c r="J49" i="40" s="1"/>
  <c r="R45" i="40"/>
  <c r="I48" i="40"/>
  <c r="J48" i="40" s="1"/>
  <c r="I53" i="39"/>
  <c r="J53" i="39" s="1"/>
  <c r="G54" i="39"/>
  <c r="H54" i="39" s="1"/>
  <c r="G53" i="39"/>
  <c r="H53" i="39" s="1"/>
  <c r="C115" i="9" l="1"/>
  <c r="D76" i="9" s="1"/>
  <c r="D74" i="9" s="1"/>
  <c r="N74" i="9" s="1"/>
  <c r="O77" i="9" s="1"/>
  <c r="O78" i="9" s="1"/>
  <c r="C44" i="40"/>
  <c r="C45" i="40"/>
  <c r="E53" i="39"/>
  <c r="F53" i="39" s="1"/>
  <c r="E54" i="39"/>
  <c r="F54" i="39" s="1"/>
  <c r="E48" i="40"/>
  <c r="F48" i="40" s="1"/>
  <c r="E49" i="40"/>
  <c r="F49" i="40" s="1"/>
  <c r="C50" i="39"/>
  <c r="C49" i="39"/>
  <c r="Q77" i="9" l="1"/>
  <c r="O79" i="9"/>
  <c r="O81" i="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5" i="39"/>
  <c r="F65" i="39" s="1"/>
  <c r="B66" i="39"/>
  <c r="F66" i="39" s="1"/>
  <c r="B60" i="39"/>
  <c r="F60" i="39" s="1"/>
  <c r="B58" i="39"/>
  <c r="F58" i="39" s="1"/>
  <c r="B63" i="39"/>
  <c r="F63" i="39" s="1"/>
  <c r="B61" i="39"/>
  <c r="F61" i="39" s="1"/>
  <c r="B62" i="39"/>
  <c r="F62" i="39" s="1"/>
  <c r="B59" i="39"/>
  <c r="F59" i="39" s="1"/>
  <c r="B64" i="39"/>
  <c r="F64" i="39" s="1"/>
  <c r="B67" i="39"/>
  <c r="F67" i="39" s="1"/>
  <c r="F68" i="39"/>
  <c r="B2" i="39" s="1"/>
  <c r="O80" i="9" l="1"/>
  <c r="B4" i="40"/>
  <c r="B3" i="40"/>
  <c r="B5" i="40"/>
  <c r="B4" i="39"/>
  <c r="B3"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<sst xmlns="http://schemas.openxmlformats.org/spreadsheetml/2006/main" count="7177" uniqueCount="3232">
  <si>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</si>
  <si>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</si>
  <si>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</si>
  <si>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</si>
  <si>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</si>
  <si>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</si>
  <si>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</si>
  <si>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</si>
  <si>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</si>
  <si>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</si>
  <si>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</si>
  <si>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</si>
  <si>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</si>
  <si>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</si>
  <si>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</si>
  <si>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</si>
  <si>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</si>
  <si>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</si>
  <si>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</si>
  <si>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</si>
  <si>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</si>
  <si>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</si>
  <si>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</si>
  <si>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</si>
  <si>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</si>
  <si>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</si>
  <si>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</si>
  <si>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</si>
  <si>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</si>
  <si>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</si>
  <si>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</si>
  <si>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</si>
  <si>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</si>
  <si>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</si>
  <si>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</si>
  <si>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</si>
  <si>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</si>
  <si>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</si>
  <si>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</si>
  <si>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</si>
  <si>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</si>
  <si>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</si>
  <si>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</si>
  <si>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</si>
  <si>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</si>
  <si>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</si>
  <si>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</si>
  <si>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</si>
  <si>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</si>
  <si>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</si>
  <si>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</si>
  <si>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</si>
  <si>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</si>
  <si>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</si>
  <si>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</si>
  <si>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</si>
  <si>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</si>
  <si>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</si>
  <si>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</si>
  <si>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</si>
  <si>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</si>
  <si>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</si>
  <si>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</si>
  <si>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</si>
  <si>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</si>
  <si>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</si>
  <si>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</si>
  <si>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</si>
  <si>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</si>
  <si>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</si>
  <si>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</si>
  <si>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</si>
  <si>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</si>
  <si>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</si>
  <si>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</si>
  <si>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</si>
  <si>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</si>
  <si>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</si>
  <si>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</si>
  <si>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</si>
  <si>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</si>
  <si>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</si>
  <si>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</si>
  <si>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</si>
  <si>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</si>
  <si>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</si>
  <si>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</si>
  <si>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</si>
  <si>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</si>
  <si>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</si>
  <si>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</si>
  <si>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</si>
  <si>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</si>
  <si>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</si>
  <si>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</si>
  <si>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</si>
  <si>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</si>
  <si>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</si>
  <si>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</si>
  <si>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</si>
  <si>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</si>
  <si>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</si>
  <si>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</si>
  <si>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</si>
  <si>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</si>
  <si>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</si>
  <si>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</si>
  <si>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</si>
  <si>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</si>
  <si>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</si>
  <si>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</si>
  <si>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</si>
  <si>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</si>
  <si>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</si>
  <si>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</si>
  <si>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</si>
  <si>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</si>
  <si>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</si>
  <si>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</si>
  <si>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</si>
  <si>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</si>
  <si>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</si>
  <si>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</si>
  <si>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</si>
  <si>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</si>
  <si>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</si>
  <si>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</si>
  <si>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</si>
  <si>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</si>
  <si>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</si>
  <si>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</si>
  <si>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</si>
  <si>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</si>
  <si>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</si>
  <si>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</si>
  <si>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</si>
  <si>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</si>
  <si>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</si>
  <si>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</si>
  <si>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</si>
  <si>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</si>
  <si>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</si>
  <si>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</si>
  <si>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</si>
  <si>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</si>
  <si>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</si>
  <si>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</si>
  <si>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</si>
  <si>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</si>
  <si>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</si>
  <si>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</si>
  <si>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</si>
  <si>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</si>
  <si>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</si>
  <si>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</si>
  <si>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</si>
  <si>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</si>
  <si>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</si>
  <si>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</si>
  <si>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</si>
  <si>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</si>
  <si>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</si>
  <si>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</si>
  <si>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</si>
  <si>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</si>
  <si>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</si>
  <si>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</si>
  <si>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</si>
  <si>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</si>
  <si>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</si>
  <si>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</si>
  <si>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</si>
  <si>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</si>
  <si>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</si>
  <si>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</si>
  <si>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</si>
  <si>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</si>
  <si>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</si>
  <si>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</si>
  <si>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</si>
  <si>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</si>
  <si>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</si>
  <si>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</si>
  <si>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</si>
  <si>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</si>
  <si>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</si>
  <si>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</si>
  <si>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</si>
  <si>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</si>
  <si>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</si>
  <si>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</si>
  <si>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</si>
  <si>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</si>
  <si>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</si>
  <si>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</si>
  <si>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</si>
  <si>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</si>
  <si>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</si>
  <si>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</si>
  <si>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</si>
  <si>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</si>
  <si>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</si>
  <si>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</si>
  <si>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</si>
  <si>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</si>
  <si>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</si>
  <si>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</si>
  <si>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</si>
  <si>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</si>
  <si>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</si>
  <si>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</si>
  <si>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</si>
  <si>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</si>
  <si>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</si>
  <si>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</si>
  <si>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</si>
  <si>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</si>
  <si>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</si>
  <si>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</si>
  <si>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</si>
  <si>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</si>
  <si>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</si>
  <si>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</si>
  <si>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</si>
  <si>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</si>
  <si>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</si>
  <si>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</si>
  <si>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</si>
  <si>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</si>
  <si>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</si>
  <si>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</si>
  <si>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</si>
  <si>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</si>
  <si>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</si>
  <si>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</si>
  <si>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</si>
  <si>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</si>
  <si>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</si>
  <si>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</si>
  <si>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</si>
  <si>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</si>
  <si>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</si>
  <si>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</si>
  <si>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</si>
  <si>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</si>
  <si>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</si>
  <si>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</si>
  <si>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</si>
  <si>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</si>
  <si>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</si>
  <si>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</si>
  <si>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</si>
  <si>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</si>
  <si>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</si>
  <si>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</si>
  <si>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</si>
  <si>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</si>
  <si>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</si>
  <si>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</si>
  <si>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</si>
  <si>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</si>
  <si>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</si>
  <si>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</si>
  <si>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</si>
  <si>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</si>
  <si>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</si>
  <si>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</si>
  <si>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</si>
  <si>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</si>
  <si>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</si>
  <si>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</si>
  <si>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</si>
  <si>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</si>
  <si>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</si>
  <si>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</si>
  <si>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</si>
  <si>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</si>
  <si>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</si>
  <si>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</si>
  <si>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</si>
  <si>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</si>
  <si>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</si>
  <si>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</si>
  <si>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</si>
  <si>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</si>
  <si>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</si>
  <si>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</si>
  <si>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</si>
  <si>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</si>
  <si>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</si>
  <si>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</si>
  <si>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</si>
  <si>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</si>
  <si>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</si>
  <si>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</si>
  <si>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</si>
  <si>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</si>
  <si>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</si>
  <si>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</si>
  <si>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</si>
  <si>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</si>
  <si>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</si>
  <si>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</si>
  <si>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</si>
  <si>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</si>
  <si>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</si>
  <si>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</si>
  <si>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</si>
  <si>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</si>
  <si>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</si>
  <si>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</si>
  <si>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</si>
  <si>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</si>
  <si>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</si>
  <si>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</si>
  <si>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</si>
  <si>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</si>
  <si>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</si>
  <si>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</si>
  <si>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</si>
  <si>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</si>
  <si>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</si>
  <si>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</si>
  <si>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</si>
  <si>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</si>
  <si>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</si>
  <si>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</si>
  <si>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</si>
  <si>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</si>
  <si>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</si>
  <si>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</si>
  <si>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</si>
  <si>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</si>
  <si>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</si>
  <si>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</si>
  <si>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</si>
  <si>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</si>
  <si>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</si>
  <si>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</si>
  <si>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</si>
  <si>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</si>
  <si>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</si>
  <si>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</si>
  <si>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</si>
  <si>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</si>
  <si>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</si>
  <si>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</si>
  <si>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</si>
  <si>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</si>
  <si>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</si>
  <si>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</si>
  <si>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</si>
  <si>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</si>
  <si>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</si>
  <si>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</si>
  <si>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</si>
  <si>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</si>
  <si>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</si>
  <si>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</si>
  <si>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</si>
  <si>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</si>
  <si>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</si>
  <si>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</si>
  <si>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</si>
  <si>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</si>
  <si>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</si>
  <si>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</si>
  <si>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</si>
  <si>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</si>
  <si>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</si>
  <si>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</si>
  <si>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</si>
  <si>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</si>
  <si>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</si>
  <si>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</si>
  <si>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</si>
  <si>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</si>
  <si>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</si>
  <si>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</si>
  <si>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</si>
  <si>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</si>
  <si>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</si>
  <si>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</si>
  <si>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</si>
  <si>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</si>
  <si>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</si>
  <si>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</si>
  <si>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</si>
  <si>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</si>
  <si>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</si>
  <si>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</si>
  <si>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</si>
  <si>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</si>
  <si>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</si>
  <si>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</si>
  <si>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</si>
  <si>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</si>
  <si>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</si>
  <si>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</si>
  <si>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</si>
  <si>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</si>
  <si>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</si>
  <si>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</si>
  <si>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</si>
  <si>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</si>
  <si>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</si>
  <si>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</si>
  <si>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</si>
  <si>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</si>
  <si>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</si>
  <si>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</si>
  <si>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</si>
  <si>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</si>
  <si>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</si>
  <si>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</si>
  <si>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</si>
  <si>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</si>
  <si>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</si>
  <si>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</si>
  <si>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</si>
  <si>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</si>
  <si>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</si>
  <si>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</si>
  <si>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</si>
  <si>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</si>
  <si>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</si>
  <si>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</si>
  <si>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</si>
  <si>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</si>
  <si>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</si>
  <si>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</si>
  <si>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</si>
  <si>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</si>
  <si>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</si>
  <si>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</si>
  <si>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</si>
  <si>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</si>
  <si>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</si>
  <si>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</si>
  <si>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</si>
  <si>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</si>
  <si>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</si>
  <si>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</si>
  <si>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</si>
  <si>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</si>
  <si>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</si>
  <si>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</si>
  <si>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</si>
  <si>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</si>
  <si>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</si>
  <si>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</si>
  <si>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</si>
  <si>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</si>
  <si>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</si>
  <si>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</si>
  <si>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</si>
  <si>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</si>
  <si>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</si>
  <si>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</si>
  <si>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</si>
  <si>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</si>
  <si>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</si>
  <si>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</si>
  <si>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</si>
  <si>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</si>
  <si>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</si>
  <si>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</si>
  <si>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</si>
  <si>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</si>
  <si>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</si>
  <si>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</si>
  <si>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</si>
  <si>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</si>
  <si>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</si>
  <si>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</si>
  <si>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</si>
  <si>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</si>
  <si>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</si>
  <si>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</si>
  <si>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</si>
  <si>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</si>
  <si>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</si>
  <si>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</si>
  <si>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</si>
  <si>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</si>
  <si>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</si>
  <si>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</si>
  <si>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</si>
  <si>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</si>
  <si>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</si>
  <si>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</si>
  <si>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</si>
  <si>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</si>
  <si>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</si>
  <si>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</si>
  <si>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</si>
  <si>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</si>
  <si>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</si>
  <si>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</si>
  <si>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</si>
  <si>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</si>
  <si>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</si>
  <si>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</si>
  <si>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</si>
  <si>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</si>
  <si>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</si>
  <si>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</si>
  <si>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</si>
  <si>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</si>
  <si>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</si>
  <si>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</si>
  <si>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</si>
  <si>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</si>
  <si>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</si>
  <si>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</si>
  <si>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</si>
  <si>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</si>
  <si>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</si>
  <si>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</si>
  <si>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</si>
  <si>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</si>
  <si>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</si>
  <si>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</si>
  <si>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</si>
  <si>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</si>
  <si>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</si>
  <si>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</si>
  <si>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</si>
  <si>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</si>
  <si>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</si>
  <si>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</si>
  <si>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</si>
  <si>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</si>
  <si>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</si>
  <si>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</si>
  <si>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</si>
  <si>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</si>
  <si>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</si>
  <si>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</si>
  <si>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</si>
  <si>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</si>
  <si>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</si>
  <si>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</si>
  <si>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</si>
  <si>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</si>
  <si>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</si>
  <si>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</si>
  <si>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</si>
  <si>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</si>
  <si>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</si>
  <si>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</si>
  <si>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</si>
  <si>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</si>
  <si>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</si>
  <si>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</si>
  <si>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</si>
  <si>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</si>
  <si>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</si>
  <si>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</si>
  <si>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</si>
  <si>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</si>
  <si>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</si>
  <si>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</si>
  <si>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</si>
  <si>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</si>
  <si>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</si>
  <si>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</si>
  <si>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</si>
  <si>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</si>
  <si>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</si>
  <si>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</si>
  <si>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</si>
  <si>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</si>
  <si>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</si>
  <si>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</si>
  <si>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</si>
  <si>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</si>
  <si>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</si>
  <si>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</si>
  <si>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</si>
  <si>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</si>
  <si>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</si>
  <si>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</si>
  <si>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</si>
  <si>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</si>
  <si>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</si>
  <si>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</si>
  <si>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</si>
  <si>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</si>
  <si>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</si>
  <si>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</si>
  <si>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</si>
  <si>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</si>
  <si>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</si>
  <si>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</si>
  <si>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</si>
  <si>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</si>
  <si>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</si>
  <si>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</si>
  <si>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</si>
  <si>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</si>
  <si>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</si>
  <si>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</si>
  <si>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</si>
  <si>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</si>
  <si>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</si>
  <si>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</si>
  <si>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</si>
  <si>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</si>
  <si>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</si>
  <si>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</si>
  <si>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</si>
  <si>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</si>
  <si>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</si>
  <si>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</si>
  <si>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</si>
  <si>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</si>
  <si>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</si>
  <si>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</si>
  <si>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</si>
  <si>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</si>
  <si>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</si>
  <si>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</si>
  <si>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</si>
  <si>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</si>
  <si>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</si>
  <si>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</si>
  <si>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</si>
  <si>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</si>
  <si>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</si>
  <si>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</si>
  <si>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</si>
  <si>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</si>
  <si>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</si>
  <si>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</si>
  <si>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</si>
  <si>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</si>
  <si>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</si>
  <si>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</si>
  <si>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</si>
  <si>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</si>
  <si>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</si>
  <si>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</si>
  <si>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</si>
  <si>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</si>
  <si>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</si>
  <si>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</si>
  <si>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</si>
  <si>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</si>
  <si>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</si>
  <si>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</si>
  <si>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</si>
  <si>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</si>
  <si>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</si>
  <si>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</si>
  <si>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</si>
  <si>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</si>
  <si>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</si>
  <si>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</si>
  <si>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</si>
  <si>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</si>
  <si>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</si>
  <si>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</si>
  <si>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</si>
  <si>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</si>
  <si>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</si>
  <si>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</si>
  <si>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</si>
  <si>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</si>
  <si>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</si>
  <si>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</si>
  <si>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</si>
  <si>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</si>
  <si>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</si>
  <si>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</si>
  <si>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</si>
  <si>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</si>
  <si>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</si>
  <si>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</si>
  <si>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</si>
  <si>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</si>
  <si>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</si>
  <si>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</si>
  <si>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</si>
  <si>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</si>
  <si>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</si>
  <si>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</si>
  <si>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</si>
  <si>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</si>
  <si>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</si>
  <si>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</si>
  <si>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</si>
  <si>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</si>
  <si>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</si>
  <si>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</si>
  <si>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</si>
  <si>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</si>
  <si>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</si>
  <si>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</si>
  <si>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</si>
  <si>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</si>
  <si>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</si>
  <si>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</si>
  <si>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</si>
  <si>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</si>
  <si>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</si>
  <si>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</si>
  <si>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</si>
  <si>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</si>
  <si>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</si>
  <si>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</si>
  <si>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</si>
  <si>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</si>
  <si>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</si>
  <si>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</si>
  <si>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</si>
  <si>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</si>
  <si>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</si>
  <si>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</si>
  <si>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</si>
  <si>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</si>
  <si>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</si>
  <si>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</si>
  <si>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</si>
  <si>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</si>
  <si>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</si>
  <si>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</si>
  <si>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</si>
  <si>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</si>
  <si>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</si>
  <si>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</si>
  <si>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</si>
  <si>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</si>
  <si>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</si>
  <si>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</si>
  <si>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</si>
  <si>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</si>
  <si>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</si>
  <si>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</si>
  <si>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</si>
  <si>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</si>
  <si>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</si>
  <si>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</si>
  <si>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</si>
  <si>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</si>
  <si>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</si>
  <si>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</si>
  <si>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</si>
  <si>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</si>
  <si>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</si>
  <si>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</si>
  <si>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</si>
  <si>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</si>
  <si>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</si>
  <si>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</si>
  <si>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</si>
  <si>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</si>
  <si>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</si>
  <si>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</si>
  <si>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</si>
  <si>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</si>
  <si>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</si>
  <si>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</si>
  <si>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</si>
  <si>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</si>
  <si>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</si>
  <si>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</si>
  <si>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</si>
  <si>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</si>
  <si>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</si>
  <si>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</si>
  <si>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</si>
  <si>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</si>
  <si>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</si>
  <si>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</si>
  <si>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</si>
  <si>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</si>
  <si>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</si>
  <si>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</si>
  <si>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</si>
  <si>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</si>
  <si>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</si>
  <si>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</si>
  <si>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</si>
  <si>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</si>
  <si>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</si>
  <si>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</si>
  <si>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</si>
  <si>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</si>
  <si>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</si>
  <si>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</si>
  <si>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</si>
  <si>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</si>
  <si>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</si>
  <si>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</si>
  <si>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</si>
  <si>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</si>
  <si>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</si>
  <si>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</si>
  <si>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</si>
  <si>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</si>
  <si>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</si>
  <si>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</si>
  <si>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</si>
  <si>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</si>
  <si>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</si>
  <si>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</si>
  <si>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</si>
  <si>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</si>
  <si>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</si>
  <si>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</si>
  <si>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</si>
  <si>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</si>
  <si>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</si>
  <si>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</si>
  <si>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</si>
  <si>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</si>
  <si>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</si>
  <si>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</si>
  <si>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</si>
  <si>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</si>
  <si>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</si>
  <si>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</si>
  <si>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</si>
  <si>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</si>
  <si>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</si>
  <si>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</si>
  <si>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</si>
  <si>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</si>
  <si>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</si>
  <si>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</si>
  <si>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</si>
  <si>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</si>
  <si>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</si>
  <si>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</si>
  <si>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</si>
  <si>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</si>
  <si>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</si>
  <si>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</si>
  <si>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</si>
  <si>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</si>
  <si>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</si>
  <si>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</si>
  <si>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</si>
  <si>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</si>
  <si>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</si>
  <si>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</si>
  <si>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</si>
  <si>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</si>
  <si>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</si>
  <si>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</si>
  <si>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</si>
  <si>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</si>
  <si>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</si>
  <si>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</si>
  <si>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</si>
  <si>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</si>
  <si>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</si>
  <si>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</si>
  <si>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</si>
  <si>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</si>
  <si>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</si>
  <si>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</si>
  <si>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</si>
  <si>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</si>
  <si>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</si>
  <si>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</si>
  <si>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</si>
  <si>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</si>
  <si>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</si>
  <si>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</si>
  <si>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</si>
  <si>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</si>
  <si>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</si>
  <si>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</si>
  <si>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</si>
  <si>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</si>
  <si>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</si>
  <si>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</si>
  <si>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</si>
  <si>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</si>
  <si>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</si>
  <si>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</si>
  <si>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</si>
  <si>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</si>
  <si>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</si>
  <si>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</si>
  <si>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</si>
  <si>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</si>
  <si>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</si>
  <si>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</si>
  <si>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</si>
  <si>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</si>
  <si>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</si>
  <si>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</si>
  <si>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</si>
  <si>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</si>
  <si>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</si>
  <si>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</si>
  <si>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</si>
  <si>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</si>
  <si>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</si>
  <si>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</si>
  <si>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</si>
  <si>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</si>
  <si>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</si>
  <si>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</si>
  <si>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</si>
  <si>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</si>
  <si>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</si>
  <si>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</si>
  <si>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</si>
  <si>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</si>
  <si>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</si>
  <si>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</si>
  <si>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</si>
  <si>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</si>
  <si>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</si>
  <si>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</si>
  <si>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</si>
  <si>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</si>
  <si>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</si>
  <si>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</si>
  <si>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</si>
  <si>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</si>
  <si>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</si>
  <si>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</si>
  <si>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</si>
  <si>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</si>
  <si>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</si>
  <si>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</si>
  <si>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</si>
  <si>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</si>
  <si>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</si>
  <si>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</si>
  <si>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</si>
  <si>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</si>
  <si>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</si>
  <si>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</si>
  <si>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</si>
  <si>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</si>
  <si>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</si>
  <si>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</si>
  <si>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</si>
  <si>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</si>
  <si>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</si>
  <si>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</si>
  <si>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</si>
  <si>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</si>
  <si>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</si>
  <si>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</si>
  <si>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</si>
  <si>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</si>
  <si>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</si>
  <si>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</si>
  <si>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</si>
  <si>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</si>
  <si>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</si>
  <si>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</si>
  <si>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</si>
  <si>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</si>
  <si>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</si>
  <si>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</si>
  <si>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</si>
  <si>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</si>
  <si>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</si>
  <si>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</si>
  <si>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</si>
  <si>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</si>
  <si>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</si>
  <si>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</si>
  <si>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</si>
  <si>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</si>
  <si>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</si>
  <si>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</si>
  <si>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</si>
  <si>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</si>
  <si>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</si>
  <si>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</si>
  <si>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</si>
  <si>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</si>
  <si>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</si>
  <si>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</si>
  <si>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</si>
  <si>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</si>
  <si>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</si>
  <si>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</si>
  <si>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</si>
  <si>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</si>
  <si>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</si>
  <si>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</si>
  <si>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</si>
  <si>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</si>
  <si>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</si>
  <si>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</si>
  <si>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</si>
  <si>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</si>
  <si>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</si>
  <si>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</si>
  <si>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</si>
  <si>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</si>
  <si>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</si>
  <si>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</si>
  <si>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</si>
  <si>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</si>
  <si>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</si>
  <si>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</si>
  <si>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</si>
  <si>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</si>
  <si>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</si>
  <si>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</si>
  <si>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</si>
  <si>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</si>
  <si>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</si>
  <si>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</si>
  <si>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</si>
  <si>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</si>
  <si>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</si>
  <si>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</si>
  <si>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</si>
  <si>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</si>
  <si>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</si>
  <si>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</si>
  <si>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</si>
  <si>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</si>
  <si>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</si>
  <si>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</si>
  <si>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</si>
  <si>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</si>
  <si>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</si>
  <si>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</si>
  <si>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</si>
  <si>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</si>
  <si>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</si>
  <si>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</si>
  <si>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</si>
  <si>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</si>
  <si>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</si>
  <si>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</si>
  <si>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</si>
  <si>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</si>
  <si>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</si>
  <si>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</si>
  <si>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</si>
  <si>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</si>
  <si>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</si>
  <si>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</si>
  <si>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</si>
  <si>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</si>
  <si>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</si>
  <si>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</si>
  <si>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</si>
  <si>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</si>
  <si>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</si>
  <si>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</si>
  <si>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</si>
  <si>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</si>
  <si>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</si>
  <si>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</si>
  <si>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</si>
  <si>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</si>
  <si>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</si>
  <si>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</si>
  <si>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</si>
  <si>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</si>
  <si>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</si>
  <si>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</si>
  <si>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</si>
  <si>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</si>
  <si>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</si>
  <si>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</si>
  <si>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</si>
  <si>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</si>
  <si>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</si>
  <si>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</si>
  <si>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</si>
  <si>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</si>
  <si>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</si>
  <si>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</si>
  <si>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</si>
  <si>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</si>
  <si>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</si>
  <si>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</si>
  <si>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</si>
  <si>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</si>
  <si>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</si>
  <si>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</si>
  <si>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</si>
  <si>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</si>
  <si>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</si>
  <si>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</si>
  <si>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</si>
  <si>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</si>
  <si>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</si>
  <si>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</si>
  <si>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</si>
  <si>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</si>
  <si>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</si>
  <si>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</si>
  <si>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</si>
  <si>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</si>
  <si>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</si>
  <si>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</si>
  <si>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</si>
  <si>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</si>
  <si>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</si>
  <si>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</si>
  <si>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</si>
  <si>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</si>
  <si>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</si>
  <si>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</si>
  <si>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</si>
  <si>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</si>
  <si>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</si>
  <si>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</si>
  <si>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</si>
  <si>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</si>
  <si>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</si>
  <si>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</si>
  <si>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</si>
  <si>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</si>
  <si>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</si>
  <si>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</si>
  <si>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</si>
  <si>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</si>
  <si>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</si>
  <si>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</si>
  <si>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</si>
  <si>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</si>
  <si>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</si>
  <si>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</si>
  <si>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</si>
  <si>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</si>
  <si>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</si>
  <si>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</si>
  <si>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</si>
  <si>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</si>
  <si>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</si>
  <si>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</si>
  <si>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</si>
  <si>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</si>
  <si>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</si>
  <si>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</si>
  <si>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</si>
  <si>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</si>
  <si>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</si>
  <si>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</si>
  <si>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</si>
  <si>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</si>
  <si>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</si>
  <si>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</si>
  <si>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</si>
  <si>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</si>
  <si>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</si>
  <si>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</si>
  <si>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</si>
  <si>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</si>
  <si>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</si>
  <si>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</si>
  <si>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</si>
  <si>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</si>
  <si>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</si>
  <si>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</si>
  <si>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</si>
  <si>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</si>
  <si>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</si>
  <si>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</si>
  <si>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</si>
  <si>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</si>
  <si>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</si>
  <si>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</si>
  <si>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</si>
  <si>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</si>
  <si>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</si>
  <si>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</si>
  <si>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</si>
  <si>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</si>
  <si>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</si>
  <si>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</si>
  <si>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</si>
  <si>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</si>
  <si>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</si>
  <si>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</si>
  <si>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</si>
  <si>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</si>
  <si>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</si>
  <si>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</si>
  <si>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</si>
  <si>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</si>
  <si>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</si>
  <si>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</si>
  <si>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</si>
  <si>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</si>
  <si>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</si>
  <si>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</si>
  <si>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</si>
  <si>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</si>
  <si>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</si>
  <si>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</si>
  <si>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</si>
  <si>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</si>
  <si>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</si>
  <si>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</si>
  <si>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</si>
  <si>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</si>
  <si>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</si>
  <si>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</si>
  <si>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</si>
  <si>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</si>
  <si>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</si>
  <si>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</si>
  <si>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</si>
  <si>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</si>
  <si>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</si>
  <si>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</si>
  <si>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</si>
  <si>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</si>
  <si>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</si>
  <si>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</si>
  <si>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</si>
  <si>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</si>
  <si>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</si>
  <si>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</si>
  <si>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</si>
  <si>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</si>
  <si>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</si>
  <si>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</si>
  <si>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</si>
  <si>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</si>
  <si>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</si>
  <si>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</si>
  <si>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</si>
  <si>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</si>
  <si>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</si>
  <si>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</si>
  <si>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</si>
  <si>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</si>
  <si>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</si>
  <si>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</si>
  <si>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</si>
  <si>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</si>
  <si>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</si>
  <si>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</si>
  <si>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</si>
  <si>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</si>
  <si>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</si>
  <si>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</si>
  <si>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</si>
  <si>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</si>
  <si>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</si>
  <si>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</si>
  <si>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</si>
  <si>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</si>
  <si>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</si>
  <si>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</si>
  <si>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</si>
  <si>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</si>
  <si>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</si>
  <si>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</si>
  <si>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</si>
  <si>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</si>
  <si>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</si>
  <si>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</si>
  <si>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</si>
  <si>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</si>
  <si>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</si>
  <si>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</si>
  <si>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</si>
  <si>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</si>
  <si>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</si>
  <si>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</si>
  <si>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</si>
  <si>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</si>
  <si>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</si>
  <si>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</si>
  <si>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</si>
  <si>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</si>
  <si>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</si>
  <si>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</si>
  <si>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</si>
  <si>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</si>
  <si>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</si>
  <si>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</si>
  <si>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</si>
  <si>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</si>
  <si>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</si>
  <si>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</si>
  <si>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</si>
  <si>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</si>
  <si>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</si>
  <si>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</si>
  <si>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</si>
  <si>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</si>
  <si>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</si>
  <si>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</si>
  <si>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</si>
  <si>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</si>
  <si>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</si>
  <si>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</si>
  <si>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</si>
  <si>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</si>
  <si>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</si>
  <si>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</si>
  <si>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</si>
  <si>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</si>
  <si>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</si>
  <si>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</si>
  <si>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</si>
  <si>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</si>
  <si>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</si>
  <si>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</si>
  <si>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</si>
  <si>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</si>
  <si>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</si>
  <si>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</si>
  <si>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</si>
  <si>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</si>
  <si>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</si>
  <si>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</si>
  <si>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</si>
  <si>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</si>
  <si>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</si>
  <si>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</si>
  <si>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</si>
  <si>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</si>
  <si>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</si>
  <si>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</si>
  <si>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</si>
  <si>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</si>
  <si>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</si>
  <si>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</si>
  <si>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</si>
  <si>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</si>
  <si>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</si>
  <si>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</si>
  <si>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</si>
  <si>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</si>
  <si>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</si>
  <si>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</si>
  <si>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</si>
  <si>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</si>
  <si>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</si>
  <si>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</si>
  <si>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</si>
  <si>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</si>
  <si>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</si>
  <si>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</si>
  <si>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</si>
  <si>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</si>
  <si>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</si>
  <si>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</si>
  <si>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</si>
  <si>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</si>
  <si>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</si>
  <si>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</si>
  <si>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</si>
  <si>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</si>
  <si>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</si>
  <si>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</si>
  <si>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</si>
  <si>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</si>
  <si>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</si>
  <si>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</si>
  <si>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</si>
  <si>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</si>
  <si>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</si>
  <si>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</si>
  <si>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</si>
  <si>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</si>
  <si>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</si>
  <si>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</si>
  <si>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</si>
  <si>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</si>
  <si>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</si>
  <si>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</si>
  <si>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</si>
  <si>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</si>
  <si>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</si>
  <si>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</si>
  <si>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</si>
  <si>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</si>
  <si>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</si>
  <si>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</si>
  <si>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</si>
  <si>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</si>
  <si>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</si>
  <si>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</si>
  <si>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</si>
  <si>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</si>
  <si>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</si>
  <si>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</si>
  <si>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</si>
  <si>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</si>
  <si>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</si>
  <si>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</si>
  <si>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</si>
  <si>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</si>
  <si>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</si>
  <si>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</si>
  <si>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</si>
  <si>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</si>
  <si>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</si>
  <si>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</si>
  <si>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</si>
  <si>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</si>
  <si>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</si>
  <si>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</si>
  <si>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</si>
  <si>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</si>
  <si>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</si>
  <si>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</si>
  <si>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</si>
  <si>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</si>
  <si>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</si>
  <si>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</si>
  <si>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</si>
  <si>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</si>
  <si>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</si>
  <si>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</si>
  <si>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</si>
  <si>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</si>
  <si>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</si>
  <si>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</si>
  <si>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</si>
  <si>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</si>
  <si>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</si>
  <si>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</si>
  <si>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</si>
  <si>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</si>
  <si>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</si>
  <si>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</si>
  <si>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</si>
  <si>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</si>
  <si>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</si>
  <si>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</si>
  <si>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</si>
  <si>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</si>
  <si>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</si>
  <si>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</si>
  <si>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</si>
  <si>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</si>
  <si>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</si>
  <si>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</si>
  <si>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</si>
  <si>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</si>
  <si>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</si>
  <si>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</si>
  <si>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</si>
  <si>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</si>
  <si>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</si>
  <si>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</si>
  <si>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</si>
  <si>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</si>
  <si>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</si>
  <si>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</si>
  <si>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</si>
  <si>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</si>
  <si>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</si>
  <si>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</si>
  <si>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</si>
  <si>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</si>
  <si>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</si>
  <si>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</si>
  <si>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</si>
  <si>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</si>
  <si>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</si>
  <si>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</si>
  <si>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</si>
  <si>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</si>
  <si>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</si>
  <si>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</si>
  <si>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</si>
  <si>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</si>
  <si>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</si>
  <si>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</si>
  <si>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</si>
  <si>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</si>
  <si>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</si>
  <si>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</si>
  <si>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</si>
  <si>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</si>
  <si>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</si>
  <si>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</si>
  <si>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</si>
  <si>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</si>
  <si>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</si>
  <si>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</si>
  <si>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</si>
  <si>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</si>
  <si>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</si>
  <si>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</si>
  <si>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</si>
  <si>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</si>
  <si>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</si>
  <si>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</si>
  <si>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</si>
  <si>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</si>
  <si>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</si>
  <si>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</si>
  <si>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</si>
  <si>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</si>
  <si>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</si>
  <si>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</si>
  <si>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</si>
  <si>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</si>
  <si>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</si>
  <si>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</si>
  <si>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</si>
  <si>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</si>
  <si>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</si>
  <si>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</si>
  <si>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</si>
  <si>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</si>
  <si>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</si>
  <si>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</si>
  <si>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</si>
  <si>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</si>
  <si>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</si>
  <si>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</si>
  <si>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</si>
  <si>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</si>
  <si>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</si>
  <si>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</si>
  <si>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</si>
  <si>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</si>
  <si>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</si>
  <si>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</si>
  <si>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</si>
  <si>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</si>
  <si>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</si>
  <si>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</si>
  <si>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</si>
  <si>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</si>
  <si>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</si>
  <si>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</si>
  <si>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</si>
  <si>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</si>
  <si>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</si>
  <si>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</si>
  <si>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</si>
  <si>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</si>
  <si>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</si>
  <si>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</si>
  <si>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</si>
  <si>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</si>
  <si>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</si>
  <si>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</si>
  <si>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</si>
  <si>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</si>
  <si>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</si>
  <si>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</si>
  <si>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</si>
  <si>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</si>
  <si>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</si>
  <si>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</si>
  <si>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</si>
  <si>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</si>
  <si>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</si>
  <si>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</si>
  <si>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</si>
  <si>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</si>
  <si>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</si>
  <si>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</si>
  <si>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</si>
  <si>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</si>
  <si>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</si>
  <si>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</si>
  <si>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</si>
  <si>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</si>
  <si>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</si>
  <si>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</si>
  <si>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</si>
  <si>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</si>
  <si>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</si>
  <si>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</si>
  <si>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</si>
  <si>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</si>
  <si>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</si>
  <si>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</si>
  <si>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</si>
  <si>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</si>
  <si>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</si>
  <si>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</si>
  <si>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</si>
  <si>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</si>
  <si>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</si>
  <si>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</si>
  <si>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</si>
  <si>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</si>
  <si>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</si>
  <si>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</si>
  <si>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</si>
  <si>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</si>
  <si>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</si>
  <si>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</si>
  <si>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</si>
  <si>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</si>
  <si>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</si>
  <si>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</si>
  <si>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</si>
  <si>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</si>
  <si>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</si>
  <si>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</si>
  <si>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</si>
  <si>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</si>
  <si>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</si>
  <si>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</si>
  <si>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</si>
  <si>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</si>
  <si>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</si>
  <si>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</si>
  <si>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</si>
  <si>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</si>
  <si>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</si>
  <si>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</si>
  <si>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</si>
  <si>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</si>
  <si>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</si>
  <si>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</si>
  <si>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</si>
  <si>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</si>
  <si>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</si>
  <si>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</si>
  <si>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</si>
  <si>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</si>
  <si>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</si>
  <si>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</si>
  <si>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</si>
  <si>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</si>
  <si>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</si>
  <si>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</si>
  <si>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</si>
  <si>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</si>
  <si>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</si>
  <si>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</si>
  <si>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</si>
  <si>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</si>
  <si>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</si>
  <si>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</si>
  <si>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</si>
  <si>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</si>
  <si>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</si>
  <si>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</si>
  <si>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</si>
  <si>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</si>
  <si>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</si>
  <si>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</si>
  <si>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</si>
  <si>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</si>
  <si>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</si>
  <si>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</si>
  <si>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</si>
  <si>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</si>
  <si>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</si>
  <si>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</si>
  <si>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</si>
  <si>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</si>
  <si>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</si>
  <si>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</si>
  <si>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</si>
  <si>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</si>
  <si>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</si>
  <si>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</si>
  <si>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</si>
  <si>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</si>
  <si>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</si>
  <si>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</si>
  <si>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</si>
  <si>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</si>
  <si>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</si>
  <si>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</si>
  <si>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</si>
  <si>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</si>
  <si>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</si>
  <si>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</si>
  <si>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</si>
  <si>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</si>
  <si>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</si>
  <si>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</si>
  <si>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</si>
  <si>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</si>
  <si>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</si>
  <si>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</si>
  <si>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</si>
  <si>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</si>
  <si>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</si>
  <si>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</si>
  <si>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</si>
  <si>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</si>
  <si>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</si>
  <si>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</si>
  <si>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</si>
  <si>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</si>
  <si>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</si>
  <si>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</si>
  <si>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</si>
  <si>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</si>
  <si>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</si>
  <si>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</si>
  <si>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</si>
  <si>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</si>
  <si>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</si>
  <si>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</si>
  <si>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</si>
  <si>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</si>
  <si>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</si>
  <si>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</si>
  <si>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</si>
  <si>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</si>
  <si>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</si>
  <si>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</si>
  <si>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</si>
  <si>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</si>
  <si>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</si>
  <si>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</si>
  <si>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</si>
  <si>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</si>
  <si>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</si>
  <si>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</si>
  <si>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</si>
  <si>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</si>
  <si>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</si>
  <si>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</si>
  <si>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</si>
  <si>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</si>
  <si>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</si>
  <si>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</si>
  <si>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</si>
  <si>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</si>
  <si>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</si>
  <si>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</si>
  <si>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</si>
  <si>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</si>
  <si>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</si>
  <si>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</si>
  <si>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</si>
  <si>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</si>
  <si>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</si>
  <si>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</si>
  <si>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</si>
  <si>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</si>
  <si>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</si>
  <si>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</si>
  <si>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</si>
  <si>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</si>
  <si>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</si>
  <si>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</si>
  <si>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</si>
  <si>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</si>
  <si>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</si>
  <si>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</si>
  <si>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</si>
  <si>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</si>
  <si>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</si>
  <si>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</si>
  <si>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</si>
  <si>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</si>
  <si>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</si>
  <si>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</si>
  <si>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</si>
  <si>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</si>
  <si>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</si>
  <si>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</si>
  <si>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</si>
  <si>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</si>
  <si>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</si>
  <si>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</si>
  <si>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</si>
  <si>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</si>
  <si>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</si>
  <si>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</si>
  <si>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</si>
  <si>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</si>
  <si>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</si>
  <si>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</si>
  <si>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</si>
  <si>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</si>
  <si>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</si>
  <si>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</si>
  <si>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</si>
  <si>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</si>
  <si>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</si>
  <si>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</si>
  <si>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</si>
  <si>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</si>
  <si>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</si>
  <si>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</si>
  <si>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</si>
  <si>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</si>
  <si>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</si>
  <si>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</si>
  <si>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</si>
  <si>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</si>
  <si>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</si>
  <si>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</si>
  <si>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</si>
  <si>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</si>
  <si>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</si>
  <si>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</si>
  <si>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</si>
  <si>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</si>
  <si>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</si>
  <si>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</si>
  <si>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</si>
  <si>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</si>
  <si>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</si>
  <si>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</si>
  <si>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</si>
  <si>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</si>
  <si>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</si>
  <si>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</si>
  <si>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</si>
  <si>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</si>
  <si>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</si>
  <si>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</si>
  <si>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</si>
  <si>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</si>
  <si>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</si>
  <si>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</si>
  <si>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</si>
  <si>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</si>
  <si>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</si>
  <si>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</si>
  <si>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</si>
  <si>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</si>
  <si>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</si>
  <si>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</si>
  <si>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</si>
  <si>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</si>
  <si>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</si>
  <si>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</si>
  <si>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</si>
  <si>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</si>
  <si>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</si>
  <si>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</si>
  <si>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</si>
  <si>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</si>
  <si>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</si>
  <si>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</si>
  <si>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</si>
  <si>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</si>
  <si>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</si>
  <si>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</si>
  <si>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</si>
  <si>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</si>
  <si>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</si>
  <si>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</si>
  <si>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</si>
  <si>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</si>
  <si>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</si>
  <si>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</si>
  <si>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</si>
  <si>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</si>
  <si>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</si>
  <si>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</si>
  <si>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</si>
  <si>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</si>
  <si>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</si>
  <si>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</si>
  <si>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</si>
  <si>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</si>
  <si>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</si>
  <si>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</si>
  <si>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</si>
  <si>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</si>
  <si>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</si>
  <si>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</si>
  <si>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</si>
  <si>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</si>
  <si>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</si>
  <si>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</si>
  <si>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</si>
  <si>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</si>
  <si>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</si>
  <si>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</si>
  <si>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</si>
  <si>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</si>
  <si>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</si>
  <si>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</si>
  <si>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</si>
  <si>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</si>
  <si>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</si>
  <si>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</si>
  <si>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</si>
  <si>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</si>
  <si>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</si>
  <si>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</si>
  <si>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</si>
  <si>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</si>
  <si>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</si>
  <si>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</si>
  <si>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</si>
  <si>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</si>
  <si>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</si>
  <si>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</si>
  <si>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</si>
  <si>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</si>
  <si>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</si>
  <si>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</si>
  <si>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</si>
  <si>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</si>
  <si>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</si>
  <si>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</si>
  <si>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</si>
  <si>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</si>
  <si>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</si>
  <si>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</si>
  <si>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</si>
  <si>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</si>
  <si>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</si>
  <si>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</si>
  <si>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</si>
  <si>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</si>
  <si>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</si>
  <si>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</si>
  <si>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</si>
  <si>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</si>
  <si>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</si>
  <si>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</si>
  <si>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</si>
  <si>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</si>
  <si>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</si>
  <si>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</si>
  <si>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</si>
  <si>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</si>
  <si>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</si>
  <si>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</si>
  <si>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</si>
  <si>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</si>
  <si>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</si>
  <si>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</si>
  <si>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</si>
  <si>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</si>
  <si>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</si>
  <si>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</si>
  <si>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</si>
  <si>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</si>
  <si>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</si>
  <si>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</si>
  <si>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</si>
  <si>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</si>
  <si>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</si>
  <si>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</si>
  <si>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</si>
  <si>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</si>
  <si>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</si>
  <si>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</si>
  <si>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</si>
  <si>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</si>
  <si>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</si>
  <si>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</si>
  <si>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</si>
  <si>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</si>
  <si>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</si>
  <si>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</si>
  <si>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</si>
  <si>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</si>
  <si>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</si>
  <si>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</si>
  <si>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</si>
  <si>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</si>
  <si>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</si>
  <si>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</si>
  <si>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</si>
  <si>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</si>
  <si>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</si>
  <si>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</si>
  <si>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</si>
  <si>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</si>
  <si>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</si>
  <si>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</si>
  <si>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</si>
  <si>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</si>
  <si>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</si>
  <si>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</si>
  <si>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</si>
  <si>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</si>
  <si>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</si>
  <si>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</si>
  <si>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</si>
  <si>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</si>
  <si>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</si>
  <si>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</si>
  <si>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</si>
  <si>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</si>
  <si>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</si>
  <si>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</si>
  <si>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</si>
  <si>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</si>
  <si>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</si>
  <si>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</si>
  <si>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</si>
  <si>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</si>
  <si>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</si>
  <si>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</si>
  <si>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</si>
  <si>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</si>
  <si>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</si>
  <si>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</si>
  <si>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</si>
  <si>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</si>
  <si>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</si>
  <si>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</si>
  <si>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</si>
  <si>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</si>
  <si>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</si>
  <si>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</si>
  <si>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</si>
  <si>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</si>
  <si>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</si>
  <si>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</si>
  <si>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</si>
  <si>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</si>
  <si>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</si>
  <si>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</si>
  <si>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</si>
  <si>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</si>
  <si>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</si>
  <si>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</si>
  <si>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</si>
  <si>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</si>
  <si>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</si>
  <si>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</si>
  <si>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</si>
  <si>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</si>
  <si>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</si>
  <si>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</si>
  <si>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</si>
  <si>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</si>
  <si>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</si>
  <si>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</si>
  <si>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</si>
  <si>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</si>
  <si>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</si>
  <si>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</si>
  <si>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</si>
  <si>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</si>
  <si>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</si>
  <si>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</si>
  <si>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</si>
  <si>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</si>
  <si>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</si>
  <si>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</si>
  <si>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</si>
  <si>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</si>
  <si>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</si>
  <si>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</si>
  <si>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</si>
  <si>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</si>
  <si>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</si>
  <si>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</si>
  <si>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</si>
  <si>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</si>
  <si>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</si>
  <si>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</si>
  <si>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</si>
  <si>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</si>
  <si>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</si>
  <si>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</si>
  <si>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</si>
  <si>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</si>
  <si>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</si>
  <si>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</si>
  <si>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</si>
  <si>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</si>
  <si>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</si>
  <si>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</si>
  <si>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</si>
  <si>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</si>
  <si>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</si>
  <si>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</si>
  <si>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</si>
  <si>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</si>
  <si>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</si>
  <si>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</si>
  <si>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</si>
  <si>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</si>
  <si>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</si>
  <si>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</si>
  <si>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</si>
  <si>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</si>
  <si>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</si>
  <si>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</si>
  <si>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</si>
  <si>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</si>
  <si>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</si>
  <si>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</si>
  <si>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</si>
  <si>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</si>
  <si>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</si>
  <si>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</si>
  <si>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</si>
  <si>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</si>
  <si>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</si>
  <si>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</si>
  <si>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</si>
  <si>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</si>
  <si>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</si>
  <si>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</si>
  <si>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</si>
  <si>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</si>
  <si>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</si>
  <si>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</si>
  <si>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</si>
  <si>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</si>
  <si>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</si>
  <si>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</si>
  <si>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</si>
  <si>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</si>
  <si>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</si>
  <si>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</si>
  <si>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</si>
  <si>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</si>
  <si>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</si>
  <si>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</si>
  <si>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</si>
  <si>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</si>
  <si>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</si>
  <si>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</si>
  <si>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</si>
  <si>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</si>
  <si>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</si>
  <si>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</si>
  <si>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</si>
  <si>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</si>
  <si>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</si>
  <si>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</si>
  <si>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</si>
  <si>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</si>
  <si>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</si>
  <si>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</si>
  <si>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</si>
  <si>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</si>
  <si>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</si>
  <si>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</si>
  <si>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</si>
  <si>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</si>
  <si>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</si>
  <si>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</si>
  <si>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</si>
  <si>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</si>
  <si>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</si>
  <si>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</si>
  <si>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</si>
  <si>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</si>
  <si>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</si>
  <si>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</si>
  <si>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</si>
  <si>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</si>
  <si>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</si>
  <si>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</si>
  <si>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</si>
  <si>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</si>
  <si>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</si>
  <si>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</si>
  <si>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</si>
  <si>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</si>
  <si>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</si>
  <si>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</si>
  <si>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</si>
  <si>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</si>
  <si>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</si>
  <si>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</si>
  <si>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</si>
  <si>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</si>
  <si>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</si>
  <si>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</si>
  <si>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</si>
  <si>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</si>
  <si>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</si>
  <si>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</si>
  <si>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</si>
  <si>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</si>
  <si>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</si>
  <si>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</si>
  <si>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</si>
  <si>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</si>
  <si>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</si>
  <si>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</si>
  <si>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</si>
  <si>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</si>
  <si>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</si>
  <si>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</si>
  <si>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</si>
  <si>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</si>
  <si>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</si>
  <si>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</si>
  <si>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</si>
  <si>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</si>
  <si>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</si>
  <si>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</si>
  <si>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</si>
  <si>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</si>
  <si>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</si>
  <si>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</si>
  <si>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</si>
  <si>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</si>
  <si>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</si>
  <si>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</si>
  <si>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</si>
  <si>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</si>
  <si>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</si>
  <si>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</si>
  <si>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</si>
  <si>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</si>
  <si>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</si>
  <si>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</si>
  <si>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</si>
  <si>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</si>
  <si>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</si>
  <si>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</si>
  <si>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</si>
  <si>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</si>
  <si>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</si>
  <si>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</si>
  <si>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</si>
  <si>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</si>
  <si>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</si>
  <si>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</si>
  <si>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</si>
  <si>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</si>
  <si>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</si>
  <si>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</si>
  <si>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</si>
  <si>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</si>
  <si>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</si>
  <si>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</si>
  <si>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</si>
  <si>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</si>
  <si>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</si>
  <si>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</si>
  <si>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</si>
  <si>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</si>
  <si>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</si>
  <si>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</si>
  <si>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</si>
  <si>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</si>
  <si>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</si>
  <si>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</si>
  <si>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</si>
  <si>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</si>
  <si>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</si>
  <si>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</si>
  <si>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</si>
  <si>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</si>
  <si>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</si>
  <si>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</si>
  <si>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</si>
  <si>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</si>
  <si>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</si>
  <si>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</si>
  <si>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</si>
  <si>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</si>
  <si>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</si>
  <si>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</si>
  <si>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</si>
  <si>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</si>
  <si>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</si>
  <si>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</si>
  <si>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</si>
  <si>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</si>
  <si>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</si>
  <si>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</si>
  <si>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</si>
  <si>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</si>
  <si>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</si>
  <si>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</si>
  <si>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</si>
  <si>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</si>
  <si>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</si>
  <si>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</si>
  <si>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</si>
  <si>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</si>
  <si>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</si>
  <si>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</si>
  <si>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</si>
  <si>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</si>
  <si>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</si>
  <si>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</si>
  <si>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</si>
  <si>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</si>
  <si>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</si>
  <si>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</si>
  <si>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</si>
  <si>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</si>
  <si>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</si>
  <si>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</si>
  <si>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</si>
  <si>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</si>
  <si>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</si>
  <si>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</si>
  <si>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</si>
  <si>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</si>
  <si>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</si>
  <si>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</si>
  <si>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</si>
  <si>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</si>
  <si>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</si>
  <si>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</si>
  <si>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</si>
  <si>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</si>
  <si>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</si>
  <si>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</si>
  <si>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</si>
  <si>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</si>
  <si>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</si>
  <si>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</si>
  <si>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</si>
  <si>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</si>
  <si>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</si>
  <si>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</si>
  <si>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</si>
  <si>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</si>
  <si>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</si>
  <si>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</si>
  <si>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</si>
  <si>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</si>
  <si>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</si>
  <si>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</si>
  <si>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</si>
  <si>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</si>
  <si>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</si>
  <si>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</si>
  <si>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</si>
  <si>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</si>
  <si>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</si>
  <si>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</si>
  <si>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</si>
  <si>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</si>
  <si>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</si>
  <si>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</si>
  <si>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</si>
  <si>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</si>
  <si>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</si>
  <si>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</si>
  <si>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</si>
  <si>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</si>
  <si>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</si>
  <si>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</si>
  <si>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</si>
  <si>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</si>
  <si>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</si>
  <si>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</si>
  <si>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</si>
  <si>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</si>
  <si>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</si>
  <si>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</si>
  <si>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</si>
  <si>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</si>
  <si>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</si>
  <si>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</si>
  <si>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</si>
  <si>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</si>
  <si>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</si>
  <si>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</si>
  <si>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</si>
  <si>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</si>
  <si>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</si>
  <si>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</si>
  <si>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</si>
  <si>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</si>
  <si>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</si>
  <si>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</si>
  <si>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</si>
  <si>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</si>
  <si>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</si>
  <si>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</si>
  <si>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</si>
  <si>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</si>
  <si>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</si>
  <si>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</si>
  <si>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</si>
  <si>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</si>
  <si>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</si>
  <si>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</si>
  <si>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</si>
  <si>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</si>
  <si>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</si>
  <si>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</si>
  <si>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</si>
  <si>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</si>
  <si>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</si>
  <si>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</si>
  <si>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</si>
  <si>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</si>
  <si>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</si>
  <si>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</si>
  <si>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</si>
  <si>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</si>
  <si>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</si>
  <si>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</si>
  <si>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</si>
  <si>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</si>
  <si>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</si>
  <si>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</si>
  <si>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</si>
  <si>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</si>
  <si>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</si>
  <si>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</si>
  <si>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</si>
  <si>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</si>
  <si>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</si>
  <si>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</si>
  <si>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</si>
  <si>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</si>
  <si>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</si>
  <si>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</si>
  <si>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</si>
  <si>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</si>
  <si>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</si>
  <si>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</si>
  <si>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</si>
  <si>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</si>
  <si>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</si>
  <si>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</si>
  <si>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</si>
  <si>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</si>
  <si>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</si>
  <si>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</si>
  <si>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</si>
  <si>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</si>
  <si>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</si>
  <si>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</si>
  <si>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</si>
  <si>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</si>
  <si>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</si>
  <si>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</si>
  <si>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</si>
  <si>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</si>
  <si>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</si>
  <si>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</si>
  <si>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</si>
  <si>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</si>
  <si>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</si>
  <si>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</si>
  <si>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</si>
  <si>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</si>
  <si>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</si>
  <si>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</si>
  <si>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</si>
  <si>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</si>
  <si>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</si>
  <si>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</si>
  <si>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</si>
  <si>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</si>
  <si>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</si>
  <si>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</si>
  <si>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</si>
  <si>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</si>
  <si>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</si>
  <si>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</si>
  <si>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</si>
  <si>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</si>
  <si>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</si>
  <si>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</si>
  <si>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</si>
  <si>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</si>
  <si>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</si>
  <si>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</si>
  <si>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</si>
  <si>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</si>
  <si>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</si>
  <si>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</si>
  <si>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</si>
  <si>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</si>
  <si>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</si>
  <si>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</si>
  <si>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</si>
  <si>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</si>
  <si>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</si>
  <si>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</si>
  <si>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</si>
  <si>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</si>
  <si>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</si>
  <si>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</si>
  <si>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</si>
  <si>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</si>
  <si>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</si>
  <si>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</si>
  <si>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</si>
  <si>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</si>
  <si>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</si>
  <si>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</si>
  <si>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</si>
  <si>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</si>
  <si>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</si>
  <si>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</si>
  <si>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</si>
  <si>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</si>
  <si>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</si>
  <si>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</si>
  <si>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</si>
  <si>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</si>
  <si>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</si>
  <si>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</si>
  <si>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</si>
  <si>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</si>
  <si>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</si>
  <si>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</si>
  <si>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</si>
  <si>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</si>
  <si>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</si>
  <si>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</si>
  <si>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</si>
  <si>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</si>
  <si>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</si>
  <si>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</si>
  <si>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</si>
  <si>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</si>
  <si>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</si>
  <si>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</si>
  <si>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</si>
  <si>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</si>
  <si>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</si>
  <si>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</si>
  <si>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</si>
  <si>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</si>
  <si>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</si>
  <si>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</si>
  <si>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</si>
  <si>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</si>
  <si>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</si>
  <si>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</si>
  <si>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</si>
  <si>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</si>
  <si>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</si>
  <si>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</si>
  <si>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</si>
  <si>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</si>
  <si>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</si>
  <si>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</si>
  <si>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</si>
  <si>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</si>
  <si>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</si>
  <si>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</si>
  <si>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</si>
  <si>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</si>
  <si>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</si>
  <si>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</si>
  <si>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</si>
  <si>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</si>
  <si>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</si>
  <si>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</si>
  <si>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</si>
  <si>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</si>
  <si>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</si>
  <si>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</si>
  <si>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</si>
  <si>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</si>
  <si>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</si>
  <si>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</si>
  <si>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</si>
  <si>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</si>
  <si>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</si>
  <si>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</si>
  <si>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</si>
  <si>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</si>
  <si>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</si>
  <si>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</si>
  <si>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</si>
  <si>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</si>
  <si>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</si>
  <si>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</si>
  <si>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</si>
  <si>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</si>
  <si>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</si>
  <si>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</si>
  <si>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</si>
  <si>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</si>
  <si>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</si>
  <si>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</si>
  <si>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</si>
  <si>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</si>
  <si>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</si>
  <si>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</si>
  <si>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</si>
  <si>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</si>
  <si>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</si>
  <si>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</si>
  <si>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</si>
  <si>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</si>
  <si>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</si>
  <si>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</si>
  <si>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</si>
  <si>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</si>
  <si>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</si>
  <si>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</si>
  <si>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</si>
  <si>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</si>
  <si>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</si>
  <si>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</si>
  <si>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</si>
  <si>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</si>
  <si>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</si>
  <si>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</si>
  <si>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</si>
  <si>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</si>
  <si>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</si>
  <si>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</si>
  <si>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</si>
  <si>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</si>
  <si>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</si>
  <si>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</si>
  <si>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</si>
  <si>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</si>
  <si>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</si>
  <si>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</si>
  <si>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</si>
  <si>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</si>
  <si>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</si>
  <si>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</si>
  <si>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</si>
  <si>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</si>
  <si>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</si>
  <si>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</si>
  <si>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</si>
  <si>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</si>
  <si>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</si>
  <si>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</si>
  <si>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</si>
  <si>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</si>
  <si>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</si>
  <si>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</si>
  <si>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</si>
  <si>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</si>
  <si>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</si>
  <si>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</si>
  <si>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</si>
  <si>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</si>
  <si>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</si>
  <si>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</si>
  <si>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</si>
  <si>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</si>
  <si>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</si>
  <si>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</si>
  <si>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</si>
  <si>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</si>
  <si>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</si>
  <si>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</si>
  <si>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</si>
  <si>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</si>
  <si>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</si>
  <si>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</si>
  <si>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</si>
  <si>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</si>
  <si>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</si>
  <si>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</si>
  <si>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</si>
  <si>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</si>
  <si>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</si>
  <si>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</si>
  <si>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</si>
  <si>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</si>
  <si>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</si>
  <si>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</si>
  <si>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</si>
  <si>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</si>
  <si>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</si>
  <si>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</si>
  <si>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</si>
  <si>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</si>
  <si>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</si>
  <si>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</si>
  <si>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</si>
  <si>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</si>
  <si>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</si>
  <si>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</si>
  <si>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</si>
  <si>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</si>
  <si>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</si>
  <si>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</si>
  <si>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</si>
  <si>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</si>
  <si>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</si>
  <si>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</si>
  <si>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</si>
  <si>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</si>
  <si>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</si>
  <si>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</si>
  <si>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</si>
  <si>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</si>
  <si>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</si>
  <si>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</si>
  <si>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</si>
  <si>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</si>
  <si>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</si>
  <si>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</si>
  <si>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</si>
  <si>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</si>
  <si>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</si>
  <si>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</si>
  <si>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</si>
  <si>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</si>
  <si>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</si>
  <si>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</si>
  <si>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</si>
  <si>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</si>
  <si>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</si>
  <si>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</si>
  <si>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</si>
  <si>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</si>
  <si>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</si>
  <si>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</si>
  <si>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</si>
  <si>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</si>
  <si>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</si>
  <si>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</si>
  <si>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</si>
  <si>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</si>
  <si>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</si>
  <si>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</si>
  <si>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</si>
  <si>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</si>
  <si>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</si>
  <si>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</si>
  <si>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</si>
  <si>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</si>
  <si>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</si>
  <si>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</si>
  <si>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</si>
  <si>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</si>
  <si>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</si>
  <si>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</si>
  <si>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</si>
  <si>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</si>
  <si>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</si>
  <si>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</si>
  <si>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</si>
  <si>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</si>
  <si>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</si>
  <si>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</si>
  <si>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</si>
  <si>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</si>
  <si>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</si>
  <si>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</si>
  <si>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</si>
  <si>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</si>
  <si>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</si>
  <si>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</si>
  <si>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</si>
  <si>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</si>
  <si>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</si>
  <si>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</si>
  <si>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</si>
  <si>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</si>
  <si>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</si>
  <si>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</si>
  <si>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</si>
  <si>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</si>
  <si>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</si>
  <si>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</si>
  <si>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</si>
  <si>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</si>
  <si>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</si>
  <si>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</si>
  <si>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</si>
  <si>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</si>
  <si>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</si>
  <si>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</si>
  <si>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</si>
  <si>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</si>
  <si>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</si>
  <si>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</si>
  <si>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</si>
  <si>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</si>
  <si>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</si>
  <si>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</si>
  <si>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</si>
  <si>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</si>
  <si>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</si>
  <si>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</si>
  <si>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</si>
  <si>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</si>
  <si>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</si>
  <si>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</si>
  <si>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</si>
  <si>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</si>
  <si>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</si>
  <si>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</si>
  <si>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</si>
  <si>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</si>
  <si>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</si>
  <si>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</si>
  <si>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</si>
  <si>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</si>
  <si>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</si>
  <si>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</si>
  <si>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</si>
  <si>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</si>
  <si>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</si>
  <si>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</si>
  <si>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</si>
  <si>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</si>
  <si>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</si>
  <si>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</si>
  <si>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</si>
  <si>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</si>
  <si>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</si>
  <si>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</si>
  <si>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</si>
  <si>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</si>
  <si>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</si>
  <si>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</si>
  <si>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</si>
  <si>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</si>
  <si>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</si>
  <si>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</si>
  <si>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</si>
  <si>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</si>
  <si>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</si>
  <si>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</si>
  <si>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</si>
  <si>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</si>
  <si>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</si>
  <si>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</si>
  <si>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</si>
  <si>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</si>
  <si>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</si>
  <si>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</si>
  <si>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</si>
  <si>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</si>
  <si>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</si>
  <si>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</si>
  <si>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</si>
  <si>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</si>
  <si>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</si>
  <si>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</si>
  <si>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</si>
  <si>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</si>
  <si>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</si>
  <si>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</si>
  <si>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</si>
  <si>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</si>
  <si>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</si>
  <si>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</si>
  <si>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</si>
  <si>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</si>
  <si>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</si>
  <si>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</si>
  <si>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</si>
  <si>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</si>
  <si>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</si>
  <si>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</si>
  <si>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</si>
  <si>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</si>
  <si>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</si>
  <si>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</si>
  <si>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</si>
  <si>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</si>
  <si>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</si>
  <si>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</si>
  <si>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</si>
  <si>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</si>
  <si>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</si>
  <si>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</si>
  <si>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</si>
  <si>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</si>
  <si>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</si>
  <si>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</si>
  <si>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</si>
  <si>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</si>
  <si>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</si>
  <si>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</si>
  <si>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</si>
  <si>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</si>
  <si>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</si>
  <si>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</si>
  <si>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</si>
  <si>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</si>
  <si>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</si>
  <si>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</si>
  <si>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</si>
  <si>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</si>
  <si>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</si>
  <si>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</si>
  <si>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</si>
  <si>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</si>
  <si>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</si>
  <si>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</si>
  <si>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</si>
  <si>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</si>
  <si>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</si>
  <si>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</si>
  <si>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</si>
  <si>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</si>
  <si>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</si>
  <si>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</si>
  <si>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</si>
  <si>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</si>
  <si>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</si>
  <si>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</si>
  <si>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</si>
  <si>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</si>
  <si>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</si>
  <si>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</si>
  <si>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</si>
  <si>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</si>
  <si>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</si>
  <si>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</si>
  <si>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</si>
  <si>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</si>
  <si>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</si>
  <si>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</si>
  <si>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</si>
  <si>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</si>
  <si>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</si>
  <si>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</si>
  <si>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</si>
  <si>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</si>
  <si>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</si>
  <si>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</si>
  <si>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</si>
  <si>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</si>
  <si>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</si>
  <si>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</si>
  <si>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</si>
  <si>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</si>
  <si>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</si>
  <si>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</si>
  <si>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</si>
  <si>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</si>
  <si>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</si>
  <si>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</si>
  <si>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</si>
  <si>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</si>
  <si>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</si>
  <si>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</si>
  <si>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</si>
  <si>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</si>
  <si>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</si>
  <si>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</si>
  <si>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</si>
  <si>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</si>
  <si>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</si>
  <si>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</si>
  <si>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</si>
  <si>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</si>
  <si>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</si>
  <si>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</si>
  <si>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</si>
  <si>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</si>
  <si>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</si>
  <si>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</si>
  <si>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</si>
  <si>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</si>
  <si>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</si>
  <si>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</si>
  <si>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</si>
  <si>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</si>
  <si>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</si>
  <si>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</si>
  <si>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</si>
  <si>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</si>
  <si>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</si>
  <si>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</si>
  <si>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</si>
  <si>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</si>
  <si>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</si>
  <si>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</si>
  <si>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</si>
  <si>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</si>
  <si>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</si>
  <si>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</si>
  <si>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</si>
  <si>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</si>
  <si>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</si>
  <si>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</si>
  <si>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</si>
  <si>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</si>
  <si>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</si>
  <si>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</si>
  <si>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</si>
  <si>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</si>
  <si>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</si>
  <si>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</si>
  <si>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</si>
  <si>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</si>
  <si>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</si>
  <si>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</si>
  <si>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</si>
  <si>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</si>
  <si>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</si>
  <si>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</si>
  <si>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</si>
  <si>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</si>
  <si>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</si>
  <si>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</si>
  <si>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</si>
  <si>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</si>
  <si>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</si>
  <si>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</si>
  <si>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</si>
  <si>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地面单价</t>
    <phoneticPr fontId="229" type="noConversion"/>
  </si>
  <si>
    <t>土地面积</t>
    <phoneticPr fontId="229" type="noConversion"/>
  </si>
  <si>
    <t>㎡</t>
    <phoneticPr fontId="229" type="noConversion"/>
  </si>
  <si>
    <t>元/㎡</t>
    <phoneticPr fontId="229" type="noConversion"/>
  </si>
  <si>
    <t>土地总价</t>
    <phoneticPr fontId="229" type="noConversion"/>
  </si>
  <si>
    <t>万元</t>
    <phoneticPr fontId="229" type="noConversion"/>
  </si>
  <si>
    <t>单位</t>
    <phoneticPr fontId="229" type="noConversion"/>
  </si>
  <si>
    <t>出让金（扣除40%）</t>
    <phoneticPr fontId="229" type="noConversion"/>
  </si>
  <si>
    <t>计入机械设备价值（土地总价150%）</t>
    <phoneticPr fontId="229" type="noConversion"/>
  </si>
  <si>
    <t>项目</t>
    <phoneticPr fontId="229" type="noConversion"/>
  </si>
  <si>
    <t>金额</t>
    <phoneticPr fontId="229" type="noConversion"/>
  </si>
  <si>
    <t>标准收费（元）</t>
    <phoneticPr fontId="229" type="noConversion"/>
  </si>
  <si>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</si>
  <si>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</si>
  <si>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</si>
  <si>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</si>
  <si>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</si>
  <si>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</si>
  <si>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</si>
  <si>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</si>
  <si>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</si>
  <si>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</si>
  <si>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</si>
  <si>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</si>
  <si>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</si>
  <si>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</si>
  <si>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</si>
  <si>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</si>
  <si>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</si>
  <si>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</si>
  <si>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</si>
  <si>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</si>
  <si>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</si>
  <si>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</si>
  <si>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</si>
  <si>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</si>
  <si>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</si>
  <si>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</si>
  <si>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</si>
  <si>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</si>
  <si>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</si>
  <si>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</si>
  <si>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</si>
  <si>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</si>
  <si>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</si>
  <si>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</si>
  <si>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</si>
  <si>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</si>
  <si>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</si>
  <si>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</si>
  <si>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</si>
  <si>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</si>
  <si>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</si>
  <si>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</si>
  <si>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</si>
  <si>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</si>
  <si>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</si>
  <si>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</si>
  <si>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</si>
  <si>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</si>
  <si>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</si>
  <si>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</si>
  <si>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</si>
  <si>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</si>
  <si>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</si>
  <si>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</si>
  <si>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</si>
  <si>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</si>
  <si>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</si>
  <si>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</si>
  <si>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</si>
  <si>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</si>
  <si>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</si>
  <si>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</si>
  <si>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</si>
  <si>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</si>
  <si>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</si>
  <si>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</si>
  <si>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</si>
  <si>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</si>
  <si>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</si>
  <si>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</si>
  <si>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</si>
  <si>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</si>
  <si>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</si>
  <si>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</si>
  <si>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</si>
  <si>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</si>
  <si>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</si>
  <si>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</si>
  <si>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</si>
  <si>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</si>
  <si>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</si>
  <si>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</si>
  <si>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</si>
  <si>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</si>
  <si>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</si>
  <si>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</si>
  <si>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</si>
  <si>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</si>
  <si>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</si>
  <si>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</si>
  <si>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</si>
  <si>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</si>
  <si>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</si>
  <si>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</si>
  <si>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</si>
  <si>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</si>
  <si>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</si>
  <si>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</si>
  <si>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</si>
  <si>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</si>
  <si>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</si>
  <si>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</si>
  <si>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</si>
  <si>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</si>
  <si>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</si>
  <si>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</si>
  <si>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</si>
  <si>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</si>
  <si>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</si>
  <si>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</si>
  <si>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</si>
  <si>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</si>
  <si>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</si>
  <si>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</si>
  <si>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</si>
  <si>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</si>
  <si>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</si>
  <si>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</si>
  <si>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</si>
  <si>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</si>
  <si>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</si>
  <si>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</si>
  <si>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</si>
  <si>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</si>
  <si>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</si>
  <si>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</si>
  <si>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</si>
  <si>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</si>
  <si>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</si>
  <si>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</si>
  <si>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</si>
  <si>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</si>
  <si>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</si>
  <si>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</si>
  <si>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</si>
  <si>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</si>
  <si>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</si>
  <si>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</si>
  <si>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</si>
  <si>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</si>
  <si>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</si>
  <si>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</si>
  <si>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</si>
  <si>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</si>
  <si>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</si>
  <si>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</si>
  <si>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</si>
  <si>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</si>
  <si>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</si>
  <si>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</si>
  <si>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</si>
  <si>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</si>
  <si>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</si>
  <si>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</si>
  <si>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</si>
  <si>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</si>
  <si>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</si>
  <si>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</si>
  <si>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审定时间</t>
    <phoneticPr fontId="4" type="noConversion"/>
  </si>
  <si>
    <t>期日修正系数</t>
    <phoneticPr fontId="4" type="noConversion"/>
  </si>
  <si>
    <t>案例</t>
    <phoneticPr fontId="16" type="noConversion"/>
  </si>
  <si>
    <t>征收补偿安置费</t>
  </si>
  <si>
    <t>北京市怀柔区河防口村南</t>
    <phoneticPr fontId="7" type="noConversion"/>
  </si>
  <si>
    <t>企业</t>
  </si>
  <si>
    <t>工业</t>
    <phoneticPr fontId="7" type="noConversion"/>
  </si>
  <si>
    <t>一致</t>
  </si>
  <si>
    <t>陈颖</t>
  </si>
  <si>
    <t>叶凌</t>
  </si>
  <si>
    <t>北京兴发水泥有限公司</t>
    <phoneticPr fontId="7" type="noConversion"/>
  </si>
  <si>
    <t>北京兴发水泥有限公司</t>
    <phoneticPr fontId="7" type="noConversion"/>
  </si>
  <si>
    <t>核定资产</t>
  </si>
  <si>
    <t>市场价格</t>
  </si>
  <si>
    <t>地上</t>
  </si>
  <si>
    <t>有证</t>
    <phoneticPr fontId="4" type="noConversion"/>
  </si>
  <si>
    <t>违章</t>
    <phoneticPr fontId="4" type="noConversion"/>
  </si>
  <si>
    <t>有证+违章</t>
    <phoneticPr fontId="8" type="noConversion"/>
  </si>
  <si>
    <t>采矿用地</t>
  </si>
  <si>
    <t>成本逼近法</t>
  </si>
  <si>
    <t>按公示增长率计算</t>
  </si>
  <si>
    <t>五通一平</t>
  </si>
  <si>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</si>
  <si>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</si>
  <si>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</si>
  <si>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</si>
  <si>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</si>
  <si>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</si>
  <si>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</si>
  <si>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</si>
  <si>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1-5月</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</si>
  <si>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</si>
  <si>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</si>
  <si>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</si>
  <si>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</si>
  <si>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员工月生活补助</t>
    <phoneticPr fontId="229" type="noConversion"/>
  </si>
  <si>
    <t>人数</t>
    <phoneticPr fontId="229" type="noConversion"/>
  </si>
  <si>
    <t>补偿金额(元/月）</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</si>
  <si>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</si>
  <si>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</si>
  <si>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</si>
  <si>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</si>
  <si>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2018年净利润</t>
    <phoneticPr fontId="229" type="noConversion"/>
  </si>
  <si>
    <t>2019年1-3月净利润</t>
    <phoneticPr fontId="229" type="noConversion"/>
  </si>
  <si>
    <t>搬迁费</t>
    <phoneticPr fontId="229" type="noConversion"/>
  </si>
  <si>
    <t>建筑面积</t>
    <phoneticPr fontId="229" type="noConversion"/>
  </si>
  <si>
    <t>补偿标准（元/平方米）</t>
    <phoneticPr fontId="229" type="noConversion"/>
  </si>
  <si>
    <t>评估价格</t>
  </si>
  <si>
    <t>备注</t>
  </si>
  <si>
    <t>（万元）</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</si>
  <si>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</si>
  <si>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</si>
  <si>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</si>
  <si>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</si>
  <si>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</si>
  <si>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</si>
  <si>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</si>
  <si>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</si>
  <si>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</si>
  <si>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</si>
  <si>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附属物价格</t>
    <phoneticPr fontId="229" type="noConversion"/>
  </si>
  <si>
    <t>容积率修正</t>
  </si>
  <si>
    <t>划拨</t>
  </si>
  <si>
    <t>自定义容积率</t>
  </si>
  <si>
    <t>土地</t>
  </si>
  <si>
    <t>较好</t>
  </si>
  <si>
    <t>一般</t>
  </si>
  <si>
    <t>较差</t>
  </si>
  <si>
    <t>十二级</t>
  </si>
  <si>
    <t>Ⅻ-怀1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</si>
</sst>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
      <u/>
      <sz val="12"/>
      <color indexed="12"/>
      <name val="宋体"/>
      <family val="3"/>
      <charset val="134"/>
    </font>
    <font>
      <b/>
      <sz val="12"/>
      <color theme="1"/>
      <name val="仿宋_GB2312"/>
      <family val="3"/>
      <charset val="134"/>
    </font>
    <font>
      <b/>
      <sz val="10"/>
      <color rgb="FFFF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2" tint="-9.9978637043366805E-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46" fillId="0" borderId="0">
      <alignment vertical="center"/>
    </xf>
    <xf numFmtId="0" fontId="286" fillId="17" borderId="0" applyNumberFormat="0" applyBorder="0" applyProtection="0">
      <alignment vertical="center"/>
    </xf>
    <xf numFmtId="0" fontId="286" fillId="18" borderId="0" applyNumberFormat="0" applyBorder="0" applyProtection="0">
      <alignment vertical="center"/>
    </xf>
    <xf numFmtId="0" fontId="286" fillId="19" borderId="0" applyNumberFormat="0" applyBorder="0" applyAlignment="0" applyProtection="0">
      <alignment vertical="center"/>
    </xf>
    <xf numFmtId="0" fontId="287" fillId="20" borderId="154" applyNumberFormat="0" applyProtection="0">
      <alignment vertical="center"/>
    </xf>
    <xf numFmtId="0" fontId="1" fillId="0" borderId="0">
      <alignment vertical="center"/>
    </xf>
    <xf numFmtId="0" fontId="257" fillId="0" borderId="0"/>
    <xf numFmtId="0" fontId="1" fillId="0" borderId="0">
      <alignment vertical="center"/>
    </xf>
    <xf numFmtId="0" fontId="257" fillId="0" borderId="0"/>
    <xf numFmtId="0" fontId="288" fillId="0" borderId="0" applyNumberFormat="0" applyFill="0" applyBorder="0" applyAlignment="0" applyProtection="0">
      <alignment vertical="top"/>
      <protection locked="0"/>
    </xf>
  </cellStyleXfs>
  <cellXfs count="355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147" fillId="0" borderId="2" xfId="0" applyFont="1" applyFill="1" applyBorder="1" applyAlignment="1">
      <alignment horizontal="center" vertical="center"/>
    </xf>
    <xf numFmtId="0" fontId="276" fillId="0" borderId="0" xfId="17" applyFont="1" applyFill="1" applyBorder="1">
      <alignment vertical="center"/>
    </xf>
    <xf numFmtId="0" fontId="278" fillId="0" borderId="2" xfId="17" applyFont="1" applyFill="1" applyBorder="1" applyAlignment="1">
      <alignment horizontal="center" vertical="center"/>
    </xf>
    <xf numFmtId="0" fontId="276" fillId="0" borderId="0" xfId="17" applyFont="1" applyFill="1" applyBorder="1" applyAlignment="1">
      <alignment vertical="center"/>
    </xf>
    <xf numFmtId="0" fontId="279" fillId="0" borderId="2" xfId="17" applyFont="1" applyFill="1" applyBorder="1" applyAlignment="1">
      <alignment horizontal="center" vertical="center"/>
    </xf>
    <xf numFmtId="0" fontId="280" fillId="0" borderId="2" xfId="17" applyNumberFormat="1" applyFont="1" applyFill="1" applyBorder="1" applyAlignment="1">
      <alignment horizontal="center" vertical="center" wrapText="1"/>
    </xf>
    <xf numFmtId="177"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2" fillId="0" borderId="21" xfId="17" applyFont="1" applyFill="1" applyBorder="1" applyAlignment="1">
      <alignment horizontal="center" vertical="center"/>
    </xf>
    <xf numFmtId="0" fontId="282" fillId="0" borderId="0" xfId="17" applyFont="1" applyFill="1" applyBorder="1">
      <alignment vertical="center"/>
    </xf>
    <xf numFmtId="0" fontId="282"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0" fillId="0" borderId="2" xfId="17" applyNumberFormat="1" applyFont="1" applyFill="1" applyBorder="1" applyAlignment="1">
      <alignment horizontal="center" vertical="center" wrapText="1"/>
    </xf>
    <xf numFmtId="0"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79" fillId="0" borderId="0" xfId="17" applyFont="1" applyFill="1" applyBorder="1">
      <alignment vertical="center"/>
    </xf>
    <xf numFmtId="177" fontId="280" fillId="0" borderId="2" xfId="17" applyNumberFormat="1" applyFont="1" applyBorder="1" applyAlignment="1">
      <alignment horizontal="center" vertical="center" wrapText="1"/>
    </xf>
    <xf numFmtId="177" fontId="281" fillId="0" borderId="2" xfId="17" applyNumberFormat="1" applyFont="1" applyBorder="1" applyAlignment="1">
      <alignment horizontal="center" vertical="center" wrapText="1"/>
    </xf>
    <xf numFmtId="0" fontId="282" fillId="0" borderId="10" xfId="17" applyFont="1" applyFill="1" applyBorder="1" applyAlignment="1">
      <alignment horizontal="center" vertical="center"/>
    </xf>
    <xf numFmtId="177" fontId="280" fillId="0" borderId="0" xfId="17" applyNumberFormat="1" applyFont="1" applyFill="1" applyBorder="1" applyAlignment="1">
      <alignment horizontal="center" vertical="center"/>
    </xf>
    <xf numFmtId="185" fontId="280"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79"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1"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0" fillId="0" borderId="2" xfId="18" applyNumberFormat="1" applyFont="1" applyFill="1" applyBorder="1" applyAlignment="1">
      <alignment horizontal="center" vertical="center" wrapText="1"/>
    </xf>
    <xf numFmtId="177" fontId="280" fillId="0" borderId="2" xfId="17" applyNumberFormat="1" applyFont="1" applyFill="1" applyBorder="1" applyAlignment="1">
      <alignment horizontal="left" vertical="center" wrapText="1"/>
    </xf>
    <xf numFmtId="0" fontId="280"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3" fillId="0" borderId="2" xfId="17" applyNumberFormat="1" applyFont="1" applyFill="1" applyBorder="1" applyAlignment="1">
      <alignment horizontal="center" vertical="center"/>
    </xf>
    <xf numFmtId="177" fontId="283"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6" fillId="0" borderId="0" xfId="17" applyFont="1" applyFill="1" applyBorder="1" applyAlignment="1">
      <alignment horizontal="left" vertical="center"/>
    </xf>
    <xf numFmtId="0" fontId="276" fillId="0" borderId="0" xfId="17" applyFont="1" applyFill="1" applyBorder="1" applyAlignment="1">
      <alignment horizontal="center" vertical="center"/>
    </xf>
    <xf numFmtId="0" fontId="33" fillId="8" borderId="0" xfId="0" applyFont="1" applyFill="1" applyAlignment="1" applyProtection="1">
      <alignment vertical="center"/>
      <protection locked="0"/>
    </xf>
    <xf numFmtId="0" fontId="146" fillId="0" borderId="0" xfId="1">
      <alignment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289" fillId="0" borderId="39" xfId="1" applyFont="1" applyBorder="1" applyAlignment="1">
      <alignment horizontal="center" vertical="center" wrapText="1"/>
    </xf>
    <xf numFmtId="0" fontId="289" fillId="0" borderId="66" xfId="1" applyFont="1" applyBorder="1" applyAlignment="1">
      <alignment horizontal="center" vertical="center" wrapText="1"/>
    </xf>
    <xf numFmtId="0" fontId="177" fillId="0" borderId="80" xfId="1" applyFont="1" applyBorder="1" applyAlignment="1">
      <alignment horizontal="center" vertical="center" wrapText="1"/>
    </xf>
    <xf numFmtId="0" fontId="195" fillId="0" borderId="66" xfId="1" applyFont="1" applyBorder="1" applyAlignment="1">
      <alignment horizontal="center" vertical="center" wrapText="1"/>
    </xf>
    <xf numFmtId="0" fontId="177" fillId="0" borderId="66" xfId="1" applyFont="1" applyBorder="1" applyAlignment="1">
      <alignment horizontal="center" vertical="center" wrapText="1"/>
    </xf>
    <xf numFmtId="180" fontId="290" fillId="5" borderId="2" xfId="2" applyNumberFormat="1" applyFont="1" applyFill="1" applyBorder="1" applyAlignment="1" applyProtection="1">
      <alignment horizontal="center" vertical="center"/>
    </xf>
    <xf numFmtId="178" fontId="290" fillId="5" borderId="2" xfId="2" applyNumberFormat="1" applyFont="1" applyFill="1" applyBorder="1" applyAlignment="1" applyProtection="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89" fillId="0" borderId="35" xfId="1" applyFont="1" applyBorder="1" applyAlignment="1">
      <alignment horizontal="center" vertical="center" wrapText="1"/>
    </xf>
    <xf numFmtId="0" fontId="289" fillId="0" borderId="80" xfId="1" applyFont="1" applyBorder="1" applyAlignment="1">
      <alignment horizontal="center"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5" xfId="1" applyFont="1" applyBorder="1" applyAlignment="1">
      <alignment horizontal="center" vertical="center"/>
    </xf>
    <xf numFmtId="0" fontId="146" fillId="0" borderId="9" xfId="1" applyFont="1" applyBorder="1" applyAlignment="1">
      <alignment horizontal="center" vertical="center"/>
    </xf>
    <xf numFmtId="0" fontId="146" fillId="8" borderId="2" xfId="1" applyFill="1" applyBorder="1" applyAlignment="1">
      <alignment horizontal="center" vertical="center"/>
    </xf>
    <xf numFmtId="0" fontId="147" fillId="21"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277" fillId="0" borderId="2" xfId="18" applyFont="1" applyFill="1" applyBorder="1" applyAlignment="1">
      <alignment horizontal="center" vertical="center" wrapText="1"/>
    </xf>
    <xf numFmtId="0" fontId="277" fillId="0" borderId="2" xfId="18" applyFont="1" applyFill="1" applyBorder="1" applyAlignment="1">
      <alignment horizontal="center" vertical="center"/>
    </xf>
    <xf numFmtId="0" fontId="278" fillId="0" borderId="2" xfId="17" applyFont="1" applyFill="1" applyBorder="1" applyAlignment="1">
      <alignment horizontal="center" vertical="center" wrapText="1"/>
    </xf>
    <xf numFmtId="0" fontId="278" fillId="0" borderId="2" xfId="17" applyFont="1" applyFill="1" applyBorder="1" applyAlignment="1">
      <alignment horizontal="center" vertical="center"/>
    </xf>
    <xf numFmtId="0" fontId="275" fillId="0" borderId="17" xfId="16" applyFont="1" applyFill="1" applyBorder="1" applyAlignment="1">
      <alignment horizontal="center" vertical="center" wrapText="1"/>
    </xf>
    <xf numFmtId="0" fontId="275" fillId="0" borderId="19" xfId="16" applyFont="1" applyFill="1" applyBorder="1" applyAlignment="1">
      <alignment horizontal="center" vertical="center" wrapText="1"/>
    </xf>
    <xf numFmtId="195" fontId="277" fillId="0" borderId="2" xfId="18" applyNumberFormat="1" applyFont="1" applyFill="1" applyBorder="1" applyAlignment="1">
      <alignment horizontal="center" vertical="center" wrapText="1"/>
    </xf>
    <xf numFmtId="195" fontId="277" fillId="0" borderId="2" xfId="18" applyNumberFormat="1" applyFont="1" applyFill="1" applyBorder="1" applyAlignment="1">
      <alignment horizontal="center" vertical="center"/>
    </xf>
  </cellXfs>
  <cellStyles count="29">
    <cellStyle name="百分比 2" xfId="11"/>
    <cellStyle name="常规" xfId="0" builtinId="0"/>
    <cellStyle name="常规 10" xfId="17"/>
    <cellStyle name="常规 11" xfId="24"/>
    <cellStyle name="常规 12" xfId="25"/>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7" xfId="9"/>
    <cellStyle name="常规 8" xfId="15"/>
    <cellStyle name="常规 8 2" xfId="26"/>
    <cellStyle name="常规 9" xfId="14"/>
    <cellStyle name="常规 9 2" xfId="27"/>
    <cellStyle name="超链接 2" xfId="28"/>
    <cellStyle name="强调文字颜色 2 2 2_Sheet1_2_Sheet1_1" xfId="20"/>
    <cellStyle name="强调文字颜色 5 2 2" xfId="21"/>
    <cellStyle name="强调文字颜色 6 2 2" xfId="22"/>
    <cellStyle name="输入 2 2_Sheet1_5" xfId="23"/>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12</xdr:col>
      <xdr:colOff>236932</xdr:colOff>
      <xdr:row>34</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314950"/>
          <a:ext cx="9552382" cy="1219048"/>
        </a:xfrm>
        <a:prstGeom prst="rect">
          <a:avLst/>
        </a:prstGeom>
      </xdr:spPr>
    </xdr:pic>
    <xdr:clientData/>
  </xdr:twoCellAnchor>
  <xdr:twoCellAnchor editAs="oneCell">
    <xdr:from>
      <xdr:col>1</xdr:col>
      <xdr:colOff>0</xdr:colOff>
      <xdr:row>35</xdr:row>
      <xdr:rowOff>0</xdr:rowOff>
    </xdr:from>
    <xdr:to>
      <xdr:col>12</xdr:col>
      <xdr:colOff>494074</xdr:colOff>
      <xdr:row>41</xdr:row>
      <xdr:rowOff>66538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686550"/>
          <a:ext cx="9809524"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580;&#20852;&#21457;&#27700;&#27877;&#21378;&#36755;&#26426;&#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68;&#23646;&#29289;&#32467;&#26524;&#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641;&#26408;&#32479;&#35745;&#65288;&#38498;&#22806;&#65289;-&#27979;&#31639;&#20844;&#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29">
          <cell r="D29">
            <v>129772.51</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无证房屋"/>
      <sheetName val="有证房屋"/>
      <sheetName val="分值"/>
      <sheetName val="附属物"/>
    </sheetNames>
    <sheetDataSet>
      <sheetData sheetId="0"/>
      <sheetData sheetId="1">
        <row r="30">
          <cell r="B30">
            <v>12491361</v>
          </cell>
        </row>
      </sheetData>
      <sheetData sheetId="2">
        <row r="30">
          <cell r="B30">
            <v>64890459</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道路登记表"/>
      <sheetName val="墙及护坡"/>
      <sheetName val="附属物表"/>
      <sheetName val="皮带廊外部彩钢板"/>
    </sheetNames>
    <sheetDataSet>
      <sheetData sheetId="0">
        <row r="29">
          <cell r="F29">
            <v>46495615.519999996</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s>
    <sheetDataSet>
      <sheetData sheetId="0"/>
      <sheetData sheetId="1"/>
      <sheetData sheetId="2"/>
      <sheetData sheetId="3"/>
      <sheetData sheetId="4">
        <row r="111">
          <cell r="G111">
            <v>9078042</v>
          </cell>
        </row>
      </sheetData>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北京市划拨国有建设用地使用权市场价格预评估</v>
      </c>
      <c r="AX2" s="2875"/>
      <c r="AZ2" s="2875"/>
      <c r="BA2" s="2876"/>
      <c r="BC2" s="2876"/>
    </row>
    <row r="3" spans="1:55" s="2877" customFormat="1">
      <c r="A3" s="2856" t="s">
        <v>2662</v>
      </c>
      <c r="B3" s="2859" t="str">
        <f>'预评函-封皮'!B40</f>
        <v>北京兴发水泥有限公司</v>
      </c>
    </row>
    <row r="4" spans="1:55" s="2858" customFormat="1">
      <c r="A4" s="2856" t="s">
        <v>2663</v>
      </c>
      <c r="B4" s="2857" t="str">
        <f>'预评函-封皮'!B46</f>
        <v>陈颖、叶凌</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受贵公司委托，我公司对北京市划拨国有建设用地使用权市场价格进行了预评估。</v>
      </c>
      <c r="AM6" s="2881"/>
    </row>
    <row r="7" spans="1:55" s="2855" customFormat="1">
      <c r="A7" s="2856" t="s">
        <v>2658</v>
      </c>
      <c r="B7" s="2857" t="str">
        <f>'预评函-1'!A6</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73383.9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本次评估为委托估价方了解标的物之市场价格提供参考依据而评估划拨国有建设用地使用权市场价格。</v>
      </c>
    </row>
    <row r="10" spans="1:55" s="2855" customFormat="1">
      <c r="A10" s="2856" t="s">
        <v>2660</v>
      </c>
      <c r="B10" s="2857" t="str">
        <f>'预评函-1'!A11</f>
        <v>2019年3月31日</v>
      </c>
    </row>
    <row r="11" spans="1:55" s="2855" customFormat="1">
      <c r="A11" s="2856" t="s">
        <v>2666</v>
      </c>
      <c r="B11" s="2857" t="str">
        <f>'预评函-1'!A14</f>
        <v>根据《国有土地使用证》[]，本次评估估价对象证载（地类）用途为工业。</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根据《国有土地使用证》[]，估价对象（分摊）出让国有建设用地使用权面积为585007平方米。根据《建设工程规划许可证》[]、《出让合同》[]，估价对象规划建筑面积为73383.9平方米。</v>
      </c>
    </row>
    <row r="16" spans="1:55" s="2855" customFormat="1">
      <c r="A16" s="2856" t="s">
        <v>2670</v>
      </c>
      <c r="B16" s="2857" t="str">
        <f>'预评函-1'!A22</f>
        <v>本次估价对象国有建设用地使用权类型为划拨，无土地使用年限限制。</v>
      </c>
    </row>
    <row r="17" spans="1:48" s="2855" customFormat="1">
      <c r="A17" s="2856" t="s">
        <v>2671</v>
      </c>
      <c r="B17" s="2857" t="str">
        <f>'预评函-1'!A23</f>
        <v/>
      </c>
    </row>
    <row r="18" spans="1:48" s="2855" customFormat="1">
      <c r="A18" s="2856" t="s">
        <v>2672</v>
      </c>
      <c r="B18" s="2857" t="str">
        <f>'预评函-1'!A25</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56" t="s">
        <v>2677</v>
      </c>
      <c r="B23" s="2857" t="str">
        <f>'预评函-2'!K2</f>
        <v>估价期日：2019年3月31日</v>
      </c>
    </row>
    <row r="24" spans="1:48">
      <c r="A24" s="2856" t="s">
        <v>2678</v>
      </c>
      <c r="B24" s="2857" t="str">
        <f>'预评函-2'!R2</f>
        <v>估价期日的国有建设用地使用权性质：划拨</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工业</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v>
      </c>
    </row>
    <row r="42" spans="1:2">
      <c r="A42" s="2856" t="s">
        <v>2740</v>
      </c>
      <c r="B42" s="2857" t="str">
        <f>'预评函-2'!N3</f>
        <v>（分摊）划拨国有建设用地使用权面积/㎡</v>
      </c>
    </row>
    <row r="43" spans="1:2">
      <c r="A43" s="2856" t="s">
        <v>2722</v>
      </c>
      <c r="B43" s="2857">
        <f>'预评函-2'!N5</f>
        <v>585007</v>
      </c>
    </row>
    <row r="44" spans="1:2">
      <c r="A44" s="2856" t="s">
        <v>2741</v>
      </c>
      <c r="B44" s="2857" t="str">
        <f>'预评函-2'!O3</f>
        <v>规划建筑面积/㎡</v>
      </c>
    </row>
    <row r="45" spans="1:2">
      <c r="A45" s="2856" t="s">
        <v>2723</v>
      </c>
      <c r="B45" s="2857">
        <f>'预评函-2'!O5</f>
        <v>73383.899999999994</v>
      </c>
    </row>
    <row r="46" spans="1:2">
      <c r="A46" s="2856" t="s">
        <v>2724</v>
      </c>
      <c r="B46" s="2857">
        <f ca="1">'预评函-2'!P5</f>
        <v>3216</v>
      </c>
    </row>
    <row r="47" spans="1:2">
      <c r="A47" s="2856" t="s">
        <v>2725</v>
      </c>
      <c r="B47" s="2857">
        <f ca="1">'预评函-2'!Q5</f>
        <v>25635</v>
      </c>
    </row>
    <row r="48" spans="1:2">
      <c r="A48" s="2856" t="s">
        <v>2726</v>
      </c>
      <c r="B48" s="2857">
        <f ca="1">'预评函-2'!R5</f>
        <v>188123</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陈颖</v>
      </c>
    </row>
    <row r="70" spans="1:2">
      <c r="A70" s="2856" t="s">
        <v>2691</v>
      </c>
      <c r="B70" s="2863">
        <f ca="1">'预评函-3'!B20</f>
        <v>2004110096</v>
      </c>
    </row>
    <row r="71" spans="1:2">
      <c r="A71" s="2856" t="s">
        <v>2692</v>
      </c>
      <c r="B71" s="2857" t="str">
        <f>'预评函-3'!A21</f>
        <v>叶凌</v>
      </c>
    </row>
    <row r="72" spans="1:2" s="2871" customFormat="1" ht="15" thickBot="1">
      <c r="A72" s="2878" t="s">
        <v>2692</v>
      </c>
      <c r="B72" s="2884">
        <f ca="1">'预评函-3'!B21</f>
        <v>94010078</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E44" sqref="E4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88" t="str">
        <f>IF(B10="北京市","北京市",C10)&amp;F10&amp;B16&amp;"国有建设用地使用权"&amp;B9&amp;"预评估"</f>
        <v>北京市划拨国有建设用地使用权市场价格预评估</v>
      </c>
      <c r="C1" s="3289"/>
      <c r="D1" s="3289"/>
      <c r="E1" s="3289"/>
      <c r="F1" s="3289"/>
      <c r="G1" s="3289"/>
      <c r="H1" s="3289"/>
      <c r="I1" s="3290"/>
      <c r="J1" s="1693"/>
      <c r="K1" s="2434" t="str">
        <f>IF(B10="北京市","北京市",C10)&amp;F10&amp;B16&amp;"国有建设用地使用权"&amp;B9</f>
        <v>北京市划拨国有建设用地使用权市场价格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北京市划拨国有建设用地使用权</v>
      </c>
      <c r="L2" s="1722"/>
      <c r="M2" s="1722"/>
      <c r="N2" s="1693"/>
      <c r="O2" s="1694"/>
      <c r="P2" s="1693"/>
      <c r="Q2" s="1693"/>
      <c r="R2" s="1693"/>
      <c r="S2" s="1693"/>
      <c r="T2" s="1693"/>
      <c r="U2" s="1693"/>
    </row>
    <row r="3" spans="1:21">
      <c r="A3" s="1660" t="s">
        <v>1940</v>
      </c>
      <c r="B3" s="1661">
        <v>43590</v>
      </c>
      <c r="C3" s="1662" t="s">
        <v>1996</v>
      </c>
      <c r="D3" s="1661">
        <v>43555</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3170</v>
      </c>
      <c r="C4" s="1845">
        <f ca="1">SUMIF(土地估价师,B4,估价师及机构信息!E3:E24)</f>
        <v>2004110096</v>
      </c>
      <c r="D4" s="1842" t="s">
        <v>3171</v>
      </c>
      <c r="E4" s="1845">
        <f ca="1">SUMIF(土地估价师,D4,估价师及机构信息!E3:E24)</f>
        <v>94010078</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陈颖、叶凌</v>
      </c>
      <c r="L4" s="1722"/>
      <c r="M4" s="1722"/>
      <c r="N4" s="1693"/>
      <c r="O4" s="1694"/>
      <c r="P4" s="1693"/>
      <c r="Q4" s="1693"/>
      <c r="R4" s="1693"/>
      <c r="S4" s="1693"/>
      <c r="T4" s="1693"/>
      <c r="U4" s="1693"/>
    </row>
    <row r="5" spans="1:21" ht="15" thickTop="1">
      <c r="A5" s="1664" t="s">
        <v>1942</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3174</v>
      </c>
      <c r="C8" s="1670"/>
      <c r="D8" s="3294"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3175</v>
      </c>
      <c r="C9" s="1674"/>
      <c r="D9" s="3295"/>
      <c r="E9" s="1673"/>
      <c r="F9" s="1746"/>
      <c r="G9" s="1741"/>
      <c r="H9" s="1741"/>
      <c r="I9" s="1742"/>
      <c r="J9" s="1693"/>
      <c r="K9" s="1773"/>
      <c r="L9" s="1722"/>
      <c r="M9" s="1722"/>
      <c r="N9" s="1693"/>
      <c r="O9" s="1694"/>
      <c r="P9" s="1693"/>
      <c r="Q9" s="1693"/>
      <c r="R9" s="1693"/>
      <c r="S9" s="1693"/>
      <c r="T9" s="1693"/>
      <c r="U9" s="1693"/>
    </row>
    <row r="10" spans="1:21" ht="29.25" thickTop="1">
      <c r="A10" s="1743" t="s">
        <v>2000</v>
      </c>
      <c r="B10" s="1718" t="s">
        <v>1946</v>
      </c>
      <c r="C10" s="1675" t="s">
        <v>3166</v>
      </c>
      <c r="D10" s="1666"/>
      <c r="E10" s="1676" t="s">
        <v>1947</v>
      </c>
      <c r="F10" s="1677"/>
      <c r="G10" s="1744"/>
      <c r="H10" s="1745"/>
      <c r="I10" s="1666"/>
      <c r="J10" s="1693"/>
      <c r="K10" s="1773"/>
      <c r="L10" s="1722"/>
      <c r="M10" s="1722"/>
      <c r="N10" s="1693"/>
      <c r="O10" s="1694"/>
      <c r="P10" s="1693"/>
      <c r="Q10" s="1693"/>
      <c r="R10" s="1693"/>
      <c r="S10" s="1693"/>
      <c r="T10" s="1693"/>
      <c r="U10" s="1693"/>
    </row>
    <row r="11" spans="1:21" ht="28.5">
      <c r="A11" s="1696" t="s">
        <v>2001</v>
      </c>
      <c r="B11" s="1697" t="s">
        <v>3167</v>
      </c>
      <c r="C11" s="1678" t="s">
        <v>3172</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91" t="s">
        <v>3168</v>
      </c>
      <c r="C12" s="3292"/>
      <c r="D12" s="3293"/>
      <c r="E12" s="1698" t="s">
        <v>2062</v>
      </c>
      <c r="F12" s="3309" t="s">
        <v>2889</v>
      </c>
      <c r="G12" s="3310"/>
      <c r="H12" s="3310"/>
      <c r="I12" s="3311"/>
      <c r="J12" s="1693"/>
      <c r="K12" s="1773"/>
      <c r="L12" s="1722"/>
      <c r="M12" s="1722"/>
      <c r="N12" s="1693"/>
      <c r="O12" s="1694"/>
      <c r="P12" s="1693"/>
      <c r="Q12" s="1693"/>
      <c r="R12" s="1693"/>
      <c r="S12" s="1693"/>
      <c r="T12" s="1693"/>
      <c r="U12" s="1693"/>
    </row>
    <row r="13" spans="1:21">
      <c r="A13" s="1686" t="s">
        <v>2060</v>
      </c>
      <c r="B13" s="3291"/>
      <c r="C13" s="3292"/>
      <c r="D13" s="3293"/>
      <c r="E13" s="1698" t="s">
        <v>2062</v>
      </c>
      <c r="F13" s="3309" t="s">
        <v>2890</v>
      </c>
      <c r="G13" s="3310"/>
      <c r="H13" s="3310"/>
      <c r="I13" s="3311"/>
      <c r="J13" s="1693"/>
      <c r="K13" s="1773"/>
      <c r="L13" s="1722"/>
      <c r="M13" s="1722"/>
      <c r="N13" s="1693"/>
      <c r="O13" s="1694"/>
      <c r="P13" s="1693"/>
      <c r="Q13" s="1693"/>
      <c r="R13" s="1693"/>
      <c r="S13" s="1693"/>
      <c r="T13" s="1693"/>
      <c r="U13" s="1693"/>
    </row>
    <row r="14" spans="1:21">
      <c r="A14" s="1660" t="s">
        <v>2063</v>
      </c>
      <c r="B14" s="1698"/>
      <c r="C14" s="1844" t="s">
        <v>3169</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3224</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工业2069年3月30日</v>
      </c>
    </row>
    <row r="17" spans="1:21">
      <c r="A17" s="1762"/>
      <c r="B17" s="1681"/>
      <c r="C17" s="1682" t="s">
        <v>1956</v>
      </c>
      <c r="D17" s="1699"/>
      <c r="E17" s="1699"/>
      <c r="F17" s="1699"/>
      <c r="G17" s="1699"/>
      <c r="H17" s="1699"/>
      <c r="I17" s="1699">
        <v>61817</v>
      </c>
      <c r="J17" s="1693"/>
      <c r="K17" s="2434" t="str">
        <f>CONCATENATE(K16,L16,M16,N16,O16,P16,Q16,R16,S16,T16,,U16)</f>
        <v>工业2069年3月30日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306"/>
      <c r="E20" s="3307"/>
      <c r="F20" s="3307"/>
      <c r="G20" s="3307"/>
      <c r="H20" s="3307"/>
      <c r="I20" s="3308"/>
      <c r="J20" s="1693"/>
      <c r="K20" s="1773"/>
      <c r="L20" s="1722"/>
      <c r="M20" s="1722"/>
      <c r="N20" s="1693"/>
      <c r="O20" s="1694"/>
      <c r="P20" s="1693"/>
      <c r="Q20" s="1693"/>
      <c r="R20" s="1693"/>
      <c r="S20" s="1693"/>
      <c r="T20" s="1693"/>
      <c r="U20" s="1693"/>
    </row>
    <row r="21" spans="1:21">
      <c r="A21" s="1762" t="s">
        <v>1959</v>
      </c>
      <c r="B21" s="1763" t="s">
        <v>1960</v>
      </c>
      <c r="C21" s="1758">
        <f>'数据-汇总表'!E3</f>
        <v>73383.899999999994</v>
      </c>
      <c r="D21" s="1759" t="s">
        <v>1961</v>
      </c>
      <c r="E21" s="3296" t="s">
        <v>1999</v>
      </c>
      <c r="F21" s="3297"/>
      <c r="G21" s="3297"/>
      <c r="H21" s="3297"/>
      <c r="I21" s="3298"/>
      <c r="J21" s="1693"/>
      <c r="K21" s="1773"/>
      <c r="L21" s="1722"/>
      <c r="M21" s="1722"/>
      <c r="N21" s="1693"/>
      <c r="O21" s="1694"/>
      <c r="P21" s="1693"/>
      <c r="Q21" s="1693"/>
      <c r="R21" s="1693"/>
      <c r="S21" s="1693"/>
      <c r="T21" s="1693"/>
      <c r="U21" s="1693"/>
    </row>
    <row r="22" spans="1:21">
      <c r="A22" s="3121" t="s">
        <v>952</v>
      </c>
      <c r="B22" s="1660" t="s">
        <v>1962</v>
      </c>
      <c r="C22" s="1685">
        <f>'数据-汇总表'!D3</f>
        <v>585007</v>
      </c>
      <c r="D22" s="1686" t="s">
        <v>1961</v>
      </c>
      <c r="E22" s="3296" t="s">
        <v>2891</v>
      </c>
      <c r="F22" s="3297"/>
      <c r="G22" s="3297"/>
      <c r="H22" s="3297"/>
      <c r="I22" s="329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99" t="s">
        <v>1967</v>
      </c>
      <c r="C24" s="3300"/>
      <c r="D24" s="3301" t="s">
        <v>1968</v>
      </c>
      <c r="E24" s="3302"/>
      <c r="F24" s="1707" t="s">
        <v>1969</v>
      </c>
      <c r="G24" s="1693"/>
      <c r="H24" s="1693"/>
      <c r="I24" s="1706"/>
      <c r="J24" s="1693"/>
      <c r="K24" s="3287"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87"/>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87"/>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73" t="s">
        <v>2002</v>
      </c>
      <c r="B31" s="1763" t="s">
        <v>2003</v>
      </c>
      <c r="C31" s="3312"/>
      <c r="D31" s="3313"/>
      <c r="E31" s="1693"/>
      <c r="F31" s="1693"/>
      <c r="G31" s="1693"/>
      <c r="H31" s="1693"/>
      <c r="I31" s="1706"/>
      <c r="J31" s="1693"/>
      <c r="K31" s="2437"/>
      <c r="L31" s="1693"/>
      <c r="M31" s="1693"/>
      <c r="N31" s="1693"/>
      <c r="O31" s="1693"/>
      <c r="P31" s="1693"/>
      <c r="Q31" s="1693"/>
      <c r="R31" s="1693"/>
      <c r="S31" s="1693"/>
      <c r="T31" s="1693"/>
      <c r="U31" s="1693"/>
    </row>
    <row r="32" spans="1:21">
      <c r="A32" s="3273"/>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73"/>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74"/>
      <c r="B34" s="1660" t="s">
        <v>2006</v>
      </c>
      <c r="C34" s="3275"/>
      <c r="D34" s="3276"/>
      <c r="E34" s="1693"/>
      <c r="F34" s="1693"/>
      <c r="G34" s="1693"/>
      <c r="H34" s="1693"/>
      <c r="I34" s="1706"/>
      <c r="J34" s="1693"/>
      <c r="K34" s="2437"/>
      <c r="L34" s="1693"/>
      <c r="M34" s="1693"/>
      <c r="N34" s="1693"/>
      <c r="O34" s="1693"/>
      <c r="P34" s="1693"/>
      <c r="Q34" s="1693"/>
      <c r="R34" s="1693"/>
      <c r="S34" s="1693"/>
      <c r="T34" s="1693"/>
      <c r="U34" s="1693"/>
    </row>
    <row r="35" spans="1:21">
      <c r="A35" s="3277" t="s">
        <v>847</v>
      </c>
      <c r="B35" s="1721"/>
      <c r="C35" s="1775" t="str">
        <f>IF(B35="场地平整","——","具体情况：")</f>
        <v>具体情况：</v>
      </c>
      <c r="D35" s="3279"/>
      <c r="E35" s="3280"/>
      <c r="F35" s="3280"/>
      <c r="G35" s="3280"/>
      <c r="H35" s="3280"/>
      <c r="I35" s="3281"/>
      <c r="J35" s="1693"/>
      <c r="K35" s="1774"/>
      <c r="L35" s="1722"/>
      <c r="M35" s="1722"/>
      <c r="N35" s="1693"/>
      <c r="O35" s="1694"/>
      <c r="P35" s="1693"/>
      <c r="Q35" s="1693"/>
      <c r="R35" s="1693"/>
      <c r="S35" s="1693"/>
      <c r="T35" s="1693"/>
      <c r="U35" s="1693"/>
    </row>
    <row r="36" spans="1:21">
      <c r="A36" s="3273"/>
      <c r="B36" s="3282" t="s">
        <v>2055</v>
      </c>
      <c r="C36" s="3283"/>
      <c r="D36" s="1791"/>
      <c r="E36" s="3284"/>
      <c r="F36" s="3284"/>
      <c r="G36" s="1686" t="str">
        <f>IF(B35="场地未平整","估价结果处理","")</f>
        <v/>
      </c>
      <c r="H36" s="3285"/>
      <c r="I36" s="3285"/>
      <c r="J36" s="1693"/>
      <c r="K36" s="1774"/>
      <c r="L36" s="1722"/>
      <c r="M36" s="1722"/>
      <c r="N36" s="1693"/>
      <c r="O36" s="1694"/>
      <c r="P36" s="1693"/>
      <c r="Q36" s="1693"/>
      <c r="R36" s="1693"/>
      <c r="S36" s="1693"/>
      <c r="T36" s="1693"/>
      <c r="U36" s="1693"/>
    </row>
    <row r="37" spans="1:21" ht="28.5">
      <c r="A37" s="3273"/>
      <c r="B37" s="330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3"/>
      <c r="B38" s="3304"/>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74"/>
      <c r="B39" s="330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86" t="s">
        <v>1986</v>
      </c>
      <c r="T40" s="1730" t="str">
        <f>NUMBERSTRING(7-K40,1)&amp;"通"</f>
        <v>七通</v>
      </c>
      <c r="U40" s="1693"/>
    </row>
    <row r="41" spans="1:21" ht="42.75">
      <c r="A41" s="1662"/>
      <c r="B41" s="3278" t="s">
        <v>1722</v>
      </c>
      <c r="C41" s="3278"/>
      <c r="D41" s="3278"/>
      <c r="E41" s="3278"/>
      <c r="F41" s="1731" t="str">
        <f>C10</f>
        <v>北京市怀柔区河防口村南</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6"/>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3230</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3231</v>
      </c>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2892</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585007</v>
      </c>
      <c r="B3" s="22">
        <f>IF(C3="否",G5-AT5,G5)</f>
        <v>73383.899999999994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73383.899999999994</v>
      </c>
      <c r="H5" s="27">
        <f t="shared" ref="H5:AT5" si="0">SUM(H13:H641)</f>
        <v>73383.899999999994</v>
      </c>
      <c r="I5" s="27">
        <f t="shared" si="0"/>
        <v>73383.899999999994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73383.899999999994</v>
      </c>
      <c r="BA5" s="29">
        <f t="shared" si="1"/>
        <v>73383.899999999994</v>
      </c>
      <c r="BB5" s="29">
        <f t="shared" si="1"/>
        <v>73383.899999999994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585007</v>
      </c>
      <c r="F6" s="27" t="s">
        <v>1</v>
      </c>
      <c r="G6" s="27" t="s">
        <v>2</v>
      </c>
      <c r="H6" s="33">
        <f>SUMIF(I$12:AB$12,"总值",I6:AB6)</f>
        <v>585007</v>
      </c>
      <c r="I6" s="27">
        <f t="shared" ref="I6:AB6" si="2">ROUND($A$3*I5/$B$3,2)</f>
        <v>585007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585007</v>
      </c>
      <c r="AZ6" s="27" t="s">
        <v>3</v>
      </c>
      <c r="BA6" s="27">
        <f>ROUND($AY$6*BA5/$AZ$5,2)</f>
        <v>585007</v>
      </c>
      <c r="BB6" s="27">
        <f>ROUND($AY$6*BB5/$AZ$5,2)</f>
        <v>585007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3176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t="s">
        <v>3177</v>
      </c>
      <c r="C13" s="2989"/>
      <c r="D13" s="2990" t="s">
        <v>1679</v>
      </c>
      <c r="E13" s="27">
        <f t="shared" ref="E13:E20" si="6">IF($C$3="是",ROUND($A$3*G13/$B$3,2),ROUND($A$3*(G13-AT13)/$B$3,2))</f>
        <v>546151.30000000005</v>
      </c>
      <c r="F13" s="81"/>
      <c r="G13" s="82">
        <f t="shared" ref="G13:G20" si="7">H13+AC13+AT13</f>
        <v>68509.799999999988</v>
      </c>
      <c r="H13" s="33">
        <f t="shared" ref="H13:H20" si="8">SUMIF(I$12:AB$12,"总值",I13:AB13)</f>
        <v>68509.799999999988</v>
      </c>
      <c r="I13" s="2993">
        <f>20294.1+48215.7</f>
        <v>68509.799999999988</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t="str">
        <f t="shared" si="10"/>
        <v>有证</v>
      </c>
      <c r="AX13" s="17">
        <f t="shared" si="10"/>
        <v>0</v>
      </c>
      <c r="AY13" s="996">
        <f t="shared" ref="AY13:AY20" si="11">ROUND($AY$6*AZ13/$AZ$5,2)</f>
        <v>546151.30000000005</v>
      </c>
      <c r="AZ13" s="27">
        <f t="shared" ref="AZ13:AZ20" si="12">BA13+BL13</f>
        <v>68509.799999999988</v>
      </c>
      <c r="BA13" s="27">
        <f t="shared" ref="BA13:BA20" si="13">SUM(BB13:BK13)</f>
        <v>68509.799999999988</v>
      </c>
      <c r="BB13" s="27">
        <f t="shared" ref="BB13:BB20" si="14">IF($D13="是",I13-J13,0)</f>
        <v>68509.799999999988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t="s">
        <v>3178</v>
      </c>
      <c r="C14" s="2991"/>
      <c r="D14" s="2990" t="s">
        <v>1679</v>
      </c>
      <c r="E14" s="27">
        <f t="shared" si="6"/>
        <v>38855.699999999997</v>
      </c>
      <c r="F14" s="81"/>
      <c r="G14" s="82">
        <f t="shared" si="7"/>
        <v>4874.1000000000004</v>
      </c>
      <c r="H14" s="33">
        <f t="shared" si="8"/>
        <v>4874.1000000000004</v>
      </c>
      <c r="I14" s="2993">
        <f>2402.4+2471.7</f>
        <v>4874.1000000000004</v>
      </c>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t="str">
        <f t="shared" si="10"/>
        <v>违章</v>
      </c>
      <c r="AX14" s="17">
        <f t="shared" si="10"/>
        <v>0</v>
      </c>
      <c r="AY14" s="996">
        <f t="shared" si="11"/>
        <v>38855.699999999997</v>
      </c>
      <c r="AZ14" s="27">
        <f t="shared" si="12"/>
        <v>4874.1000000000004</v>
      </c>
      <c r="BA14" s="27">
        <f t="shared" si="13"/>
        <v>4874.1000000000004</v>
      </c>
      <c r="BB14" s="27">
        <f t="shared" si="14"/>
        <v>4874.1000000000004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4" t="s">
        <v>0</v>
      </c>
      <c r="B1" s="3314" t="s">
        <v>4</v>
      </c>
      <c r="C1" s="3314" t="s">
        <v>5</v>
      </c>
      <c r="D1" s="3315" t="s">
        <v>40</v>
      </c>
      <c r="E1" s="3315" t="s">
        <v>41</v>
      </c>
      <c r="F1" s="3315"/>
      <c r="G1" s="3315"/>
      <c r="H1" s="3315"/>
      <c r="I1" s="3315"/>
      <c r="J1" s="3315"/>
      <c r="K1" s="3315"/>
      <c r="L1" s="3315"/>
      <c r="M1" s="3315"/>
    </row>
    <row r="2" spans="1:13" ht="27" customHeight="1">
      <c r="A2" s="3314"/>
      <c r="B2" s="3314"/>
      <c r="C2" s="3314"/>
      <c r="D2" s="3315"/>
      <c r="E2" s="3315" t="s">
        <v>24</v>
      </c>
      <c r="F2" s="3315" t="s">
        <v>25</v>
      </c>
      <c r="G2" s="3315"/>
      <c r="H2" s="3315"/>
      <c r="I2" s="3315"/>
      <c r="J2" s="3315" t="s">
        <v>26</v>
      </c>
      <c r="K2" s="3315"/>
      <c r="L2" s="3315"/>
      <c r="M2" s="3315"/>
    </row>
    <row r="3" spans="1:13" ht="28.5">
      <c r="A3" s="3314"/>
      <c r="B3" s="3314"/>
      <c r="C3" s="3314"/>
      <c r="D3" s="3315"/>
      <c r="E3" s="33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5" t="s">
        <v>42</v>
      </c>
      <c r="B9" s="3315"/>
      <c r="C9" s="33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25" t="s">
        <v>203</v>
      </c>
      <c r="B2" s="3325"/>
      <c r="C2" s="3325"/>
      <c r="D2" s="1975" t="s">
        <v>204</v>
      </c>
      <c r="E2" s="106" t="s">
        <v>205</v>
      </c>
      <c r="F2" s="1984"/>
      <c r="G2" s="1198"/>
      <c r="H2" s="1199"/>
      <c r="I2" s="1200" t="s">
        <v>857</v>
      </c>
      <c r="J2" s="1984"/>
      <c r="K2" s="1984"/>
      <c r="L2" s="1984"/>
    </row>
    <row r="3" spans="1:16" ht="15.75" thickBot="1">
      <c r="A3" s="3326" t="s">
        <v>206</v>
      </c>
      <c r="B3" s="3326"/>
      <c r="C3" s="3326"/>
      <c r="D3" s="107">
        <f>'数据-基础表'!AY6</f>
        <v>585007</v>
      </c>
      <c r="E3" s="107">
        <f>'数据-基础表'!AZ5</f>
        <v>73383.899999999994</v>
      </c>
      <c r="F3" s="1984"/>
      <c r="G3" s="280" t="s">
        <v>858</v>
      </c>
      <c r="H3" s="275" t="s">
        <v>859</v>
      </c>
      <c r="I3" s="1976">
        <f>ROUND('数据-基础表'!B3/'数据-基础表'!A3,2)</f>
        <v>0.13</v>
      </c>
      <c r="J3" s="1984"/>
      <c r="K3" s="1984"/>
      <c r="L3" s="1984"/>
    </row>
    <row r="4" spans="1:16" ht="15">
      <c r="A4" s="3327"/>
      <c r="B4" s="3328"/>
      <c r="C4" s="3329"/>
      <c r="D4" s="108" t="s">
        <v>204</v>
      </c>
      <c r="E4" s="109" t="s">
        <v>205</v>
      </c>
      <c r="F4" s="1984"/>
      <c r="G4" s="1201"/>
      <c r="H4" s="275" t="s">
        <v>860</v>
      </c>
      <c r="I4" s="1976">
        <f>ROUND(SUMIF('数据-基础表'!I9:AS9,"地上",'数据-基础表'!I5:AS5)/'数据-基础表'!A3,2)</f>
        <v>0.13</v>
      </c>
      <c r="J4" s="1984"/>
      <c r="K4" s="1984"/>
      <c r="L4" s="1984"/>
    </row>
    <row r="5" spans="1:16">
      <c r="A5" s="110" t="s">
        <v>207</v>
      </c>
      <c r="B5" s="3330" t="s">
        <v>230</v>
      </c>
      <c r="C5" s="3330"/>
      <c r="D5" s="111">
        <f>ROUND($D$3*E5/$E$3,2)</f>
        <v>0</v>
      </c>
      <c r="E5" s="112">
        <f>SUMIF('数据-基础表'!$11:$11,"住宅",'数据-基础表'!$5:$5)</f>
        <v>0</v>
      </c>
      <c r="F5" s="1984"/>
      <c r="G5" s="280" t="s">
        <v>861</v>
      </c>
      <c r="H5" s="275" t="s">
        <v>859</v>
      </c>
      <c r="I5" s="1976">
        <f>ROUND(E31/D31,2)</f>
        <v>0.13</v>
      </c>
      <c r="J5" s="1984"/>
      <c r="K5" s="1984"/>
      <c r="L5" s="1984"/>
    </row>
    <row r="6" spans="1:16" ht="15" thickBot="1">
      <c r="A6" s="113"/>
      <c r="B6" s="3330" t="s">
        <v>208</v>
      </c>
      <c r="C6" s="3330"/>
      <c r="D6" s="111">
        <f>ROUND($D$3*E6/$E$3,2)</f>
        <v>585007</v>
      </c>
      <c r="E6" s="112">
        <f>E3-E5</f>
        <v>73383.899999999994</v>
      </c>
      <c r="F6" s="1984"/>
      <c r="G6" s="1201"/>
      <c r="H6" s="275" t="s">
        <v>860</v>
      </c>
      <c r="I6" s="1976">
        <f>ROUND(F31/D31,2)</f>
        <v>0.13</v>
      </c>
      <c r="J6" s="1984"/>
      <c r="K6" s="1984"/>
      <c r="L6" s="1984"/>
    </row>
    <row r="7" spans="1:16" ht="15">
      <c r="A7" s="3322"/>
      <c r="B7" s="3323"/>
      <c r="C7" s="3324"/>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585007</v>
      </c>
      <c r="E8" s="116">
        <f>SUMIF('数据-基础表'!BB10:BK10,"地上",'数据-基础表'!BB5:BK5)</f>
        <v>73383.899999999994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585007</v>
      </c>
      <c r="E16" s="120">
        <f>SUM(E8:E15)</f>
        <v>73383.899999999994</v>
      </c>
      <c r="F16" s="1984"/>
      <c r="G16" s="1986"/>
      <c r="H16" s="968" t="s">
        <v>219</v>
      </c>
      <c r="I16" s="969"/>
      <c r="J16" s="1984"/>
      <c r="K16" s="3316" t="s">
        <v>2567</v>
      </c>
      <c r="L16" s="3317"/>
      <c r="M16" s="3317"/>
      <c r="N16" s="3317"/>
      <c r="O16" s="3317"/>
      <c r="P16" s="3318"/>
    </row>
    <row r="17" spans="1:19" ht="15">
      <c r="A17" s="121" t="s">
        <v>216</v>
      </c>
      <c r="B17" s="122" t="s">
        <v>217</v>
      </c>
      <c r="C17" s="2298" t="s">
        <v>2314</v>
      </c>
      <c r="D17" s="108" t="s">
        <v>204</v>
      </c>
      <c r="E17" s="124" t="s">
        <v>205</v>
      </c>
      <c r="F17" s="125"/>
      <c r="G17" s="1366"/>
      <c r="H17" s="970" t="s">
        <v>218</v>
      </c>
      <c r="I17" s="971" t="s">
        <v>2313</v>
      </c>
      <c r="J17" s="1984"/>
      <c r="K17" s="3319" t="s">
        <v>2568</v>
      </c>
      <c r="L17" s="3320"/>
      <c r="M17" s="3321"/>
      <c r="N17" s="3319" t="s">
        <v>2569</v>
      </c>
      <c r="O17" s="3320"/>
      <c r="P17" s="3321"/>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3179</v>
      </c>
      <c r="D19" s="111">
        <f t="shared" ref="D19:D26" si="1">ROUND($D$3*E19/$E$3,2)</f>
        <v>585007</v>
      </c>
      <c r="E19" s="134">
        <f t="shared" ref="E19:E26" si="2">SUM(F19:G19)</f>
        <v>73383.899999999994</v>
      </c>
      <c r="F19" s="135">
        <f>'数据-基础表'!I5</f>
        <v>73383.899999999994</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585007</v>
      </c>
      <c r="S19" s="2301">
        <f t="shared" si="5"/>
        <v>73383.899999999994</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585007</v>
      </c>
      <c r="E27" s="143">
        <f>IF(SUM(E19:E26)='数据-基础表'!BA5,SUM(E19:E26),IF(F27="地上面积有误","面积有误","地下面积有误"))</f>
        <v>73383.899999999994</v>
      </c>
      <c r="F27" s="134">
        <f>IF(SUM(F19:F26)=E8,SUM(F19:F26),"地上面积有误")</f>
        <v>73383.899999999994</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585007</v>
      </c>
      <c r="S27" s="275">
        <f>IF(SUM(S19:S26)=$E$3,SUM(S19:S26),SUM(S19:S26)&amp;"误差"&amp;ROUND(SUM(S19:S26)-E3,2))</f>
        <v>73383.899999999994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585007</v>
      </c>
      <c r="E31" s="1372">
        <f>E27+E30</f>
        <v>73383.899999999994</v>
      </c>
      <c r="F31" s="1373">
        <f>F27+F30</f>
        <v>73383.899999999994</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18" activePane="bottomRight" state="frozen"/>
      <selection pane="topRight" activeCell="D1" sqref="D1"/>
      <selection pane="bottomLeft" activeCell="A4" sqref="A4"/>
      <selection pane="bottomRight" activeCell="B27" sqref="B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有证+违章</v>
      </c>
      <c r="B6" s="2337" t="str">
        <f>IF(A6=0,"","经营性")</f>
        <v>经营性</v>
      </c>
      <c r="C6" s="173" t="s">
        <v>982</v>
      </c>
      <c r="D6" s="2308">
        <f>SUMIF(项目基本情况!D$15:I$15,C6,项目基本情况!D$18:I$18)</f>
        <v>50</v>
      </c>
      <c r="E6" s="2309">
        <f>IF(B6="","",SUMIF(项目基本情况!D$15:I$15,C6,项目基本情况!D$17:I$17))</f>
        <v>61817</v>
      </c>
      <c r="F6" s="174">
        <f>SUMIF(项目基本情况!D$15:I$15,C6,项目基本情况!D$19:I$19)</f>
        <v>50</v>
      </c>
      <c r="G6" s="175">
        <f>IF(ISERROR(ROUND(POWER(1+H6,D6-F6)*(POWER(1+H6,F6)-1)/(POWER(1+H6,D6)-1),3)),0,ROUND(POWER(1+H6,D6-F6)*(POWER(1+H6,F6)-1)/(POWER(1+H6,D6)-1),3))</f>
        <v>1</v>
      </c>
      <c r="H6" s="3001">
        <v>3.5000000000000003E-2</v>
      </c>
      <c r="I6" s="3001">
        <v>0.04</v>
      </c>
      <c r="J6" s="176">
        <v>7.0000000000000007E-2</v>
      </c>
      <c r="K6" s="179">
        <f>SUMIF('数据-汇总表'!C$19:C$33,'数据-取费表'!A6,'数据-汇总表'!E$19:E$33)</f>
        <v>73383.899999999994</v>
      </c>
      <c r="L6" s="3002"/>
      <c r="M6" s="177">
        <f t="shared" ref="M6:M14" si="0">ROUND(K6*L6/10000,0)</f>
        <v>0</v>
      </c>
      <c r="N6" s="3003"/>
      <c r="O6" s="177">
        <f>IF($N$5="成新度","——",ROUND(M6*N6,0))</f>
        <v>0</v>
      </c>
      <c r="P6" s="178">
        <f>IF($N$5="成新度","——",M6-O6)</f>
        <v>0</v>
      </c>
      <c r="Q6" s="3004">
        <v>0.14000000000000001</v>
      </c>
      <c r="R6" s="179">
        <f>SUMIF('数据-汇总表'!C$19:C$33,A6,'数据-汇总表'!R$19:R$33)</f>
        <v>585007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0.82099999999999995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73383.899999999994</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1">
        <f>SUM(R6:R13)</f>
        <v>585007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0.82099999999999995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2</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160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140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2904</v>
      </c>
      <c r="D53" s="3053"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2906</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2907</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2908</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2909</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2910</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2911</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31" t="s">
        <v>1664</v>
      </c>
      <c r="B1" s="3332"/>
      <c r="C1" s="3332"/>
      <c r="D1" s="3332"/>
      <c r="E1" s="3332"/>
      <c r="F1" s="3332"/>
      <c r="G1" s="3332"/>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2922</v>
      </c>
      <c r="D3" s="2009"/>
      <c r="E3" s="1229" t="s">
        <v>1667</v>
      </c>
      <c r="F3" s="1230" t="s">
        <v>1655</v>
      </c>
      <c r="G3" s="3061" t="s">
        <v>2921</v>
      </c>
      <c r="H3" s="2008"/>
      <c r="I3" s="2008"/>
      <c r="J3" s="2008"/>
      <c r="K3" s="2008"/>
      <c r="L3" s="2008"/>
      <c r="M3" s="2008"/>
      <c r="N3" s="2008"/>
      <c r="O3" s="2008"/>
      <c r="P3" s="2008"/>
      <c r="Q3" s="2008"/>
      <c r="R3" s="2008"/>
    </row>
    <row r="4" spans="1:18" ht="41.25">
      <c r="A4" s="1229"/>
      <c r="B4" s="1231" t="s">
        <v>1668</v>
      </c>
      <c r="C4" s="3058" t="s">
        <v>2923</v>
      </c>
      <c r="D4" s="2009"/>
      <c r="E4" s="1232"/>
      <c r="F4" s="1233" t="s">
        <v>1669</v>
      </c>
      <c r="G4" s="3059" t="s">
        <v>2918</v>
      </c>
      <c r="H4" s="2008"/>
      <c r="I4" s="2008"/>
      <c r="J4" s="2008"/>
      <c r="K4" s="2008"/>
      <c r="L4" s="2008"/>
      <c r="M4" s="2008"/>
      <c r="N4" s="2008"/>
      <c r="O4" s="2008"/>
      <c r="P4" s="2008"/>
      <c r="Q4" s="2008"/>
      <c r="R4" s="2008"/>
    </row>
    <row r="5" spans="1:18" ht="41.25">
      <c r="A5" s="1229"/>
      <c r="B5" s="1231" t="s">
        <v>1670</v>
      </c>
      <c r="C5" s="3058" t="s">
        <v>2924</v>
      </c>
      <c r="D5" s="2009"/>
      <c r="E5" s="1232"/>
      <c r="F5" s="1231" t="s">
        <v>2547</v>
      </c>
      <c r="G5" s="3059" t="s">
        <v>2919</v>
      </c>
      <c r="H5" s="2008"/>
      <c r="I5" s="2008"/>
      <c r="J5" s="2008"/>
      <c r="K5" s="2008"/>
      <c r="L5" s="2008"/>
      <c r="M5" s="2008"/>
      <c r="N5" s="2008"/>
      <c r="O5" s="2008"/>
      <c r="P5" s="2008"/>
      <c r="Q5" s="2008"/>
      <c r="R5" s="2008"/>
    </row>
    <row r="6" spans="1:18" ht="54">
      <c r="A6" s="1229"/>
      <c r="B6" s="1231" t="s">
        <v>1656</v>
      </c>
      <c r="C6" s="3059" t="s">
        <v>2918</v>
      </c>
      <c r="D6" s="2009"/>
      <c r="E6" s="1232"/>
      <c r="F6" s="1231" t="s">
        <v>2548</v>
      </c>
      <c r="G6" s="3059" t="s">
        <v>2916</v>
      </c>
      <c r="H6" s="2008"/>
      <c r="I6" s="2008"/>
      <c r="J6" s="2008"/>
      <c r="K6" s="2008"/>
      <c r="L6" s="2008"/>
      <c r="M6" s="2008"/>
      <c r="N6" s="2008"/>
      <c r="O6" s="2008"/>
      <c r="P6" s="2008"/>
      <c r="Q6" s="2008"/>
      <c r="R6" s="2008"/>
    </row>
    <row r="7" spans="1:18" ht="41.25" thickBot="1">
      <c r="A7" s="1229"/>
      <c r="B7" s="1231" t="s">
        <v>2547</v>
      </c>
      <c r="C7" s="3059" t="s">
        <v>2919</v>
      </c>
      <c r="D7" s="2010"/>
      <c r="E7" s="1234"/>
      <c r="F7" s="1235" t="s">
        <v>1671</v>
      </c>
      <c r="G7" s="3062" t="s">
        <v>2920</v>
      </c>
      <c r="H7" s="2008"/>
      <c r="I7" s="2008"/>
      <c r="J7" s="2008"/>
      <c r="K7" s="2008"/>
      <c r="L7" s="2008"/>
      <c r="M7" s="2008"/>
      <c r="N7" s="2008"/>
      <c r="O7" s="2008"/>
      <c r="P7" s="2008"/>
      <c r="Q7" s="2008"/>
      <c r="R7" s="2008"/>
    </row>
    <row r="8" spans="1:18" ht="27">
      <c r="A8" s="1229"/>
      <c r="B8" s="1231" t="s">
        <v>2548</v>
      </c>
      <c r="C8" s="3059" t="s">
        <v>2916</v>
      </c>
      <c r="D8" s="2010"/>
      <c r="E8" s="2010"/>
      <c r="F8" s="1554"/>
      <c r="G8" s="1554"/>
      <c r="H8" s="2008"/>
      <c r="I8" s="2008"/>
      <c r="J8" s="2008"/>
      <c r="K8" s="2008"/>
      <c r="L8" s="2008"/>
      <c r="M8" s="2008"/>
      <c r="N8" s="2008"/>
      <c r="O8" s="2008"/>
      <c r="P8" s="2008"/>
      <c r="Q8" s="2008"/>
      <c r="R8" s="2008"/>
    </row>
    <row r="9" spans="1:18" ht="40.5">
      <c r="A9" s="1229"/>
      <c r="B9" s="1231" t="s">
        <v>1657</v>
      </c>
      <c r="C9" s="3058"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73383.899999999994</v>
      </c>
      <c r="C1" s="3022"/>
      <c r="D1" s="3022"/>
      <c r="E1" s="3022"/>
      <c r="F1" s="3022"/>
    </row>
    <row r="2" spans="1:9" ht="16.5">
      <c r="A2" s="3021" t="s">
        <v>2845</v>
      </c>
      <c r="B2" s="3021">
        <f>SUM(C14:C23)</f>
        <v>585007</v>
      </c>
      <c r="C2" s="3022"/>
      <c r="D2" s="3022"/>
      <c r="E2" s="3022"/>
      <c r="F2" s="3022"/>
    </row>
    <row r="3" spans="1:9" ht="16.5">
      <c r="A3" s="3021" t="s">
        <v>2846</v>
      </c>
      <c r="B3" s="3023">
        <f>项目基本情况!D3</f>
        <v>43555</v>
      </c>
      <c r="C3" s="3022"/>
      <c r="D3" s="3022"/>
      <c r="E3" s="3022"/>
      <c r="F3" s="3022"/>
    </row>
    <row r="4" spans="1:9" ht="33">
      <c r="A4" s="3021" t="s">
        <v>2847</v>
      </c>
      <c r="B4" s="3021" t="s">
        <v>2848</v>
      </c>
      <c r="C4" s="3021" t="s">
        <v>2849</v>
      </c>
      <c r="D4" s="3021" t="s">
        <v>2850</v>
      </c>
      <c r="E4" s="3022"/>
      <c r="F4" s="3022"/>
    </row>
    <row r="5" spans="1:9" ht="16.5">
      <c r="A5" s="3021" t="s">
        <v>2851</v>
      </c>
      <c r="B5" s="3021">
        <f ca="1">SUM(D14:D23)</f>
        <v>188123</v>
      </c>
      <c r="C5" s="3021">
        <f ca="1">ROUND(B5*10000/$B$1,0)</f>
        <v>25635</v>
      </c>
      <c r="D5" s="3021">
        <f ca="1">ROUND(B5*10000/$B$2,0)</f>
        <v>3216</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73383.899999999994</v>
      </c>
      <c r="C14" s="3025">
        <f>结果表!K38</f>
        <v>585007</v>
      </c>
      <c r="D14" s="3025">
        <f ca="1">结果表!C42</f>
        <v>188123</v>
      </c>
      <c r="E14" s="3025">
        <f ca="1">ROUND(D14*10000/B14,0)</f>
        <v>25635</v>
      </c>
      <c r="F14" s="3025">
        <f ca="1">ROUND(D14*10000/C14,0)</f>
        <v>3216</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3226</v>
      </c>
      <c r="G1" s="311"/>
      <c r="H1" s="311"/>
      <c r="I1" s="311"/>
      <c r="J1" s="2029"/>
      <c r="K1" s="2029"/>
      <c r="L1" s="2029"/>
      <c r="M1" s="2029"/>
      <c r="N1" s="2029"/>
      <c r="O1" s="2029"/>
      <c r="P1" s="2029"/>
      <c r="Q1" s="2029"/>
      <c r="R1" s="2029"/>
      <c r="S1" s="2029"/>
      <c r="T1" s="2029"/>
      <c r="U1" s="2029"/>
      <c r="V1" s="2029"/>
    </row>
    <row r="2" spans="1:22" ht="21.75" customHeight="1" thickBot="1">
      <c r="A2" s="3369" t="str">
        <f>项目基本情况!K2</f>
        <v>北京市划拨国有建设用地使用权</v>
      </c>
      <c r="B2" s="3370"/>
      <c r="C2" s="3371"/>
      <c r="D2" s="3371"/>
      <c r="E2" s="3371"/>
      <c r="F2" s="3371"/>
      <c r="G2" s="3370"/>
      <c r="H2" s="3370"/>
      <c r="I2" s="3372"/>
      <c r="J2" s="2030"/>
      <c r="K2" s="2029"/>
      <c r="L2" s="2029"/>
      <c r="M2" s="2029"/>
      <c r="N2" s="2029"/>
      <c r="O2" s="2029"/>
      <c r="P2" s="2029"/>
      <c r="Q2" s="2029"/>
      <c r="R2" s="2029"/>
      <c r="S2" s="2029"/>
      <c r="T2" s="2029"/>
      <c r="U2" s="2029"/>
      <c r="V2" s="2029"/>
    </row>
    <row r="3" spans="1:22" ht="14.25">
      <c r="A3" s="3362" t="s">
        <v>298</v>
      </c>
      <c r="B3" s="3363"/>
      <c r="C3" s="3363"/>
      <c r="D3" s="3363"/>
      <c r="E3" s="3363"/>
      <c r="F3" s="3363"/>
      <c r="G3" s="3363"/>
      <c r="H3" s="3363"/>
      <c r="I3" s="3363"/>
      <c r="J3" s="2030"/>
      <c r="K3" s="2029"/>
      <c r="L3" s="2029"/>
      <c r="M3" s="2029"/>
      <c r="N3" s="2029"/>
      <c r="O3" s="2029"/>
      <c r="P3" s="2029"/>
      <c r="Q3" s="2029"/>
      <c r="R3" s="2029"/>
      <c r="S3" s="2029"/>
      <c r="T3" s="2029"/>
      <c r="U3" s="2029"/>
      <c r="V3" s="2029"/>
    </row>
    <row r="4" spans="1:22" ht="14.25">
      <c r="A4" s="258" t="s">
        <v>299</v>
      </c>
      <c r="B4" s="259" t="s">
        <v>300</v>
      </c>
      <c r="C4" s="260" t="s">
        <v>3181</v>
      </c>
      <c r="D4" s="260" t="s">
        <v>2952</v>
      </c>
      <c r="E4" s="3334" t="s">
        <v>301</v>
      </c>
      <c r="F4" s="3335"/>
      <c r="G4" s="3335"/>
      <c r="H4" s="3335"/>
      <c r="I4" s="3364"/>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333" t="s">
        <v>302</v>
      </c>
      <c r="B5" s="3359">
        <v>25</v>
      </c>
      <c r="C5" s="3357">
        <v>7</v>
      </c>
      <c r="D5" s="3361">
        <v>3</v>
      </c>
      <c r="E5" s="261" t="s">
        <v>303</v>
      </c>
      <c r="F5" s="262"/>
      <c r="G5" s="262"/>
      <c r="H5" s="262"/>
      <c r="I5" s="263"/>
      <c r="J5" s="2030"/>
      <c r="K5" s="2029"/>
      <c r="L5" s="2029"/>
      <c r="M5" s="2029"/>
      <c r="N5" s="2029"/>
      <c r="O5" s="2029"/>
      <c r="P5" s="2029"/>
      <c r="Q5" s="2029"/>
      <c r="R5" s="2029"/>
      <c r="S5" s="2029"/>
      <c r="T5" s="2029"/>
      <c r="U5" s="2029"/>
      <c r="V5" s="2029"/>
    </row>
    <row r="6" spans="1:22" ht="14.25">
      <c r="A6" s="3333"/>
      <c r="B6" s="3359"/>
      <c r="C6" s="3360"/>
      <c r="D6" s="3361"/>
      <c r="E6" s="261" t="s">
        <v>304</v>
      </c>
      <c r="F6" s="262"/>
      <c r="G6" s="262"/>
      <c r="H6" s="262"/>
      <c r="I6" s="263"/>
      <c r="J6" s="2030"/>
      <c r="K6" s="2029"/>
      <c r="L6" s="2029"/>
      <c r="M6" s="2029"/>
      <c r="N6" s="2029"/>
      <c r="O6" s="2029"/>
      <c r="P6" s="2029"/>
      <c r="Q6" s="2029"/>
      <c r="R6" s="2029"/>
      <c r="S6" s="2029"/>
      <c r="T6" s="2029"/>
      <c r="U6" s="2029"/>
      <c r="V6" s="2029"/>
    </row>
    <row r="7" spans="1:22" ht="14.25">
      <c r="A7" s="3333"/>
      <c r="B7" s="3359"/>
      <c r="C7" s="3358"/>
      <c r="D7" s="3361"/>
      <c r="E7" s="261" t="s">
        <v>305</v>
      </c>
      <c r="F7" s="262"/>
      <c r="G7" s="262"/>
      <c r="H7" s="262"/>
      <c r="I7" s="263"/>
      <c r="J7" s="2030"/>
      <c r="K7" s="2029"/>
      <c r="L7" s="2029"/>
      <c r="M7" s="2029"/>
      <c r="N7" s="2029"/>
      <c r="O7" s="2029"/>
      <c r="P7" s="2029"/>
      <c r="Q7" s="2029"/>
      <c r="R7" s="2029"/>
      <c r="S7" s="2029"/>
      <c r="T7" s="2029"/>
      <c r="U7" s="2029"/>
      <c r="V7" s="2029"/>
    </row>
    <row r="8" spans="1:22" ht="14.25">
      <c r="A8" s="3333" t="s">
        <v>306</v>
      </c>
      <c r="B8" s="3359">
        <v>15</v>
      </c>
      <c r="C8" s="3357"/>
      <c r="D8" s="3361"/>
      <c r="E8" s="261" t="s">
        <v>307</v>
      </c>
      <c r="F8" s="262"/>
      <c r="G8" s="262"/>
      <c r="H8" s="262"/>
      <c r="I8" s="263"/>
      <c r="J8" s="2030"/>
      <c r="K8" s="2029"/>
      <c r="L8" s="2029"/>
      <c r="M8" s="2029"/>
      <c r="N8" s="2029"/>
      <c r="O8" s="2029"/>
      <c r="P8" s="2029"/>
      <c r="Q8" s="2029"/>
      <c r="R8" s="2029"/>
      <c r="S8" s="2029"/>
      <c r="T8" s="2029"/>
      <c r="U8" s="2029"/>
      <c r="V8" s="2029"/>
    </row>
    <row r="9" spans="1:22" ht="14.25">
      <c r="A9" s="3333"/>
      <c r="B9" s="3359"/>
      <c r="C9" s="3358"/>
      <c r="D9" s="3361"/>
      <c r="E9" s="261" t="s">
        <v>308</v>
      </c>
      <c r="F9" s="262"/>
      <c r="G9" s="262"/>
      <c r="H9" s="262"/>
      <c r="I9" s="263"/>
      <c r="J9" s="2030"/>
      <c r="K9" s="2029"/>
      <c r="L9" s="2029"/>
      <c r="M9" s="2029"/>
      <c r="N9" s="2029"/>
      <c r="O9" s="2029"/>
      <c r="P9" s="2029"/>
      <c r="Q9" s="2029"/>
      <c r="R9" s="2029"/>
      <c r="S9" s="2029"/>
      <c r="T9" s="2029"/>
      <c r="U9" s="2029"/>
      <c r="V9" s="2029"/>
    </row>
    <row r="10" spans="1:22" ht="14.25">
      <c r="A10" s="3333" t="s">
        <v>309</v>
      </c>
      <c r="B10" s="3359">
        <v>15</v>
      </c>
      <c r="C10" s="3357"/>
      <c r="D10" s="336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3"/>
      <c r="B11" s="3359"/>
      <c r="C11" s="3358"/>
      <c r="D11" s="336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3" t="s">
        <v>312</v>
      </c>
      <c r="B12" s="3359">
        <v>15</v>
      </c>
      <c r="C12" s="3357"/>
      <c r="D12" s="336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3"/>
      <c r="B13" s="3359"/>
      <c r="C13" s="3358"/>
      <c r="D13" s="336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3" t="s">
        <v>315</v>
      </c>
      <c r="B14" s="3359">
        <v>30</v>
      </c>
      <c r="C14" s="3357"/>
      <c r="D14" s="3361"/>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3"/>
      <c r="B15" s="3359"/>
      <c r="C15" s="3360"/>
      <c r="D15" s="336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3"/>
      <c r="B16" s="3359"/>
      <c r="C16" s="3358"/>
      <c r="D16" s="336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7</v>
      </c>
      <c r="D17" s="265">
        <f>SUM(D5:D16)</f>
        <v>3</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0.7</v>
      </c>
      <c r="D18" s="267">
        <f>1-C18</f>
        <v>0.30000000000000004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258318</v>
      </c>
      <c r="D19" s="271">
        <f ca="1">SUMIF(INDIRECT("'"&amp;D4&amp;"'"&amp;"!A:A"),结果表!B19,INDIRECT("'"&amp;D4&amp;"'"&amp;"!B:B"))</f>
        <v>24336</v>
      </c>
      <c r="E19" s="268" t="s">
        <v>323</v>
      </c>
      <c r="F19" s="269" t="s">
        <v>322</v>
      </c>
      <c r="G19" s="272">
        <f ca="1">ROUND(C19*$C$18+D19*$D$18,0)</f>
        <v>188123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35201</v>
      </c>
      <c r="D20" s="277">
        <f ca="1">SUMIF(INDIRECT("'"&amp;D4&amp;"'"&amp;"!A:A"),结果表!B20,INDIRECT("'"&amp;D4&amp;"'"&amp;"!B:B"))</f>
        <v>416</v>
      </c>
      <c r="E20" s="274"/>
      <c r="F20" s="275" t="s">
        <v>325</v>
      </c>
      <c r="G20" s="278">
        <f ca="1">ROUND(C20*$C$18+D20*$D$18,0)</f>
        <v>24766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4416</v>
      </c>
      <c r="D21" s="151">
        <f ca="1">SUMIF(INDIRECT("'"&amp;D4&amp;"'"&amp;"!A:A"),结果表!B21,INDIRECT("'"&amp;D4&amp;"'"&amp;"!B:B"))</f>
        <v>416</v>
      </c>
      <c r="E21" s="274"/>
      <c r="F21" s="280" t="s">
        <v>327</v>
      </c>
      <c r="G21" s="282">
        <f ca="1">ROUND(C21*$C$18+D21*$D$18,0)</f>
        <v>3216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9.6146449704142007</v>
      </c>
      <c r="E22" s="284"/>
      <c r="F22" s="285"/>
      <c r="G22" s="286">
        <f ca="1">ROUND(G19/('数据-汇总表'!D3/666.67),0)</f>
        <v>214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0"/>
      <c r="B25" s="1321" t="s">
        <v>331</v>
      </c>
      <c r="C25" s="290">
        <f>IF(B30=0,0,C30)</f>
        <v>0</v>
      </c>
      <c r="D25" s="291"/>
      <c r="E25" s="311"/>
      <c r="F25" s="311"/>
      <c r="G25" s="311"/>
      <c r="H25" s="311"/>
      <c r="I25" s="311"/>
      <c r="J25" s="2029"/>
      <c r="K25" s="1255" t="str">
        <f ca="1">项目基本情况!B16&amp;"国有建设用地使用权价格："&amp;O38&amp;"万元"</f>
        <v>划拨国有建设用地使用权价格：188123万元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大写金额：人民币壹拾捌亿捌仟壹佰贰拾叁万元整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单位面积地价：3216元/平方米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楼面地价：25635元/平方米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188123</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25635</v>
      </c>
      <c r="D33" s="1386" t="s">
        <v>1692</v>
      </c>
      <c r="E33" s="3339"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3216</v>
      </c>
      <c r="D34" s="1388" t="s">
        <v>1692</v>
      </c>
      <c r="E34" s="3380"/>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214</v>
      </c>
      <c r="D35" s="1391" t="s">
        <v>1694</v>
      </c>
      <c r="E35" s="3381"/>
      <c r="F35" s="301" t="s">
        <v>342</v>
      </c>
      <c r="G35" s="982"/>
      <c r="H35" s="981" t="s">
        <v>343</v>
      </c>
      <c r="I35" s="311"/>
      <c r="J35" s="2029"/>
      <c r="K35" s="3354" t="s">
        <v>350</v>
      </c>
      <c r="L35" s="3354" t="s">
        <v>351</v>
      </c>
      <c r="M35" s="1264" t="s">
        <v>352</v>
      </c>
      <c r="N35" s="3354" t="s">
        <v>353</v>
      </c>
      <c r="O35" s="3354" t="s">
        <v>354</v>
      </c>
      <c r="P35" s="2029"/>
      <c r="V35" s="2029"/>
    </row>
    <row r="36" spans="1:26" ht="16.5" customHeight="1">
      <c r="A36" s="303" t="s">
        <v>344</v>
      </c>
      <c r="B36" s="304" t="s">
        <v>333</v>
      </c>
      <c r="C36" s="305" t="s">
        <v>345</v>
      </c>
      <c r="D36" s="305" t="s">
        <v>346</v>
      </c>
      <c r="E36" s="306" t="s">
        <v>347</v>
      </c>
      <c r="F36" s="311"/>
      <c r="G36" s="311"/>
      <c r="H36" s="311"/>
      <c r="I36" s="311"/>
      <c r="J36" s="2031"/>
      <c r="K36" s="3355"/>
      <c r="L36" s="3355"/>
      <c r="M36" s="1266" t="s">
        <v>355</v>
      </c>
      <c r="N36" s="3355"/>
      <c r="O36" s="3355"/>
      <c r="P36" s="2029"/>
      <c r="V36" s="2029"/>
    </row>
    <row r="37" spans="1:26" ht="16.5" customHeight="1" thickBot="1">
      <c r="A37" s="1260" t="s">
        <v>348</v>
      </c>
      <c r="B37" s="307"/>
      <c r="C37" s="294"/>
      <c r="D37" s="294"/>
      <c r="E37" s="295"/>
      <c r="F37" s="311"/>
      <c r="G37" s="311"/>
      <c r="H37" s="311"/>
      <c r="I37" s="311"/>
      <c r="J37" s="2031"/>
      <c r="K37" s="3356"/>
      <c r="L37" s="3356"/>
      <c r="M37" s="1267"/>
      <c r="N37" s="3356"/>
      <c r="O37" s="3356"/>
      <c r="P37" s="2029"/>
      <c r="V37" s="2029"/>
    </row>
    <row r="38" spans="1:26" ht="16.5" customHeight="1" thickBot="1">
      <c r="A38" s="1260" t="s">
        <v>349</v>
      </c>
      <c r="B38" s="307"/>
      <c r="C38" s="294"/>
      <c r="D38" s="294"/>
      <c r="E38" s="295"/>
      <c r="F38" s="311"/>
      <c r="G38" s="311"/>
      <c r="H38" s="311"/>
      <c r="I38" s="311"/>
      <c r="J38" s="2031"/>
      <c r="K38" s="1268">
        <f>'数据-汇总表'!D3</f>
        <v>585007</v>
      </c>
      <c r="L38" s="1269">
        <f>'数据-汇总表'!E3</f>
        <v>73383.899999999994</v>
      </c>
      <c r="M38" s="1269">
        <f ca="1">C34</f>
        <v>3216</v>
      </c>
      <c r="N38" s="1269">
        <f ca="1">C33</f>
        <v>25635</v>
      </c>
      <c r="O38" s="1270">
        <f ca="1">C32</f>
        <v>188123</v>
      </c>
      <c r="P38" s="2029"/>
      <c r="V38" s="2029"/>
    </row>
    <row r="39" spans="1:26" ht="16.5" customHeight="1" thickBot="1">
      <c r="A39" s="1265"/>
      <c r="B39" s="308"/>
      <c r="C39" s="309"/>
      <c r="D39" s="309"/>
      <c r="E39" s="310"/>
      <c r="F39" s="311"/>
      <c r="G39" s="311"/>
      <c r="H39" s="311"/>
      <c r="I39" s="311"/>
      <c r="J39" s="2031"/>
      <c r="K39" s="3399" t="str">
        <f>MID(A44,3,LEN(A44)-2)</f>
        <v/>
      </c>
      <c r="L39" s="3400"/>
      <c r="M39" s="3400"/>
      <c r="N39" s="3401"/>
      <c r="O39" s="1393" t="str">
        <f>C44</f>
        <v>——</v>
      </c>
      <c r="P39" s="2029"/>
      <c r="V39" s="2029"/>
    </row>
    <row r="40" spans="1:26" ht="19.5" thickBot="1">
      <c r="A40" s="104" t="s">
        <v>873</v>
      </c>
      <c r="B40" s="311"/>
      <c r="C40" s="311"/>
      <c r="D40" s="311"/>
      <c r="E40" s="311"/>
      <c r="F40" s="311"/>
      <c r="G40" s="311"/>
      <c r="H40" s="311"/>
      <c r="I40" s="311"/>
      <c r="J40" s="2031"/>
      <c r="K40" s="3399" t="str">
        <f t="shared" ref="K40:K41" si="0">MID(A45,3,LEN(A45)-2)</f>
        <v/>
      </c>
      <c r="L40" s="3400"/>
      <c r="M40" s="3400"/>
      <c r="N40" s="340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99" t="str">
        <f t="shared" si="0"/>
        <v/>
      </c>
      <c r="L41" s="3400"/>
      <c r="M41" s="3400"/>
      <c r="N41" s="3401"/>
      <c r="O41" s="1393" t="str">
        <f>C46</f>
        <v>——</v>
      </c>
      <c r="P41" s="2029"/>
      <c r="V41" s="2029"/>
    </row>
    <row r="42" spans="1:26" ht="29.25">
      <c r="A42" s="3341" t="s">
        <v>2068</v>
      </c>
      <c r="B42" s="3342"/>
      <c r="C42" s="264">
        <f ca="1">C32</f>
        <v>188123</v>
      </c>
      <c r="D42" s="317">
        <f ca="1">C33</f>
        <v>25635</v>
      </c>
      <c r="E42" s="317">
        <f ca="1">C34</f>
        <v>3216</v>
      </c>
      <c r="F42" s="318">
        <f ca="1">C35</f>
        <v>214</v>
      </c>
      <c r="G42" s="311"/>
      <c r="H42" s="311"/>
      <c r="I42" s="319"/>
      <c r="J42" s="2031"/>
      <c r="K42" s="1271" t="s">
        <v>361</v>
      </c>
      <c r="L42" s="2048" t="s">
        <v>362</v>
      </c>
      <c r="M42" s="1272" t="s">
        <v>363</v>
      </c>
      <c r="N42" s="2049" t="s">
        <v>364</v>
      </c>
      <c r="O42" s="2050" t="s">
        <v>365</v>
      </c>
      <c r="P42" s="2029"/>
      <c r="V42" s="2029"/>
    </row>
    <row r="43" spans="1:26" ht="18">
      <c r="A43" s="3352" t="s">
        <v>2731</v>
      </c>
      <c r="B43" s="3353"/>
      <c r="C43" s="264">
        <f>IF(H33="正常操作",G33+G34+G35,G34+G35)</f>
        <v>0</v>
      </c>
      <c r="D43" s="317" t="s">
        <v>43</v>
      </c>
      <c r="E43" s="317" t="s">
        <v>44</v>
      </c>
      <c r="F43" s="318" t="s">
        <v>44</v>
      </c>
      <c r="G43" s="2845" t="s">
        <v>952</v>
      </c>
      <c r="H43" s="311"/>
      <c r="I43" s="319"/>
      <c r="J43" s="2031"/>
      <c r="K43" s="1273" t="str">
        <f>C4</f>
        <v>成本逼近法</v>
      </c>
      <c r="L43" s="1274">
        <f ca="1">IF(L42="估价结果/万元",C19,C20)</f>
        <v>258318</v>
      </c>
      <c r="M43" s="1275">
        <f>C18</f>
        <v>0.7</v>
      </c>
      <c r="N43" s="1276">
        <f ca="1">IF(N42="测算结果/万元",G19,G20)</f>
        <v>188123</v>
      </c>
      <c r="O43" s="1277">
        <f ca="1">IF(O42="最终结果/万元",C32,C33)</f>
        <v>188123</v>
      </c>
      <c r="P43" s="2029"/>
      <c r="V43" s="2029"/>
    </row>
    <row r="44" spans="1:26" ht="18.75" thickBot="1">
      <c r="A44" s="3341" t="str">
        <f>IF(OR(项目基本情况!E8="抵押价格",项目基本情况!E8="已注销及未注销"),"3.抵押价格","——")</f>
        <v>——</v>
      </c>
      <c r="B44" s="334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基准地价</v>
      </c>
      <c r="L44" s="1279">
        <f ca="1">IF(L42="估价结果/万元",D19,D20)</f>
        <v>24336</v>
      </c>
      <c r="M44" s="1280">
        <f>D18</f>
        <v>0.30000000000000004</v>
      </c>
      <c r="N44" s="1281"/>
      <c r="O44" s="1282"/>
      <c r="P44" s="2029"/>
      <c r="V44" s="2029"/>
    </row>
    <row r="45" spans="1:26" ht="15">
      <c r="A45" s="3347" t="str">
        <f>IF(项目基本情况!E8="已注销及未注销","4.抵押担保权已注销时的抵押价格",IF(项目基本情况!E8="已注销","3.抵押担保权已注销时的抵押价格","——"))</f>
        <v>——</v>
      </c>
      <c r="B45" s="334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88" t="s">
        <v>374</v>
      </c>
      <c r="B63" s="3389"/>
      <c r="C63" s="3390"/>
      <c r="D63" s="341">
        <f ca="1">ROUND(C42*F63,0)</f>
        <v>112874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9" t="s">
        <v>378</v>
      </c>
      <c r="B64" s="3350"/>
      <c r="C64" s="3350"/>
      <c r="D64" s="3350"/>
      <c r="E64" s="3350"/>
      <c r="F64" s="3350"/>
      <c r="G64" s="3351"/>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5" t="s">
        <v>386</v>
      </c>
      <c r="B66" s="3346"/>
      <c r="C66" s="3346"/>
      <c r="D66" s="261">
        <f ca="1">IF(H66="情况1",0,IF(H66="情况2",D70,IF(H66="情况3",D71,IF(H66="情况4",D72))))</f>
        <v>5912</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403" t="s">
        <v>385</v>
      </c>
      <c r="M66" s="3404"/>
      <c r="N66" s="2438"/>
      <c r="O66" s="2439"/>
      <c r="P66" s="2440"/>
      <c r="Q66" s="2029"/>
      <c r="R66" s="2029"/>
      <c r="S66" s="2029"/>
      <c r="T66" s="2029"/>
      <c r="U66" s="2029"/>
      <c r="V66" s="2029"/>
    </row>
    <row r="67" spans="1:22" ht="25.5" customHeight="1">
      <c r="A67" s="352" t="s">
        <v>390</v>
      </c>
      <c r="B67" s="3336" t="s">
        <v>391</v>
      </c>
      <c r="C67" s="3336"/>
      <c r="D67" s="353">
        <v>0</v>
      </c>
      <c r="E67" s="41" t="s">
        <v>392</v>
      </c>
      <c r="F67" s="62" t="s">
        <v>21</v>
      </c>
      <c r="G67" s="3391"/>
      <c r="H67" s="311"/>
      <c r="I67" s="1292"/>
      <c r="J67" s="2036"/>
      <c r="K67" s="1977">
        <v>2</v>
      </c>
      <c r="L67" s="3402" t="s">
        <v>389</v>
      </c>
      <c r="M67" s="3402"/>
      <c r="N67" s="1325">
        <f>'数据-取费表'!B2</f>
        <v>43555</v>
      </c>
      <c r="O67" s="1325"/>
      <c r="P67" s="1325"/>
      <c r="Q67" s="2029"/>
      <c r="R67" s="2029"/>
      <c r="S67" s="2029"/>
      <c r="T67" s="2029"/>
      <c r="U67" s="2029"/>
      <c r="V67" s="2029"/>
    </row>
    <row r="68" spans="1:22" ht="25.5" customHeight="1">
      <c r="A68" s="354"/>
      <c r="B68" s="3336" t="s">
        <v>394</v>
      </c>
      <c r="C68" s="3336"/>
      <c r="D68" s="355"/>
      <c r="E68" s="77"/>
      <c r="F68" s="356"/>
      <c r="G68" s="3392"/>
      <c r="H68" s="311"/>
      <c r="I68" s="1292"/>
      <c r="J68" s="2036"/>
      <c r="K68" s="1977">
        <v>3</v>
      </c>
      <c r="L68" s="3402" t="s">
        <v>393</v>
      </c>
      <c r="M68" s="3402"/>
      <c r="N68" s="1293">
        <f ca="1">C42</f>
        <v>188123</v>
      </c>
      <c r="O68" s="1293"/>
      <c r="P68" s="1293"/>
      <c r="Q68" s="2029"/>
      <c r="R68" s="2029"/>
      <c r="S68" s="2029"/>
      <c r="T68" s="2029"/>
      <c r="U68" s="2029"/>
      <c r="V68" s="2029"/>
    </row>
    <row r="69" spans="1:22" ht="12" customHeight="1">
      <c r="A69" s="357"/>
      <c r="B69" s="3336" t="s">
        <v>395</v>
      </c>
      <c r="C69" s="3336"/>
      <c r="D69" s="358"/>
      <c r="E69" s="73"/>
      <c r="F69" s="356"/>
      <c r="G69" s="3393"/>
      <c r="H69" s="311"/>
      <c r="I69" s="1292"/>
      <c r="J69" s="2036"/>
      <c r="K69" s="1294">
        <v>4</v>
      </c>
      <c r="L69" s="3407" t="s">
        <v>2883</v>
      </c>
      <c r="M69" s="3408"/>
      <c r="N69" s="1295" t="str">
        <f>C44</f>
        <v>——</v>
      </c>
      <c r="O69" s="1295"/>
      <c r="P69" s="1295"/>
      <c r="Q69" s="2029"/>
      <c r="R69" s="2029"/>
      <c r="S69" s="2029"/>
      <c r="T69" s="2029"/>
      <c r="U69" s="2029"/>
      <c r="V69" s="2029"/>
    </row>
    <row r="70" spans="1:22" ht="24" customHeight="1">
      <c r="A70" s="359" t="s">
        <v>396</v>
      </c>
      <c r="B70" s="3336" t="s">
        <v>397</v>
      </c>
      <c r="C70" s="3336"/>
      <c r="D70" s="358">
        <f ca="1">ROUND(D63*'数据-取费表'!B41/(1+'数据-取费表'!C42),0)</f>
        <v>5912</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37" t="s">
        <v>405</v>
      </c>
      <c r="C71" s="3338"/>
      <c r="D71" s="358">
        <f ca="1">ROUND(D63*'数据-取费表'!B41/(1+'数据-取费表'!C42),0)</f>
        <v>5912</v>
      </c>
      <c r="E71" s="17" t="s">
        <v>398</v>
      </c>
      <c r="F71" s="360">
        <f>'数据-取费表'!B41</f>
        <v>5.5000000000000007E-2</v>
      </c>
      <c r="G71" s="361"/>
      <c r="H71" s="311"/>
      <c r="I71" s="1292"/>
      <c r="J71" s="2036"/>
      <c r="K71" s="3037" t="s">
        <v>399</v>
      </c>
      <c r="L71" s="3409" t="s">
        <v>400</v>
      </c>
      <c r="M71" s="3409"/>
      <c r="N71" s="3037" t="s">
        <v>401</v>
      </c>
      <c r="O71" s="3037" t="s">
        <v>402</v>
      </c>
      <c r="P71" s="3037" t="s">
        <v>403</v>
      </c>
      <c r="Q71" s="2029"/>
      <c r="R71" s="2029"/>
      <c r="S71" s="2029"/>
      <c r="T71" s="2029"/>
      <c r="U71" s="2029"/>
      <c r="V71" s="2029"/>
    </row>
    <row r="72" spans="1:22" ht="12" customHeight="1">
      <c r="A72" s="359" t="s">
        <v>407</v>
      </c>
      <c r="B72" s="3337" t="s">
        <v>408</v>
      </c>
      <c r="C72" s="3338"/>
      <c r="D72" s="358">
        <f ca="1">C86</f>
        <v>5802</v>
      </c>
      <c r="E72" s="73" t="s">
        <v>409</v>
      </c>
      <c r="F72" s="360">
        <f>'数据-取费表'!B41</f>
        <v>5.5000000000000007E-2</v>
      </c>
      <c r="G72" s="361"/>
      <c r="H72" s="1298"/>
      <c r="I72" s="1292"/>
      <c r="J72" s="2036"/>
      <c r="K72" s="1977">
        <v>1</v>
      </c>
      <c r="L72" s="3384" t="s">
        <v>406</v>
      </c>
      <c r="M72" s="3384"/>
      <c r="N72" s="1296">
        <f ca="1">D66</f>
        <v>5912</v>
      </c>
      <c r="O72" s="1860" t="str">
        <f>E66</f>
        <v>销售额×税（费）率</v>
      </c>
      <c r="P72" s="1297">
        <f>F66</f>
        <v>5.5000000000000007E-2</v>
      </c>
      <c r="Q72" s="2029"/>
      <c r="R72" s="2029"/>
      <c r="S72" s="2029"/>
      <c r="T72" s="2029"/>
      <c r="U72" s="2029"/>
      <c r="V72" s="2029"/>
    </row>
    <row r="73" spans="1:22" ht="24" customHeight="1">
      <c r="A73" s="3378" t="s">
        <v>411</v>
      </c>
      <c r="B73" s="3346"/>
      <c r="C73" s="3346"/>
      <c r="D73" s="362">
        <f>IF(H73="个人住宅",0,ROUND(D63*I73,0))</f>
        <v>0</v>
      </c>
      <c r="E73" s="17" t="s">
        <v>412</v>
      </c>
      <c r="F73" s="360" t="str">
        <f>IF(H73="正常",I73,"免征")</f>
        <v>免征</v>
      </c>
      <c r="G73" s="361"/>
      <c r="H73" s="191" t="s">
        <v>2456</v>
      </c>
      <c r="I73" s="360">
        <f>'数据-取费表'!B49</f>
        <v>5.0000000000000001E-4</v>
      </c>
      <c r="J73" s="2036"/>
      <c r="K73" s="1977">
        <v>2</v>
      </c>
      <c r="L73" s="3384" t="s">
        <v>410</v>
      </c>
      <c r="M73" s="3384"/>
      <c r="N73" s="1296">
        <f t="shared" ref="N73:P74" si="1">D73</f>
        <v>0</v>
      </c>
      <c r="O73" s="1860" t="str">
        <f t="shared" si="1"/>
        <v>销售额×税（费）率</v>
      </c>
      <c r="P73" s="1297" t="str">
        <f t="shared" si="1"/>
        <v>免征</v>
      </c>
      <c r="Q73" s="2029"/>
      <c r="R73" s="2029"/>
      <c r="S73" s="2029"/>
      <c r="T73" s="2029"/>
      <c r="U73" s="2029"/>
      <c r="V73" s="2029"/>
    </row>
    <row r="74" spans="1:22" ht="24.75">
      <c r="A74" s="3378" t="s">
        <v>415</v>
      </c>
      <c r="B74" s="3346"/>
      <c r="C74" s="3346"/>
      <c r="D74" s="362">
        <f ca="1">IF(H74="个人住宅",D75,D76)</f>
        <v>63334</v>
      </c>
      <c r="E74" s="17" t="s">
        <v>416</v>
      </c>
      <c r="F74" s="360" t="str">
        <f>IF(H74="正常",F76,"免征")</f>
        <v>——</v>
      </c>
      <c r="G74" s="983" t="s">
        <v>417</v>
      </c>
      <c r="H74" s="363" t="s">
        <v>413</v>
      </c>
      <c r="I74" s="42"/>
      <c r="J74" s="2036"/>
      <c r="K74" s="1977">
        <v>3</v>
      </c>
      <c r="L74" s="3384" t="s">
        <v>414</v>
      </c>
      <c r="M74" s="3384"/>
      <c r="N74" s="1296">
        <f t="shared" ca="1" si="1"/>
        <v>63334</v>
      </c>
      <c r="O74" s="1860" t="str">
        <f t="shared" si="1"/>
        <v>增值额×税（费）率</v>
      </c>
      <c r="P74" s="1299" t="str">
        <f t="shared" si="1"/>
        <v>——</v>
      </c>
      <c r="Q74" s="2029"/>
      <c r="R74" s="2029"/>
      <c r="S74" s="2029"/>
      <c r="T74" s="2029"/>
      <c r="U74" s="2029"/>
      <c r="V74" s="2029"/>
    </row>
    <row r="75" spans="1:22" ht="24">
      <c r="A75" s="359" t="s">
        <v>418</v>
      </c>
      <c r="B75" s="3334" t="s">
        <v>419</v>
      </c>
      <c r="C75" s="3364"/>
      <c r="D75" s="364">
        <v>0</v>
      </c>
      <c r="E75" s="41" t="s">
        <v>420</v>
      </c>
      <c r="F75" s="365"/>
      <c r="G75" s="361"/>
      <c r="H75" s="42"/>
      <c r="I75" s="42"/>
      <c r="J75" s="2036"/>
      <c r="K75" s="3030">
        <f>IF(H77="非个人房产","",4)</f>
        <v>4</v>
      </c>
      <c r="L75" s="3384" t="str">
        <f>IF(H77="非个人房产","——","个人所得税")</f>
        <v>个人所得税</v>
      </c>
      <c r="M75" s="3384"/>
      <c r="N75" s="1300">
        <f ca="1">D77</f>
        <v>1129</v>
      </c>
      <c r="O75" s="1873" t="str">
        <f>E77</f>
        <v>销售额×税（费）率</v>
      </c>
      <c r="P75" s="1301">
        <f>F77</f>
        <v>0.01</v>
      </c>
      <c r="Q75" s="2029"/>
      <c r="R75" s="2029"/>
      <c r="S75" s="2029"/>
      <c r="T75" s="2029"/>
      <c r="U75" s="2029"/>
      <c r="V75" s="2029"/>
    </row>
    <row r="76" spans="1:22" ht="24.75">
      <c r="A76" s="359" t="s">
        <v>396</v>
      </c>
      <c r="B76" s="3334" t="s">
        <v>422</v>
      </c>
      <c r="C76" s="3335"/>
      <c r="D76" s="362">
        <f ca="1">IF(H76="转让取得",C99,C115)</f>
        <v>63334</v>
      </c>
      <c r="E76" s="17" t="s">
        <v>423</v>
      </c>
      <c r="F76" s="53" t="s">
        <v>21</v>
      </c>
      <c r="G76" s="361"/>
      <c r="H76" s="363" t="s">
        <v>424</v>
      </c>
      <c r="I76" s="42"/>
      <c r="J76" s="2036"/>
      <c r="K76" s="3030" t="str">
        <f>IF(项目基本情况!K6="上海银行",IF(K75="",4,K75+1),"")</f>
        <v/>
      </c>
      <c r="L76" s="3395" t="str">
        <f>IF(项目基本情况!K6="上海银行","其他处置费用","")</f>
        <v/>
      </c>
      <c r="M76" s="3396"/>
      <c r="N76" s="1296" t="str">
        <f>IF(项目基本情况!K6="上海银行",N89,"")</f>
        <v/>
      </c>
      <c r="O76" s="3397" t="str">
        <f>IF(项目基本情况!K6="上海银行","包含处置中涉及的律师、诉讼、拍卖、评估等费用","")</f>
        <v/>
      </c>
      <c r="P76" s="3398"/>
      <c r="Q76" s="2029"/>
      <c r="R76" s="2029"/>
      <c r="S76" s="2029"/>
      <c r="T76" s="2029"/>
      <c r="U76" s="2029"/>
      <c r="V76" s="2029"/>
    </row>
    <row r="77" spans="1:22" ht="26.25" thickBot="1">
      <c r="A77" s="3386" t="s">
        <v>426</v>
      </c>
      <c r="B77" s="3387"/>
      <c r="C77" s="3387"/>
      <c r="D77" s="366">
        <f ca="1">IF(H77="非个人房产","——",IF(H77="个人住宅",0,ROUND(D63*I77,0)))</f>
        <v>1129</v>
      </c>
      <c r="E77" s="367" t="str">
        <f>IF(H77="非个人房产","——","销售额×税（费）率")</f>
        <v>销售额×税（费）率</v>
      </c>
      <c r="F77" s="368">
        <f>IF(H77="非个人房产","——",IF(H77="个人住宅","免征",I77))</f>
        <v>0.01</v>
      </c>
      <c r="G77" s="984" t="s">
        <v>417</v>
      </c>
      <c r="H77" s="363" t="s">
        <v>2884</v>
      </c>
      <c r="I77" s="369">
        <v>0.01</v>
      </c>
      <c r="J77" s="2036"/>
      <c r="K77" s="3385">
        <f>IF(AND(K75="",K76=""),4,IF(项目基本情况!K6="上海银行",K76+1,K75+1))</f>
        <v>5</v>
      </c>
      <c r="L77" s="3384" t="s">
        <v>2885</v>
      </c>
      <c r="M77" s="3036" t="s">
        <v>421</v>
      </c>
      <c r="N77" s="1302"/>
      <c r="O77" s="1303">
        <f ca="1">SUMIF(N72:N76,"&lt;9e307")</f>
        <v>70375</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85"/>
      <c r="L78" s="3384"/>
      <c r="M78" s="3036" t="s">
        <v>425</v>
      </c>
      <c r="N78" s="1302"/>
      <c r="O78" s="1303" t="str">
        <f ca="1">NUMBERSTRING(INT(O77*10000),2)&amp;"元整"</f>
        <v>柒亿零叁佰柒拾伍万元整</v>
      </c>
      <c r="P78" s="1304"/>
      <c r="Q78" s="2029"/>
      <c r="R78" s="2029"/>
      <c r="S78" s="2029"/>
      <c r="T78" s="2029"/>
      <c r="U78" s="2029"/>
      <c r="V78" s="2029"/>
    </row>
    <row r="79" spans="1:22" ht="13.5" thickBot="1">
      <c r="A79" s="3379" t="s">
        <v>427</v>
      </c>
      <c r="B79" s="3379"/>
      <c r="C79" s="3379"/>
      <c r="D79" s="3379"/>
      <c r="E79" s="3379"/>
      <c r="F79" s="42"/>
      <c r="G79" s="42"/>
      <c r="H79" s="1003"/>
      <c r="I79" s="311"/>
      <c r="J79" s="2036"/>
      <c r="K79" s="3405">
        <f>K77+1</f>
        <v>6</v>
      </c>
      <c r="L79" s="3384" t="s">
        <v>2886</v>
      </c>
      <c r="M79" s="3036" t="s">
        <v>421</v>
      </c>
      <c r="N79" s="1302"/>
      <c r="O79" s="1303" t="e">
        <f ca="1">N69-O77</f>
        <v>#VALUE!</v>
      </c>
      <c r="P79" s="1304"/>
      <c r="Q79" s="2029"/>
      <c r="R79" s="2029"/>
      <c r="S79" s="2029"/>
      <c r="T79" s="2029"/>
      <c r="U79" s="2029"/>
      <c r="V79" s="2029"/>
    </row>
    <row r="80" spans="1:22" ht="12.75">
      <c r="A80" s="3374" t="s">
        <v>428</v>
      </c>
      <c r="B80" s="3375"/>
      <c r="C80" s="994"/>
      <c r="D80" s="994" t="s">
        <v>429</v>
      </c>
      <c r="E80" s="370" t="s">
        <v>430</v>
      </c>
      <c r="F80" s="42"/>
      <c r="G80" s="42"/>
      <c r="H80" s="1003"/>
      <c r="I80" s="311"/>
      <c r="J80" s="2029"/>
      <c r="K80" s="3406"/>
      <c r="L80" s="3384"/>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107499</v>
      </c>
      <c r="D81" s="373"/>
      <c r="E81" s="374"/>
      <c r="F81" s="42"/>
      <c r="G81" s="42"/>
      <c r="H81" s="1003"/>
      <c r="I81" s="311"/>
      <c r="J81" s="2029"/>
      <c r="K81" s="3030">
        <f>K79+1</f>
        <v>7</v>
      </c>
      <c r="L81" s="3382" t="s">
        <v>2887</v>
      </c>
      <c r="M81" s="3383"/>
      <c r="N81" s="1306"/>
      <c r="O81" s="1307" t="e">
        <f ca="1">ROUND(O79*10000/'数据-汇总表'!E3,0)</f>
        <v>#VALUE!</v>
      </c>
      <c r="P81" s="1308"/>
      <c r="Q81" s="2029"/>
      <c r="R81" s="2029"/>
      <c r="S81" s="2029"/>
      <c r="T81" s="2029"/>
      <c r="U81" s="2029"/>
      <c r="V81" s="2029"/>
    </row>
    <row r="82" spans="1:26" ht="13.5" thickTop="1">
      <c r="A82" s="375" t="s">
        <v>1825</v>
      </c>
      <c r="B82" s="376" t="s">
        <v>432</v>
      </c>
      <c r="C82" s="377">
        <f ca="1">D63</f>
        <v>112874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94"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2941</v>
      </c>
      <c r="F84" s="42"/>
      <c r="G84" s="42"/>
      <c r="H84" s="1003"/>
      <c r="I84" s="311"/>
      <c r="J84" s="2029"/>
      <c r="K84" s="3394"/>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105499</v>
      </c>
      <c r="D85" s="378" t="s">
        <v>19</v>
      </c>
      <c r="E85" s="379"/>
      <c r="F85" s="42"/>
      <c r="G85" s="42"/>
      <c r="H85" s="1003"/>
      <c r="I85" s="311"/>
      <c r="J85" s="2029"/>
      <c r="K85" s="3394"/>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5802</v>
      </c>
      <c r="D86" s="389">
        <f>'数据-取费表'!B41</f>
        <v>5.5000000000000007E-2</v>
      </c>
      <c r="E86" s="390"/>
      <c r="F86" s="42"/>
      <c r="G86" s="42"/>
      <c r="H86" s="1003"/>
      <c r="I86" s="311"/>
      <c r="J86" s="2029"/>
      <c r="K86" s="3394"/>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94"/>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76" t="s">
        <v>437</v>
      </c>
      <c r="B88" s="3377"/>
      <c r="C88" s="3377"/>
      <c r="D88" s="3377"/>
      <c r="E88" s="3377"/>
      <c r="F88" s="3377"/>
      <c r="G88" s="3377"/>
      <c r="H88" s="3377"/>
      <c r="I88" s="1315"/>
      <c r="J88" s="2037"/>
      <c r="K88" s="3394"/>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74" t="s">
        <v>428</v>
      </c>
      <c r="B89" s="3375"/>
      <c r="C89" s="994"/>
      <c r="D89" s="994" t="s">
        <v>429</v>
      </c>
      <c r="E89" s="391" t="s">
        <v>438</v>
      </c>
      <c r="F89" s="392"/>
      <c r="G89" s="392"/>
      <c r="H89" s="393"/>
      <c r="I89" s="1316"/>
      <c r="J89" s="2039"/>
      <c r="K89" s="3394"/>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107499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3098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37" t="s">
        <v>447</v>
      </c>
      <c r="F94" s="3336"/>
      <c r="G94" s="3336"/>
      <c r="H94" s="337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537</v>
      </c>
      <c r="D96" s="406">
        <f>'数据-取费表'!B43</f>
        <v>5.000000000000001E-3</v>
      </c>
      <c r="E96" s="3365" t="s">
        <v>2429</v>
      </c>
      <c r="F96" s="3366"/>
      <c r="G96" s="3366"/>
      <c r="H96" s="336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104401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33.699483537766298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61556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6" t="s">
        <v>454</v>
      </c>
      <c r="B101" s="3377"/>
      <c r="C101" s="3377"/>
      <c r="D101" s="3377"/>
      <c r="E101" s="3377"/>
      <c r="F101" s="3377"/>
      <c r="G101" s="3377"/>
      <c r="H101" s="337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74" t="s">
        <v>428</v>
      </c>
      <c r="B102" s="337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107499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1227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68" t="s">
        <v>462</v>
      </c>
      <c r="F109" s="3366"/>
      <c r="G109" s="336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68" t="s">
        <v>464</v>
      </c>
      <c r="F110" s="3366"/>
      <c r="G110" s="3366"/>
      <c r="H110" s="336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537</v>
      </c>
      <c r="D111" s="406">
        <f>'数据-取费表'!B43</f>
        <v>5.000000000000001E-3</v>
      </c>
      <c r="E111" s="3365" t="s">
        <v>2429</v>
      </c>
      <c r="F111" s="3366"/>
      <c r="G111" s="3366"/>
      <c r="H111" s="336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68" t="s">
        <v>2454</v>
      </c>
      <c r="F112" s="3366"/>
      <c r="G112" s="3366"/>
      <c r="H112" s="336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106272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86.611246943765281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63334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3" fitToHeight="0"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-3928</v>
      </c>
      <c r="C2" s="2105"/>
      <c r="D2" s="2105"/>
      <c r="E2" s="2105"/>
      <c r="F2" s="2105"/>
      <c r="G2" s="2105"/>
      <c r="H2" s="2105"/>
      <c r="I2" s="2105"/>
      <c r="J2" s="2105"/>
      <c r="K2" s="2105"/>
    </row>
    <row r="3" spans="1:31" s="2042" customFormat="1" ht="18" customHeight="1">
      <c r="A3" s="2107" t="s">
        <v>1685</v>
      </c>
      <c r="B3" s="2108">
        <f ca="1">ROUND(B2*10000/IF(B1="",'数据-汇总表'!E3,INDIRECT("'数据-取费表'!K"&amp;$K$1)),0)</f>
        <v>-535</v>
      </c>
      <c r="C3" s="2105"/>
      <c r="D3" s="2105"/>
      <c r="E3" s="2105"/>
      <c r="F3" s="2105"/>
      <c r="G3" s="2105"/>
      <c r="H3" s="2105"/>
      <c r="I3" s="2105"/>
      <c r="J3" s="2105"/>
      <c r="K3" s="2105"/>
    </row>
    <row r="4" spans="1:31" s="2042" customFormat="1" ht="18" customHeight="1">
      <c r="A4" s="426" t="s">
        <v>468</v>
      </c>
      <c r="B4" s="427">
        <f ca="1">ROUND(B2*10000/IF(B1="",'数据-汇总表'!D3,INDIRECT("'数据-取费表'!R"&amp;$K$1)),0)</f>
        <v>-67</v>
      </c>
      <c r="C4" s="428"/>
      <c r="D4" s="422"/>
      <c r="E4" s="422"/>
      <c r="F4" s="422"/>
      <c r="G4" s="422"/>
      <c r="H4" s="422"/>
      <c r="I4" s="422"/>
      <c r="J4" s="422"/>
      <c r="K4" s="422"/>
    </row>
    <row r="5" spans="1:31" s="2042" customFormat="1" ht="18" customHeight="1" thickBot="1">
      <c r="A5" s="429"/>
      <c r="B5" s="430">
        <f ca="1">ROUND(B2/(IF(B1="",'数据-汇总表'!D3,INDIRECT("'数据-取费表'!R"&amp;$K$1))/666.67),0)</f>
        <v>-4</v>
      </c>
      <c r="C5" s="431" t="s">
        <v>469</v>
      </c>
      <c r="D5" s="422"/>
      <c r="E5" s="422"/>
      <c r="F5" s="422"/>
      <c r="G5" s="422"/>
      <c r="H5" s="422"/>
      <c r="I5" s="422"/>
      <c r="J5" s="422"/>
      <c r="K5" s="422"/>
    </row>
    <row r="6" spans="1:31" s="2112" customFormat="1" ht="16.5" customHeight="1">
      <c r="A6" s="2807" t="s">
        <v>1843</v>
      </c>
      <c r="B6" s="2808"/>
      <c r="C6" s="2809">
        <f>SUM(C10:K10)</f>
        <v>0</v>
      </c>
      <c r="D6" s="2808"/>
      <c r="E6" s="2808"/>
      <c r="F6" s="2808"/>
      <c r="G6" s="2808"/>
      <c r="H6" s="2808"/>
      <c r="I6" s="2808"/>
      <c r="J6" s="2808"/>
      <c r="K6" s="2810"/>
    </row>
    <row r="7" spans="1:31" s="2114" customFormat="1" ht="15">
      <c r="A7" s="2811" t="s">
        <v>470</v>
      </c>
      <c r="B7" s="2812"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0</v>
      </c>
      <c r="D13" s="2823"/>
      <c r="E13" s="2824"/>
      <c r="F13" s="2825"/>
      <c r="G13" s="2791"/>
      <c r="H13" s="2792"/>
      <c r="I13" s="2792"/>
      <c r="J13" s="2792"/>
      <c r="K13" s="2793"/>
    </row>
    <row r="14" spans="1:31" s="2117" customFormat="1" ht="13.5" customHeight="1">
      <c r="A14" s="2821" t="s">
        <v>1850</v>
      </c>
      <c r="B14" s="2822" t="s">
        <v>480</v>
      </c>
      <c r="C14" s="53">
        <f ca="1">ROUND(C13*F14,0)</f>
        <v>0</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1468</v>
      </c>
      <c r="D16" s="2823">
        <f ca="1">IF(B1="",'数据-汇总表'!E3,INDIRECT("'数据-取费表'!K"&amp;$K$1)+INDIRECT("'数据-取费表'!S"&amp;$K$1))</f>
        <v>73383.899999999994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0</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1468</v>
      </c>
      <c r="D18" s="2832"/>
      <c r="E18" s="468"/>
      <c r="F18" s="468"/>
      <c r="G18" s="2795" t="s">
        <v>2431</v>
      </c>
      <c r="H18" s="2796"/>
      <c r="I18" s="2796"/>
      <c r="J18" s="2796"/>
      <c r="K18" s="2797"/>
    </row>
    <row r="19" spans="1:14" s="2117" customFormat="1" ht="13.5" customHeight="1">
      <c r="A19" s="2829" t="s">
        <v>1855</v>
      </c>
      <c r="B19" s="2830" t="s">
        <v>488</v>
      </c>
      <c r="C19" s="2787">
        <f ca="1">ROUND(D19*E19/10000,0)</f>
        <v>1027</v>
      </c>
      <c r="D19" s="2833">
        <f ca="1">D16</f>
        <v>73383.899999999994</v>
      </c>
      <c r="E19" s="2787">
        <f>'数据-取费表'!B32</f>
        <v>140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1468</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7" customFormat="1" ht="13.5" customHeight="1">
      <c r="A22" s="2821" t="s">
        <v>1858</v>
      </c>
      <c r="B22" s="2822" t="s">
        <v>492</v>
      </c>
      <c r="C22" s="53">
        <f ca="1">ROUND(D22*E22/10000,0)</f>
        <v>1468</v>
      </c>
      <c r="D22" s="2823">
        <f ca="1">IF(B1="",'数据-汇总表'!E6,IF(INDIRECT("'数据-取费表'!c"&amp;$K$1)="住宅",INDIRECT("'数据-取费表'!s"&amp;$K$1),INDIRECT("'数据-取费表'!k"&amp;$K$1)+INDIRECT("'数据-取费表'!s"&amp;$K$1)))</f>
        <v>73383.899999999994</v>
      </c>
      <c r="E22" s="53">
        <f>'数据-取费表'!B28</f>
        <v>200</v>
      </c>
      <c r="F22" s="2826"/>
      <c r="G22" s="26"/>
      <c r="H22" s="51"/>
      <c r="I22" s="51"/>
      <c r="J22" s="51"/>
      <c r="K22" s="2798"/>
    </row>
    <row r="23" spans="1:14" s="2117" customFormat="1" ht="13.5" customHeight="1">
      <c r="A23" s="2829" t="s">
        <v>1859</v>
      </c>
      <c r="B23" s="3011" t="s">
        <v>2834</v>
      </c>
      <c r="C23" s="2831">
        <f ca="1">ROUND((C18+C19+C20)*F23,0)</f>
        <v>79</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ROUND(C6*F24,0)</f>
        <v>0</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0</v>
      </c>
      <c r="D26" s="467">
        <f ca="1">C27</f>
        <v>0</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0</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4042</v>
      </c>
      <c r="D30" s="477">
        <f ca="1">C32</f>
        <v>2.9000000000000001E-2</v>
      </c>
      <c r="E30" s="469" t="s">
        <v>495</v>
      </c>
      <c r="F30" s="471"/>
      <c r="G30" s="2799" t="s">
        <v>2973</v>
      </c>
      <c r="H30" s="2792"/>
      <c r="I30" s="2792"/>
      <c r="J30" s="2792"/>
      <c r="K30" s="2793"/>
    </row>
    <row r="31" spans="1:14" s="2121" customFormat="1" ht="13.5" customHeight="1">
      <c r="A31" s="803" t="s">
        <v>1857</v>
      </c>
      <c r="B31" s="2837"/>
      <c r="C31" s="450">
        <f ca="1">C18+C19+C20+C23+C24+C26+C29</f>
        <v>4042</v>
      </c>
      <c r="D31" s="472"/>
      <c r="E31" s="473"/>
      <c r="F31" s="474"/>
      <c r="G31" s="261"/>
      <c r="H31" s="2794"/>
      <c r="I31" s="2794"/>
      <c r="J31" s="2794"/>
      <c r="K31" s="279"/>
    </row>
    <row r="32" spans="1:14" s="2121" customFormat="1" ht="13.5" customHeight="1">
      <c r="A32" s="803" t="s">
        <v>1858</v>
      </c>
      <c r="B32" s="2837"/>
      <c r="C32" s="53">
        <f ca="1">ROUND(C25+D26,4)</f>
        <v>2.9000000000000001E-2</v>
      </c>
      <c r="D32" s="472"/>
      <c r="E32" s="473"/>
      <c r="F32" s="474"/>
      <c r="G32" s="261"/>
      <c r="H32" s="2794"/>
      <c r="I32" s="2794"/>
      <c r="J32" s="2794"/>
      <c r="K32" s="279"/>
    </row>
    <row r="33" spans="1:11" s="2123" customFormat="1" ht="13.5" customHeight="1">
      <c r="A33" s="3010" t="s">
        <v>2833</v>
      </c>
      <c r="B33" s="3008" t="s">
        <v>2831</v>
      </c>
      <c r="C33" s="478">
        <f ca="1">C35</f>
        <v>566</v>
      </c>
      <c r="D33" s="467">
        <f ca="1">C34</f>
        <v>0.14410000000000001</v>
      </c>
      <c r="E33" s="469" t="s">
        <v>495</v>
      </c>
      <c r="F33" s="479">
        <f ca="1">IF(B1="",'数据-取费表'!Q16,INDIRECT("'数据-取费表'!q"&amp;$K$1))</f>
        <v>0.14000000000000001</v>
      </c>
      <c r="G33" s="2795"/>
      <c r="H33" s="2796"/>
      <c r="I33" s="2796"/>
      <c r="J33" s="2796"/>
      <c r="K33" s="2797"/>
    </row>
    <row r="34" spans="1:11" s="2124" customFormat="1" ht="13.5" customHeight="1">
      <c r="A34" s="375" t="s">
        <v>1857</v>
      </c>
      <c r="B34" s="2842" t="s">
        <v>501</v>
      </c>
      <c r="C34" s="472">
        <f ca="1">ROUND((1+C25)*F33,4)</f>
        <v>0.14410000000000001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566</v>
      </c>
      <c r="D35" s="1630"/>
      <c r="E35" s="2843"/>
      <c r="F35" s="1631"/>
      <c r="G35" s="2801"/>
      <c r="H35" s="2802"/>
      <c r="I35" s="2802"/>
      <c r="J35" s="2802"/>
      <c r="K35" s="2803"/>
    </row>
    <row r="36" spans="1:11" s="2086" customFormat="1" ht="13.5" customHeight="1" thickBot="1">
      <c r="A36" s="284" t="s">
        <v>1845</v>
      </c>
      <c r="B36" s="2805"/>
      <c r="C36" s="2844">
        <f ca="1">ROUND((C6-C30-C33)/(1+D30+D33),0)</f>
        <v>-3928</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t="e">
        <f ca="1">C32</f>
        <v>#DIV/0!</v>
      </c>
      <c r="C2" s="2105"/>
      <c r="D2" s="2105"/>
      <c r="E2" s="2105"/>
      <c r="F2" s="2105"/>
      <c r="G2" s="2105"/>
      <c r="H2" s="2105"/>
      <c r="I2" s="2105"/>
      <c r="J2" s="2105"/>
      <c r="K2" s="2105"/>
    </row>
    <row r="3" spans="1:41" s="2042" customFormat="1" ht="18" customHeight="1">
      <c r="A3" s="1380" t="s">
        <v>1685</v>
      </c>
      <c r="B3" s="425" t="e">
        <f ca="1">ROUND(B2*10000/IF(B1="",'数据-汇总表'!E3,INDIRECT("'数据-取费表'!K"&amp;$K$1)),0)</f>
        <v>#DIV/0!</v>
      </c>
      <c r="C3" s="2105"/>
      <c r="D3" s="2105"/>
      <c r="E3" s="2105"/>
      <c r="F3" s="2105"/>
      <c r="G3" s="2105"/>
      <c r="H3" s="2105"/>
      <c r="I3" s="2105"/>
      <c r="J3" s="2105"/>
      <c r="K3" s="2105"/>
    </row>
    <row r="4" spans="1:41" s="2042" customFormat="1" ht="18" customHeight="1">
      <c r="A4" s="426" t="s">
        <v>468</v>
      </c>
      <c r="B4" s="427" t="e">
        <f ca="1">ROUND(B2*10000/IF(B1="",'数据-汇总表'!D3,INDIRECT("'数据-取费表'!R"&amp;$K$1)),0)</f>
        <v>#DIV/0!</v>
      </c>
      <c r="C4" s="2062"/>
      <c r="D4" s="2105"/>
      <c r="E4" s="2105"/>
      <c r="F4" s="2105"/>
      <c r="G4" s="2105"/>
      <c r="H4" s="2105"/>
      <c r="I4" s="2105"/>
      <c r="J4" s="2105"/>
      <c r="K4" s="2105"/>
    </row>
    <row r="5" spans="1:41" s="2042" customFormat="1" ht="18" customHeight="1" thickBot="1">
      <c r="A5" s="429"/>
      <c r="B5" s="430" t="e">
        <f ca="1">ROUND(B2/(IF(B1="",'数据-汇总表'!D3,INDIRECT("'数据-取费表'!R"&amp;$K$1))/666.67),0)</f>
        <v>#DIV/0!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7" customFormat="1" ht="13.5" customHeight="1">
      <c r="A14" s="1634" t="s">
        <v>1850</v>
      </c>
      <c r="B14" s="449" t="s">
        <v>480</v>
      </c>
      <c r="C14" s="53">
        <f ca="1">ROUND(C13*F14,0)</f>
        <v>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1468</v>
      </c>
      <c r="D16" s="451">
        <f ca="1">IF(B1="",'数据-汇总表'!E3,INDIRECT("'数据-取费表'!K"&amp;$K$1)+INDIRECT("'数据-取费表'!S"&amp;$K$1))</f>
        <v>73383.899999999994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1468</v>
      </c>
      <c r="D18" s="461"/>
      <c r="E18" s="462"/>
      <c r="F18" s="462"/>
      <c r="G18" s="1327" t="s">
        <v>2433</v>
      </c>
      <c r="H18" s="447"/>
      <c r="I18" s="447"/>
      <c r="J18" s="447"/>
      <c r="K18" s="448"/>
    </row>
    <row r="19" spans="1:14" s="2120" customFormat="1" ht="13.5" customHeight="1">
      <c r="A19" s="1635" t="s">
        <v>1855</v>
      </c>
      <c r="B19" s="459" t="s">
        <v>493</v>
      </c>
      <c r="C19" s="460">
        <f ca="1">ROUND(C18*F19,0)</f>
        <v>29</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35</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210</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4" t="s">
        <v>1849</v>
      </c>
      <c r="B25" s="1328" t="s">
        <v>2437</v>
      </c>
      <c r="C25" s="490">
        <f ca="1">ROUND((C18+C19)*F24,0)</f>
        <v>210</v>
      </c>
      <c r="D25" s="472"/>
      <c r="E25" s="473"/>
      <c r="F25" s="480"/>
      <c r="G25" s="1326" t="s">
        <v>2434</v>
      </c>
      <c r="H25" s="457"/>
      <c r="I25" s="457"/>
      <c r="J25" s="457"/>
      <c r="K25" s="458"/>
    </row>
    <row r="26" spans="1:14" s="2121" customFormat="1" ht="13.5" customHeight="1">
      <c r="A26" s="1634" t="s">
        <v>1850</v>
      </c>
      <c r="B26" s="1328" t="s">
        <v>509</v>
      </c>
      <c r="C26" s="491">
        <f ca="1">ROUND(F20*F24,4)</f>
        <v>2.8E-3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1885</v>
      </c>
      <c r="D28" s="477"/>
      <c r="E28" s="469"/>
      <c r="F28" s="471"/>
      <c r="G28" s="1327" t="s">
        <v>2435</v>
      </c>
      <c r="H28" s="447"/>
      <c r="I28" s="447"/>
      <c r="J28" s="447"/>
      <c r="K28" s="448"/>
    </row>
    <row r="29" spans="1:14" s="2122"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2" customFormat="1" ht="13.5" customHeight="1">
      <c r="A30" s="443">
        <v>2</v>
      </c>
      <c r="B30" s="476" t="s">
        <v>514</v>
      </c>
      <c r="C30" s="497" t="e">
        <f ca="1">ROUND(C28*C29,0)</f>
        <v>#DIV/0!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63"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45" t="str">
        <f>项目基本情况!B1</f>
        <v>北京市划拨国有建设用地使用权市场价格预评估</v>
      </c>
      <c r="C37" s="3245"/>
      <c r="D37" s="3245"/>
      <c r="E37" s="3245"/>
      <c r="F37" s="3245"/>
      <c r="G37" s="3245"/>
      <c r="H37" s="3245"/>
      <c r="I37" s="3245"/>
    </row>
    <row r="38" spans="1:9">
      <c r="A38" s="1657"/>
      <c r="B38" s="1657"/>
    </row>
    <row r="39" spans="1:9">
      <c r="A39" s="1655" t="s">
        <v>1902</v>
      </c>
      <c r="B39" s="1655" t="s">
        <v>2047</v>
      </c>
    </row>
    <row r="40" spans="1:9">
      <c r="A40" s="1655"/>
      <c r="B40" s="1655" t="str">
        <f>项目基本情况!B5</f>
        <v>北京兴发水泥有限公司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陈颖、叶凌</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19" t="s">
        <v>522</v>
      </c>
      <c r="D6" s="3420"/>
      <c r="E6" s="3419" t="s">
        <v>523</v>
      </c>
      <c r="F6" s="3420"/>
      <c r="G6" s="3419" t="s">
        <v>524</v>
      </c>
      <c r="H6" s="3420"/>
      <c r="I6" s="3419" t="s">
        <v>525</v>
      </c>
      <c r="J6" s="3420"/>
      <c r="K6" s="514" t="s">
        <v>526</v>
      </c>
      <c r="L6" s="2134"/>
      <c r="M6" s="2133"/>
      <c r="N6" s="2133"/>
      <c r="O6" s="2135"/>
      <c r="P6" s="3421" t="s">
        <v>527</v>
      </c>
      <c r="Q6" s="3422"/>
      <c r="R6" s="3427" t="s">
        <v>523</v>
      </c>
      <c r="S6" s="3428"/>
      <c r="T6" s="3427" t="s">
        <v>524</v>
      </c>
      <c r="U6" s="3428"/>
      <c r="V6" s="3414" t="s">
        <v>525</v>
      </c>
      <c r="W6" s="3414"/>
      <c r="X6" s="1568"/>
      <c r="Y6" s="3427" t="s">
        <v>527</v>
      </c>
      <c r="Z6" s="3428"/>
      <c r="AA6" s="3416" t="s">
        <v>523</v>
      </c>
      <c r="AB6" s="3417" t="s">
        <v>524</v>
      </c>
      <c r="AC6" s="3416" t="s">
        <v>525</v>
      </c>
    </row>
    <row r="7" spans="1:30" ht="20.25">
      <c r="A7" s="515"/>
      <c r="B7" s="516"/>
      <c r="C7" s="3435" t="s">
        <v>2930</v>
      </c>
      <c r="D7" s="3436"/>
      <c r="E7" s="3435" t="s">
        <v>2931</v>
      </c>
      <c r="F7" s="3436"/>
      <c r="G7" s="3435" t="s">
        <v>2932</v>
      </c>
      <c r="H7" s="3436"/>
      <c r="I7" s="3435" t="s">
        <v>2933</v>
      </c>
      <c r="J7" s="3436"/>
      <c r="K7" s="514"/>
      <c r="L7" s="2134"/>
      <c r="M7" s="2133"/>
      <c r="N7" s="2133"/>
      <c r="O7" s="2135"/>
      <c r="P7" s="3423"/>
      <c r="Q7" s="3424"/>
      <c r="R7" s="3429"/>
      <c r="S7" s="3430"/>
      <c r="T7" s="3429"/>
      <c r="U7" s="3430"/>
      <c r="V7" s="3414"/>
      <c r="W7" s="3414"/>
      <c r="X7" s="1568"/>
      <c r="Y7" s="3429"/>
      <c r="Z7" s="3430"/>
      <c r="AA7" s="3417"/>
      <c r="AB7" s="3417"/>
      <c r="AC7" s="3417"/>
    </row>
    <row r="8" spans="1:30" ht="21" thickBot="1">
      <c r="A8" s="515"/>
      <c r="B8" s="516"/>
      <c r="C8" s="3437" t="s">
        <v>2934</v>
      </c>
      <c r="D8" s="3438"/>
      <c r="E8" s="3437" t="s">
        <v>2934</v>
      </c>
      <c r="F8" s="3438"/>
      <c r="G8" s="3433" t="s">
        <v>2934</v>
      </c>
      <c r="H8" s="3434"/>
      <c r="I8" s="3433" t="s">
        <v>2934</v>
      </c>
      <c r="J8" s="3434"/>
      <c r="K8" s="514" t="s">
        <v>528</v>
      </c>
      <c r="L8" s="2134"/>
      <c r="M8" s="2133"/>
      <c r="N8" s="2133"/>
      <c r="O8" s="2135"/>
      <c r="P8" s="3425"/>
      <c r="Q8" s="3426"/>
      <c r="R8" s="3429"/>
      <c r="S8" s="3430"/>
      <c r="T8" s="3431"/>
      <c r="U8" s="3432"/>
      <c r="V8" s="3414"/>
      <c r="W8" s="3414"/>
      <c r="X8" s="1568"/>
      <c r="Y8" s="3431"/>
      <c r="Z8" s="3432"/>
      <c r="AA8" s="3418"/>
      <c r="AB8" s="3418"/>
      <c r="AC8" s="3418"/>
    </row>
    <row r="9" spans="1:30" s="1220" customFormat="1" ht="21" thickBot="1">
      <c r="A9" s="2891"/>
      <c r="B9" s="2898" t="s">
        <v>529</v>
      </c>
      <c r="C9" s="2890">
        <f>'数据-取费表'!B2</f>
        <v>43555</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44" t="s">
        <v>530</v>
      </c>
      <c r="Q9" s="3446"/>
      <c r="R9" s="1569" t="s">
        <v>8</v>
      </c>
      <c r="S9" s="1570">
        <f t="shared" ref="S9:S17" si="0">F9</f>
        <v>0</v>
      </c>
      <c r="T9" s="1569" t="s">
        <v>8</v>
      </c>
      <c r="U9" s="1570">
        <f t="shared" ref="U9:U17" si="1">H9</f>
        <v>0</v>
      </c>
      <c r="V9" s="1569" t="s">
        <v>8</v>
      </c>
      <c r="W9" s="1570">
        <f t="shared" ref="W9:W17" si="2">J9</f>
        <v>0</v>
      </c>
      <c r="X9" s="1571"/>
      <c r="Y9" s="3444" t="s">
        <v>530</v>
      </c>
      <c r="Z9" s="3445"/>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44" t="s">
        <v>533</v>
      </c>
      <c r="Q10" s="3445"/>
      <c r="R10" s="1569" t="s">
        <v>8</v>
      </c>
      <c r="S10" s="1570">
        <f t="shared" si="0"/>
        <v>0</v>
      </c>
      <c r="T10" s="1569" t="s">
        <v>8</v>
      </c>
      <c r="U10" s="1570">
        <f t="shared" si="1"/>
        <v>0</v>
      </c>
      <c r="V10" s="1569" t="s">
        <v>8</v>
      </c>
      <c r="W10" s="1570">
        <f t="shared" si="2"/>
        <v>0</v>
      </c>
      <c r="X10" s="1571"/>
      <c r="Y10" s="3444" t="s">
        <v>533</v>
      </c>
      <c r="Z10" s="3445"/>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13"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13"/>
      <c r="Q12" s="1151" t="str">
        <f t="shared" si="6"/>
        <v>土地使用年限（年）</v>
      </c>
      <c r="R12" s="1569" t="s">
        <v>8</v>
      </c>
      <c r="S12" s="1570">
        <f t="shared" si="0"/>
        <v>100</v>
      </c>
      <c r="T12" s="1569" t="s">
        <v>8</v>
      </c>
      <c r="U12" s="1570">
        <f t="shared" si="1"/>
        <v>100</v>
      </c>
      <c r="V12" s="1569" t="s">
        <v>8</v>
      </c>
      <c r="W12" s="1570">
        <f t="shared" si="2"/>
        <v>100</v>
      </c>
      <c r="X12" s="1571"/>
      <c r="Y12" s="3359"/>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13"/>
      <c r="Q13" s="1151" t="str">
        <f t="shared" si="6"/>
        <v>容积率</v>
      </c>
      <c r="R13" s="1569" t="s">
        <v>8</v>
      </c>
      <c r="S13" s="1570" t="e">
        <f t="shared" si="0"/>
        <v>#N/A</v>
      </c>
      <c r="T13" s="1569" t="s">
        <v>8</v>
      </c>
      <c r="U13" s="1570" t="e">
        <f t="shared" si="1"/>
        <v>#N/A</v>
      </c>
      <c r="V13" s="1569" t="s">
        <v>8</v>
      </c>
      <c r="W13" s="1570" t="e">
        <f t="shared" si="2"/>
        <v>#N/A</v>
      </c>
      <c r="X13" s="1571"/>
      <c r="Y13" s="3359"/>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413"/>
      <c r="Q14" s="1151" t="str">
        <f t="shared" si="6"/>
        <v>配建</v>
      </c>
      <c r="R14" s="1569" t="s">
        <v>8</v>
      </c>
      <c r="S14" s="1570">
        <f t="shared" si="0"/>
        <v>100</v>
      </c>
      <c r="T14" s="1569" t="s">
        <v>8</v>
      </c>
      <c r="U14" s="1570">
        <f t="shared" si="1"/>
        <v>100</v>
      </c>
      <c r="V14" s="1569" t="s">
        <v>8</v>
      </c>
      <c r="W14" s="1570">
        <f t="shared" si="2"/>
        <v>100</v>
      </c>
      <c r="X14" s="1571"/>
      <c r="Y14" s="3359"/>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3"/>
      <c r="Q15" s="1151">
        <f t="shared" si="6"/>
        <v>111</v>
      </c>
      <c r="R15" s="1569" t="s">
        <v>8</v>
      </c>
      <c r="S15" s="1570">
        <f t="shared" si="0"/>
        <v>100</v>
      </c>
      <c r="T15" s="1569" t="s">
        <v>8</v>
      </c>
      <c r="U15" s="1570">
        <f t="shared" si="1"/>
        <v>100</v>
      </c>
      <c r="V15" s="1569" t="s">
        <v>8</v>
      </c>
      <c r="W15" s="1570">
        <f t="shared" si="2"/>
        <v>100</v>
      </c>
      <c r="X15" s="1571"/>
      <c r="Y15" s="3359"/>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3"/>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47" t="s">
        <v>540</v>
      </c>
      <c r="Q17" s="1573" t="str">
        <f t="shared" si="6"/>
        <v>居住社区成熟度</v>
      </c>
      <c r="R17" s="1574" t="s">
        <v>8</v>
      </c>
      <c r="S17" s="1575">
        <f t="shared" si="0"/>
        <v>100</v>
      </c>
      <c r="T17" s="1574" t="s">
        <v>8</v>
      </c>
      <c r="U17" s="1575">
        <f t="shared" si="1"/>
        <v>100</v>
      </c>
      <c r="V17" s="1574" t="s">
        <v>8</v>
      </c>
      <c r="W17" s="1575">
        <f t="shared" si="2"/>
        <v>100</v>
      </c>
      <c r="X17" s="1568"/>
      <c r="Y17" s="344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448"/>
      <c r="Q18" s="1573"/>
      <c r="R18" s="1574"/>
      <c r="S18" s="1575"/>
      <c r="T18" s="1574"/>
      <c r="U18" s="1575"/>
      <c r="V18" s="1574"/>
      <c r="W18" s="1575"/>
      <c r="X18" s="1568"/>
      <c r="Y18" s="344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48"/>
      <c r="Q19" s="1573" t="str">
        <f>B19</f>
        <v>商业繁华度</v>
      </c>
      <c r="R19" s="1574" t="s">
        <v>8</v>
      </c>
      <c r="S19" s="1575">
        <f>F19</f>
        <v>100</v>
      </c>
      <c r="T19" s="1574" t="s">
        <v>8</v>
      </c>
      <c r="U19" s="1575">
        <f>H19</f>
        <v>100</v>
      </c>
      <c r="V19" s="1574" t="s">
        <v>8</v>
      </c>
      <c r="W19" s="1575">
        <f>J19</f>
        <v>100</v>
      </c>
      <c r="X19" s="1568"/>
      <c r="Y19" s="344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448"/>
      <c r="Q20" s="1573"/>
      <c r="R20" s="1574"/>
      <c r="S20" s="1575"/>
      <c r="T20" s="1574"/>
      <c r="U20" s="1575"/>
      <c r="V20" s="1574"/>
      <c r="W20" s="1575"/>
      <c r="X20" s="1568"/>
      <c r="Y20" s="3448"/>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48"/>
      <c r="Q21" s="1573" t="str">
        <f>B21</f>
        <v>办公集聚程度</v>
      </c>
      <c r="R21" s="1574" t="s">
        <v>8</v>
      </c>
      <c r="S21" s="1575">
        <f>F21</f>
        <v>100</v>
      </c>
      <c r="T21" s="1574" t="s">
        <v>8</v>
      </c>
      <c r="U21" s="1575">
        <f>H21</f>
        <v>100</v>
      </c>
      <c r="V21" s="1574" t="s">
        <v>8</v>
      </c>
      <c r="W21" s="1575">
        <f>J21</f>
        <v>100</v>
      </c>
      <c r="X21" s="1568"/>
      <c r="Y21" s="344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48"/>
      <c r="Q22" s="1573"/>
      <c r="R22" s="1574"/>
      <c r="S22" s="1575"/>
      <c r="T22" s="1574"/>
      <c r="U22" s="1575"/>
      <c r="V22" s="1574"/>
      <c r="W22" s="1575"/>
      <c r="X22" s="1568"/>
      <c r="Y22" s="344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48"/>
      <c r="Q23" s="1573" t="str">
        <f>B23</f>
        <v>交通便捷度</v>
      </c>
      <c r="R23" s="1574" t="s">
        <v>8</v>
      </c>
      <c r="S23" s="1575">
        <f>F23</f>
        <v>100</v>
      </c>
      <c r="T23" s="1574" t="s">
        <v>8</v>
      </c>
      <c r="U23" s="1575">
        <f>H23</f>
        <v>100</v>
      </c>
      <c r="V23" s="1574" t="s">
        <v>8</v>
      </c>
      <c r="W23" s="1575">
        <f>J23</f>
        <v>100</v>
      </c>
      <c r="X23" s="1568"/>
      <c r="Y23" s="344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448"/>
      <c r="Q24" s="1573"/>
      <c r="R24" s="1574"/>
      <c r="S24" s="1575"/>
      <c r="T24" s="1574"/>
      <c r="U24" s="1575"/>
      <c r="V24" s="1574"/>
      <c r="W24" s="1575"/>
      <c r="X24" s="1568"/>
      <c r="Y24" s="344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48"/>
      <c r="Q25" s="1573" t="str">
        <f t="shared" ref="Q25:Q39" si="8">B25</f>
        <v>区域土地利用方向</v>
      </c>
      <c r="R25" s="1574" t="s">
        <v>8</v>
      </c>
      <c r="S25" s="1575">
        <f>F25</f>
        <v>100</v>
      </c>
      <c r="T25" s="1574" t="s">
        <v>8</v>
      </c>
      <c r="U25" s="1575">
        <f>H25</f>
        <v>100</v>
      </c>
      <c r="V25" s="1574" t="s">
        <v>8</v>
      </c>
      <c r="W25" s="1575">
        <f>J25</f>
        <v>100</v>
      </c>
      <c r="X25" s="1568"/>
      <c r="Y25" s="344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48"/>
      <c r="Q26" s="1573"/>
      <c r="R26" s="1574"/>
      <c r="S26" s="1575"/>
      <c r="T26" s="1574"/>
      <c r="U26" s="1575"/>
      <c r="V26" s="1574"/>
      <c r="W26" s="1575"/>
      <c r="X26" s="1568"/>
      <c r="Y26" s="344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48"/>
      <c r="Q27" s="1573" t="str">
        <f t="shared" si="8"/>
        <v>自然及人文环境状况</v>
      </c>
      <c r="R27" s="1574" t="s">
        <v>8</v>
      </c>
      <c r="S27" s="1575">
        <f>F27</f>
        <v>100</v>
      </c>
      <c r="T27" s="1574" t="s">
        <v>8</v>
      </c>
      <c r="U27" s="1575">
        <f>H27</f>
        <v>100</v>
      </c>
      <c r="V27" s="1574" t="s">
        <v>8</v>
      </c>
      <c r="W27" s="1575">
        <f>J27</f>
        <v>100</v>
      </c>
      <c r="X27" s="1568"/>
      <c r="Y27" s="3448"/>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448"/>
      <c r="Q28" s="1573"/>
      <c r="R28" s="1574"/>
      <c r="S28" s="1575"/>
      <c r="T28" s="1574"/>
      <c r="U28" s="1575"/>
      <c r="V28" s="1574"/>
      <c r="W28" s="1575"/>
      <c r="X28" s="1568"/>
      <c r="Y28" s="3448"/>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48"/>
      <c r="Q29" s="1151" t="str">
        <f t="shared" si="8"/>
        <v>公共配套设施</v>
      </c>
      <c r="R29" s="1569" t="s">
        <v>8</v>
      </c>
      <c r="S29" s="1570">
        <f>F29</f>
        <v>100</v>
      </c>
      <c r="T29" s="1569" t="s">
        <v>8</v>
      </c>
      <c r="U29" s="1570">
        <f>H29</f>
        <v>100</v>
      </c>
      <c r="V29" s="1569" t="s">
        <v>8</v>
      </c>
      <c r="W29" s="1570">
        <f>J29</f>
        <v>100</v>
      </c>
      <c r="X29" s="1571"/>
      <c r="Y29" s="3448"/>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448"/>
      <c r="Q30" s="1151"/>
      <c r="R30" s="1569"/>
      <c r="S30" s="1570"/>
      <c r="T30" s="1569"/>
      <c r="U30" s="1570"/>
      <c r="V30" s="1569"/>
      <c r="W30" s="1570"/>
      <c r="X30" s="1571"/>
      <c r="Y30" s="3448"/>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48"/>
      <c r="Q31" s="2558" t="str">
        <f t="shared" ref="Q31" si="9">B31</f>
        <v>基础设施水平</v>
      </c>
      <c r="R31" s="1569" t="s">
        <v>8</v>
      </c>
      <c r="S31" s="1570">
        <f>F31</f>
        <v>100</v>
      </c>
      <c r="T31" s="1569" t="s">
        <v>8</v>
      </c>
      <c r="U31" s="1570">
        <f>H31</f>
        <v>100</v>
      </c>
      <c r="V31" s="1569" t="s">
        <v>8</v>
      </c>
      <c r="W31" s="1570">
        <f>J31</f>
        <v>100</v>
      </c>
      <c r="X31" s="1571"/>
      <c r="Y31" s="3448"/>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448"/>
      <c r="Q32" s="2558"/>
      <c r="R32" s="1569"/>
      <c r="S32" s="1570"/>
      <c r="T32" s="1569"/>
      <c r="U32" s="1570"/>
      <c r="V32" s="1569"/>
      <c r="W32" s="1570"/>
      <c r="X32" s="1571"/>
      <c r="Y32" s="3448"/>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4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48"/>
      <c r="Q34" s="1573" t="str">
        <f t="shared" si="8"/>
        <v>毗邻道路的类型与等级</v>
      </c>
      <c r="R34" s="1574" t="s">
        <v>8</v>
      </c>
      <c r="S34" s="1575">
        <f t="shared" si="10"/>
        <v>100</v>
      </c>
      <c r="T34" s="1574" t="s">
        <v>8</v>
      </c>
      <c r="U34" s="1575">
        <f t="shared" si="11"/>
        <v>100</v>
      </c>
      <c r="V34" s="1574" t="s">
        <v>8</v>
      </c>
      <c r="W34" s="1575">
        <f t="shared" si="12"/>
        <v>100</v>
      </c>
      <c r="X34" s="1568"/>
      <c r="Y34" s="344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48"/>
      <c r="Q35" s="1573"/>
      <c r="R35" s="1574"/>
      <c r="S35" s="1575"/>
      <c r="T35" s="1574"/>
      <c r="U35" s="1575"/>
      <c r="V35" s="1574"/>
      <c r="W35" s="1575"/>
      <c r="X35" s="1568"/>
      <c r="Y35" s="344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8"/>
      <c r="Q36" s="1573" t="str">
        <f t="shared" si="8"/>
        <v>土地级别</v>
      </c>
      <c r="R36" s="1574" t="s">
        <v>8</v>
      </c>
      <c r="S36" s="1575">
        <f t="shared" si="10"/>
        <v>100</v>
      </c>
      <c r="T36" s="1574" t="s">
        <v>8</v>
      </c>
      <c r="U36" s="1575">
        <f t="shared" si="11"/>
        <v>100</v>
      </c>
      <c r="V36" s="1574" t="s">
        <v>8</v>
      </c>
      <c r="W36" s="1575">
        <f t="shared" si="12"/>
        <v>100</v>
      </c>
      <c r="X36" s="1568"/>
      <c r="Y36" s="344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48"/>
      <c r="Q37" s="1573">
        <f t="shared" si="8"/>
        <v>111</v>
      </c>
      <c r="R37" s="1574" t="s">
        <v>8</v>
      </c>
      <c r="S37" s="1575">
        <f t="shared" si="10"/>
        <v>100</v>
      </c>
      <c r="T37" s="1574" t="s">
        <v>8</v>
      </c>
      <c r="U37" s="1575">
        <f t="shared" si="11"/>
        <v>100</v>
      </c>
      <c r="V37" s="1574" t="s">
        <v>8</v>
      </c>
      <c r="W37" s="1575">
        <f t="shared" si="12"/>
        <v>100</v>
      </c>
      <c r="X37" s="1568"/>
      <c r="Y37" s="344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9" t="s">
        <v>550</v>
      </c>
      <c r="Q38" s="1573">
        <f t="shared" si="8"/>
        <v>111</v>
      </c>
      <c r="R38" s="1574" t="s">
        <v>8</v>
      </c>
      <c r="S38" s="1575">
        <f t="shared" si="10"/>
        <v>100</v>
      </c>
      <c r="T38" s="1574" t="s">
        <v>8</v>
      </c>
      <c r="U38" s="1575">
        <f t="shared" si="11"/>
        <v>100</v>
      </c>
      <c r="V38" s="1574" t="s">
        <v>8</v>
      </c>
      <c r="W38" s="1575">
        <f t="shared" si="12"/>
        <v>100</v>
      </c>
      <c r="X38" s="1568"/>
      <c r="Y38" s="345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50"/>
      <c r="Q39" s="1573">
        <f t="shared" si="8"/>
        <v>111</v>
      </c>
      <c r="R39" s="1578" t="s">
        <v>8</v>
      </c>
      <c r="S39" s="1579">
        <f t="shared" si="10"/>
        <v>100</v>
      </c>
      <c r="T39" s="1578" t="s">
        <v>8</v>
      </c>
      <c r="U39" s="1579">
        <f t="shared" si="11"/>
        <v>100</v>
      </c>
      <c r="V39" s="1578" t="s">
        <v>8</v>
      </c>
      <c r="W39" s="1579">
        <f t="shared" si="12"/>
        <v>100</v>
      </c>
      <c r="X39" s="1580"/>
      <c r="Y39" s="3450"/>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50"/>
      <c r="Q40" s="1573" t="str">
        <f>B40</f>
        <v>宗地面积</v>
      </c>
      <c r="R40" s="1574" t="s">
        <v>8</v>
      </c>
      <c r="S40" s="1575" t="e">
        <f t="shared" si="10"/>
        <v>#N/A</v>
      </c>
      <c r="T40" s="1574" t="s">
        <v>8</v>
      </c>
      <c r="U40" s="1575" t="e">
        <f t="shared" si="11"/>
        <v>#N/A</v>
      </c>
      <c r="V40" s="1574" t="s">
        <v>8</v>
      </c>
      <c r="W40" s="1575" t="e">
        <f t="shared" si="12"/>
        <v>#N/A</v>
      </c>
      <c r="X40" s="1568"/>
      <c r="Y40" s="3450"/>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50"/>
      <c r="Q41" s="1573" t="str">
        <f t="shared" ref="Q41:Q47" si="14">B41</f>
        <v>宗地形状</v>
      </c>
      <c r="R41" s="1574" t="s">
        <v>8</v>
      </c>
      <c r="S41" s="1575">
        <f t="shared" si="10"/>
        <v>100</v>
      </c>
      <c r="T41" s="1574" t="s">
        <v>8</v>
      </c>
      <c r="U41" s="1575">
        <f t="shared" si="11"/>
        <v>100</v>
      </c>
      <c r="V41" s="1574" t="s">
        <v>8</v>
      </c>
      <c r="W41" s="1575">
        <f t="shared" si="12"/>
        <v>100</v>
      </c>
      <c r="X41" s="1568"/>
      <c r="Y41" s="345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50"/>
      <c r="Q42" s="1573" t="str">
        <f t="shared" si="14"/>
        <v>临街宽度及深度</v>
      </c>
      <c r="R42" s="1574" t="s">
        <v>8</v>
      </c>
      <c r="S42" s="1575">
        <f t="shared" si="10"/>
        <v>100</v>
      </c>
      <c r="T42" s="1574" t="s">
        <v>8</v>
      </c>
      <c r="U42" s="1575">
        <f t="shared" si="11"/>
        <v>100</v>
      </c>
      <c r="V42" s="1574" t="s">
        <v>8</v>
      </c>
      <c r="W42" s="1575">
        <f t="shared" si="12"/>
        <v>100</v>
      </c>
      <c r="X42" s="1568"/>
      <c r="Y42" s="3450"/>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50"/>
      <c r="Q43" s="1573" t="str">
        <f t="shared" si="14"/>
        <v>宗地开发程度</v>
      </c>
      <c r="R43" s="1569" t="s">
        <v>8</v>
      </c>
      <c r="S43" s="1570">
        <f t="shared" si="10"/>
        <v>100</v>
      </c>
      <c r="T43" s="1569" t="s">
        <v>8</v>
      </c>
      <c r="U43" s="1570">
        <f t="shared" si="11"/>
        <v>100</v>
      </c>
      <c r="V43" s="1569" t="s">
        <v>8</v>
      </c>
      <c r="W43" s="1570">
        <f t="shared" si="12"/>
        <v>100</v>
      </c>
      <c r="X43" s="1571"/>
      <c r="Y43" s="3450"/>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50" t="s">
        <v>550</v>
      </c>
      <c r="Q44" s="1573" t="str">
        <f t="shared" si="14"/>
        <v>工程地质条件</v>
      </c>
      <c r="R44" s="1574" t="s">
        <v>8</v>
      </c>
      <c r="S44" s="1575">
        <f t="shared" si="10"/>
        <v>100</v>
      </c>
      <c r="T44" s="1574" t="s">
        <v>8</v>
      </c>
      <c r="U44" s="1575">
        <f t="shared" si="11"/>
        <v>100</v>
      </c>
      <c r="V44" s="1574" t="s">
        <v>8</v>
      </c>
      <c r="W44" s="1575">
        <f t="shared" si="12"/>
        <v>100</v>
      </c>
      <c r="X44" s="1568"/>
      <c r="Y44" s="345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50"/>
      <c r="Q45" s="1573">
        <f t="shared" si="14"/>
        <v>111</v>
      </c>
      <c r="R45" s="1574" t="s">
        <v>8</v>
      </c>
      <c r="S45" s="1575">
        <f t="shared" si="10"/>
        <v>100</v>
      </c>
      <c r="T45" s="1574" t="s">
        <v>8</v>
      </c>
      <c r="U45" s="1575">
        <f t="shared" si="11"/>
        <v>100</v>
      </c>
      <c r="V45" s="1574" t="s">
        <v>8</v>
      </c>
      <c r="W45" s="1575">
        <f t="shared" si="12"/>
        <v>100</v>
      </c>
      <c r="X45" s="1568"/>
      <c r="Y45" s="345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50"/>
      <c r="Q46" s="1573">
        <f t="shared" si="14"/>
        <v>111</v>
      </c>
      <c r="R46" s="1574" t="s">
        <v>8</v>
      </c>
      <c r="S46" s="1575">
        <f t="shared" si="10"/>
        <v>100</v>
      </c>
      <c r="T46" s="1574" t="s">
        <v>8</v>
      </c>
      <c r="U46" s="1575">
        <f t="shared" si="11"/>
        <v>100</v>
      </c>
      <c r="V46" s="1574" t="s">
        <v>8</v>
      </c>
      <c r="W46" s="1575">
        <f t="shared" si="12"/>
        <v>100</v>
      </c>
      <c r="X46" s="1568"/>
      <c r="Y46" s="345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50"/>
      <c r="Q47" s="1573">
        <f t="shared" si="14"/>
        <v>111</v>
      </c>
      <c r="R47" s="1578" t="s">
        <v>8</v>
      </c>
      <c r="S47" s="1579">
        <f t="shared" si="10"/>
        <v>100</v>
      </c>
      <c r="T47" s="1578" t="s">
        <v>8</v>
      </c>
      <c r="U47" s="1579">
        <f t="shared" si="11"/>
        <v>100</v>
      </c>
      <c r="V47" s="1578" t="s">
        <v>8</v>
      </c>
      <c r="W47" s="1579">
        <f t="shared" si="12"/>
        <v>100</v>
      </c>
      <c r="X47" s="1580"/>
      <c r="Y47" s="3450"/>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5"/>
      <c r="M48" s="2133"/>
      <c r="N48" s="2133"/>
      <c r="O48" s="2146"/>
      <c r="P48" s="3413" t="str">
        <f>A48</f>
        <v>成交单价</v>
      </c>
      <c r="Q48" s="3413"/>
      <c r="R48" s="3414">
        <f>E48</f>
        <v>0</v>
      </c>
      <c r="S48" s="3414"/>
      <c r="T48" s="3414">
        <f>G48</f>
        <v>0</v>
      </c>
      <c r="U48" s="3414"/>
      <c r="V48" s="3414">
        <f>I48</f>
        <v>0</v>
      </c>
      <c r="W48" s="3414"/>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413" t="str">
        <f>A49</f>
        <v>比较价格（元/平方米）</v>
      </c>
      <c r="Q49" s="3413"/>
      <c r="R49" s="3415" t="e">
        <f>ROUND(PRODUCT(R48,AA9:AA47),0)</f>
        <v>#DIV/0!</v>
      </c>
      <c r="S49" s="3415"/>
      <c r="T49" s="3415" t="e">
        <f>ROUND(PRODUCT(T48,AB9:AB47),0)</f>
        <v>#DIV/0!</v>
      </c>
      <c r="U49" s="3415"/>
      <c r="V49" s="3415" t="e">
        <f>ROUND(PRODUCT(V48,AC9:AC47),0)</f>
        <v>#DIV/0!</v>
      </c>
      <c r="W49" s="3415"/>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5"/>
      <c r="M50" s="2133"/>
      <c r="N50" s="2133"/>
      <c r="O50" s="2146"/>
      <c r="P50" s="3410" t="str">
        <f>A50</f>
        <v>估价对象XX用房的比较价格（楼面单价，元/平方米）</v>
      </c>
      <c r="Q50" s="3411"/>
      <c r="R50" s="3412" t="e">
        <f>ROUND(AVERAGE(R49:V49),0)</f>
        <v>#DIV/0!</v>
      </c>
      <c r="S50" s="3412"/>
      <c r="T50" s="3412"/>
      <c r="U50" s="3412"/>
      <c r="V50" s="3412"/>
      <c r="W50" s="341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39" t="s">
        <v>2282</v>
      </c>
      <c r="H57" s="3440"/>
      <c r="I57" s="1556" t="s">
        <v>1723</v>
      </c>
      <c r="J57" s="1556" t="str">
        <f>项目基本情况!F41</f>
        <v>北京市怀柔区河防口村南</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73383.899999999994</v>
      </c>
      <c r="F58" s="636" t="e">
        <f t="shared" ref="F58:F67" si="15">ROUND(B58*E58/10000,0)</f>
        <v>#DIV/0!</v>
      </c>
      <c r="G58" s="3441"/>
      <c r="H58" s="3442"/>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43"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43"/>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43"/>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43"/>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585007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19" t="s">
        <v>522</v>
      </c>
      <c r="D6" s="3420"/>
      <c r="E6" s="3453" t="s">
        <v>523</v>
      </c>
      <c r="F6" s="3454"/>
      <c r="G6" s="3419" t="s">
        <v>524</v>
      </c>
      <c r="H6" s="3420"/>
      <c r="I6" s="3419" t="s">
        <v>525</v>
      </c>
      <c r="J6" s="3420"/>
      <c r="K6" s="514" t="s">
        <v>526</v>
      </c>
      <c r="L6" s="2134"/>
      <c r="M6" s="2135"/>
      <c r="N6" s="2135"/>
      <c r="O6" s="2135"/>
      <c r="P6" s="3421" t="s">
        <v>527</v>
      </c>
      <c r="Q6" s="3422"/>
      <c r="R6" s="3427" t="s">
        <v>523</v>
      </c>
      <c r="S6" s="3428"/>
      <c r="T6" s="3427" t="s">
        <v>524</v>
      </c>
      <c r="U6" s="3428"/>
      <c r="V6" s="3414" t="s">
        <v>525</v>
      </c>
      <c r="W6" s="3414"/>
      <c r="X6" s="1568"/>
      <c r="Y6" s="3427" t="s">
        <v>527</v>
      </c>
      <c r="Z6" s="3428"/>
      <c r="AA6" s="3416" t="s">
        <v>523</v>
      </c>
      <c r="AB6" s="3417" t="s">
        <v>524</v>
      </c>
      <c r="AC6" s="3416" t="s">
        <v>525</v>
      </c>
    </row>
    <row r="7" spans="1:29" ht="15">
      <c r="A7" s="515"/>
      <c r="B7" s="516"/>
      <c r="C7" s="3435" t="s">
        <v>2930</v>
      </c>
      <c r="D7" s="3436"/>
      <c r="E7" s="3455" t="s">
        <v>2931</v>
      </c>
      <c r="F7" s="3456"/>
      <c r="G7" s="3435" t="s">
        <v>2932</v>
      </c>
      <c r="H7" s="3436"/>
      <c r="I7" s="3435" t="s">
        <v>2933</v>
      </c>
      <c r="J7" s="3436"/>
      <c r="K7" s="514"/>
      <c r="L7" s="2134"/>
      <c r="M7" s="2135"/>
      <c r="N7" s="2135"/>
      <c r="O7" s="2135"/>
      <c r="P7" s="3423"/>
      <c r="Q7" s="3424"/>
      <c r="R7" s="3429"/>
      <c r="S7" s="3430"/>
      <c r="T7" s="3429"/>
      <c r="U7" s="3430"/>
      <c r="V7" s="3414"/>
      <c r="W7" s="3414"/>
      <c r="X7" s="1568"/>
      <c r="Y7" s="3429"/>
      <c r="Z7" s="3430"/>
      <c r="AA7" s="3417"/>
      <c r="AB7" s="3417"/>
      <c r="AC7" s="3417"/>
    </row>
    <row r="8" spans="1:29" ht="15.75" thickBot="1">
      <c r="A8" s="517"/>
      <c r="B8" s="518"/>
      <c r="C8" s="3433" t="s">
        <v>2934</v>
      </c>
      <c r="D8" s="3434"/>
      <c r="E8" s="3451" t="s">
        <v>2934</v>
      </c>
      <c r="F8" s="3452"/>
      <c r="G8" s="3433" t="s">
        <v>2934</v>
      </c>
      <c r="H8" s="3434"/>
      <c r="I8" s="3433" t="s">
        <v>2934</v>
      </c>
      <c r="J8" s="3434"/>
      <c r="K8" s="514" t="s">
        <v>528</v>
      </c>
      <c r="L8" s="2134"/>
      <c r="M8" s="2135"/>
      <c r="N8" s="2135"/>
      <c r="O8" s="2135"/>
      <c r="P8" s="3425"/>
      <c r="Q8" s="3426"/>
      <c r="R8" s="3429"/>
      <c r="S8" s="3430"/>
      <c r="T8" s="3431"/>
      <c r="U8" s="3432"/>
      <c r="V8" s="3414"/>
      <c r="W8" s="3414"/>
      <c r="X8" s="1568"/>
      <c r="Y8" s="3431"/>
      <c r="Z8" s="3432"/>
      <c r="AA8" s="3418"/>
      <c r="AB8" s="3418"/>
      <c r="AC8" s="3418"/>
    </row>
    <row r="9" spans="1:29" s="1220" customFormat="1" ht="15.75" thickBot="1">
      <c r="A9" s="2891"/>
      <c r="B9" s="2898" t="s">
        <v>529</v>
      </c>
      <c r="C9" s="519">
        <f>'数据-取费表'!B2</f>
        <v>43555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4" t="s">
        <v>530</v>
      </c>
      <c r="Q9" s="3446"/>
      <c r="R9" s="1569" t="s">
        <v>8</v>
      </c>
      <c r="S9" s="1570">
        <f t="shared" ref="S9:S17" si="0">F9</f>
        <v>0</v>
      </c>
      <c r="T9" s="1569" t="s">
        <v>8</v>
      </c>
      <c r="U9" s="1570">
        <f t="shared" ref="U9:U17" si="1">H9</f>
        <v>0</v>
      </c>
      <c r="V9" s="1569" t="s">
        <v>8</v>
      </c>
      <c r="W9" s="1570">
        <f t="shared" ref="W9:W17" si="2">J9</f>
        <v>0</v>
      </c>
      <c r="X9" s="1571"/>
      <c r="Y9" s="3444" t="s">
        <v>530</v>
      </c>
      <c r="Z9" s="344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4" t="s">
        <v>533</v>
      </c>
      <c r="Q10" s="3445"/>
      <c r="R10" s="1569" t="s">
        <v>8</v>
      </c>
      <c r="S10" s="1570">
        <f t="shared" si="0"/>
        <v>0</v>
      </c>
      <c r="T10" s="1569" t="s">
        <v>8</v>
      </c>
      <c r="U10" s="1570">
        <f t="shared" si="1"/>
        <v>0</v>
      </c>
      <c r="V10" s="1569" t="s">
        <v>8</v>
      </c>
      <c r="W10" s="1570">
        <f t="shared" si="2"/>
        <v>0</v>
      </c>
      <c r="X10" s="1571"/>
      <c r="Y10" s="3444" t="s">
        <v>533</v>
      </c>
      <c r="Z10" s="344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3"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13"/>
      <c r="Q12" s="1151" t="str">
        <f t="shared" si="6"/>
        <v>土地使用年限（年）</v>
      </c>
      <c r="R12" s="1569" t="s">
        <v>8</v>
      </c>
      <c r="S12" s="1570">
        <f t="shared" si="0"/>
        <v>100</v>
      </c>
      <c r="T12" s="1569" t="s">
        <v>8</v>
      </c>
      <c r="U12" s="1570">
        <f t="shared" si="1"/>
        <v>100</v>
      </c>
      <c r="V12" s="1569" t="s">
        <v>8</v>
      </c>
      <c r="W12" s="1570">
        <f t="shared" si="2"/>
        <v>100</v>
      </c>
      <c r="X12" s="1571"/>
      <c r="Y12" s="3359"/>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3"/>
      <c r="Q13" s="1151" t="str">
        <f t="shared" si="6"/>
        <v>容积率</v>
      </c>
      <c r="R13" s="1569" t="s">
        <v>8</v>
      </c>
      <c r="S13" s="1570" t="e">
        <f t="shared" si="0"/>
        <v>#N/A</v>
      </c>
      <c r="T13" s="1569" t="s">
        <v>8</v>
      </c>
      <c r="U13" s="1570" t="e">
        <f t="shared" si="1"/>
        <v>#N/A</v>
      </c>
      <c r="V13" s="1569" t="s">
        <v>8</v>
      </c>
      <c r="W13" s="1570" t="e">
        <f t="shared" si="2"/>
        <v>#N/A</v>
      </c>
      <c r="X13" s="1571"/>
      <c r="Y13" s="335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3"/>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3"/>
      <c r="Q15" s="1151">
        <f t="shared" si="6"/>
        <v>111</v>
      </c>
      <c r="R15" s="1569" t="s">
        <v>8</v>
      </c>
      <c r="S15" s="1570">
        <f t="shared" si="0"/>
        <v>100</v>
      </c>
      <c r="T15" s="1569" t="s">
        <v>8</v>
      </c>
      <c r="U15" s="1570">
        <f t="shared" si="1"/>
        <v>100</v>
      </c>
      <c r="V15" s="1569" t="s">
        <v>8</v>
      </c>
      <c r="W15" s="1570">
        <f t="shared" si="2"/>
        <v>100</v>
      </c>
      <c r="X15" s="1571"/>
      <c r="Y15" s="335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3"/>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7" t="s">
        <v>540</v>
      </c>
      <c r="Q17" s="1573" t="str">
        <f t="shared" si="6"/>
        <v>产业集聚程度</v>
      </c>
      <c r="R17" s="1574" t="s">
        <v>8</v>
      </c>
      <c r="S17" s="1575">
        <f t="shared" si="0"/>
        <v>100</v>
      </c>
      <c r="T17" s="1574" t="s">
        <v>8</v>
      </c>
      <c r="U17" s="1575">
        <f t="shared" si="1"/>
        <v>100</v>
      </c>
      <c r="V17" s="1574" t="s">
        <v>8</v>
      </c>
      <c r="W17" s="1575">
        <f t="shared" si="2"/>
        <v>100</v>
      </c>
      <c r="X17" s="1568"/>
      <c r="Y17" s="344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48"/>
      <c r="Q18" s="1573"/>
      <c r="R18" s="1574"/>
      <c r="S18" s="1575"/>
      <c r="T18" s="1574"/>
      <c r="U18" s="1575"/>
      <c r="V18" s="1574"/>
      <c r="W18" s="1575"/>
      <c r="X18" s="1568"/>
      <c r="Y18" s="344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8"/>
      <c r="Q19" s="1573" t="str">
        <f>B19</f>
        <v>交通便捷度</v>
      </c>
      <c r="R19" s="1574" t="s">
        <v>8</v>
      </c>
      <c r="S19" s="1575">
        <f>F19</f>
        <v>100</v>
      </c>
      <c r="T19" s="1574" t="s">
        <v>8</v>
      </c>
      <c r="U19" s="1575">
        <f>H19</f>
        <v>100</v>
      </c>
      <c r="V19" s="1574" t="s">
        <v>8</v>
      </c>
      <c r="W19" s="1575">
        <f>J19</f>
        <v>100</v>
      </c>
      <c r="X19" s="1568"/>
      <c r="Y19" s="344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48"/>
      <c r="Q20" s="1573"/>
      <c r="R20" s="1574"/>
      <c r="S20" s="1575"/>
      <c r="T20" s="1574"/>
      <c r="U20" s="1575"/>
      <c r="V20" s="1574"/>
      <c r="W20" s="1575"/>
      <c r="X20" s="1568"/>
      <c r="Y20" s="344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48"/>
      <c r="Q21" s="1573" t="str">
        <f t="shared" ref="Q21:Q35" si="8">B21</f>
        <v>区域土地利用方向</v>
      </c>
      <c r="R21" s="1574" t="s">
        <v>8</v>
      </c>
      <c r="S21" s="1575">
        <f>F21</f>
        <v>100</v>
      </c>
      <c r="T21" s="1574" t="s">
        <v>8</v>
      </c>
      <c r="U21" s="1575">
        <f>H21</f>
        <v>100</v>
      </c>
      <c r="V21" s="1574" t="s">
        <v>8</v>
      </c>
      <c r="W21" s="1575">
        <f>J21</f>
        <v>100</v>
      </c>
      <c r="X21" s="1568"/>
      <c r="Y21" s="344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48"/>
      <c r="Q22" s="1573"/>
      <c r="R22" s="1574"/>
      <c r="S22" s="1575"/>
      <c r="T22" s="1574"/>
      <c r="U22" s="1575"/>
      <c r="V22" s="1574"/>
      <c r="W22" s="1575"/>
      <c r="X22" s="1568"/>
      <c r="Y22" s="344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8"/>
      <c r="Q23" s="1573" t="str">
        <f t="shared" si="8"/>
        <v>环境状况</v>
      </c>
      <c r="R23" s="1574" t="s">
        <v>8</v>
      </c>
      <c r="S23" s="1575">
        <f>F23</f>
        <v>100</v>
      </c>
      <c r="T23" s="1574" t="s">
        <v>8</v>
      </c>
      <c r="U23" s="1575">
        <f>H23</f>
        <v>100</v>
      </c>
      <c r="V23" s="1574" t="s">
        <v>8</v>
      </c>
      <c r="W23" s="1575">
        <f>J23</f>
        <v>100</v>
      </c>
      <c r="X23" s="1568"/>
      <c r="Y23" s="344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48"/>
      <c r="Q24" s="1573"/>
      <c r="R24" s="1574"/>
      <c r="S24" s="1575"/>
      <c r="T24" s="1574"/>
      <c r="U24" s="1575"/>
      <c r="V24" s="1574"/>
      <c r="W24" s="1575"/>
      <c r="X24" s="1568"/>
      <c r="Y24" s="3448"/>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8"/>
      <c r="Q25" s="1151" t="str">
        <f t="shared" si="8"/>
        <v>公共配套设施</v>
      </c>
      <c r="R25" s="1569" t="s">
        <v>8</v>
      </c>
      <c r="S25" s="1570">
        <f>F25</f>
        <v>100</v>
      </c>
      <c r="T25" s="1569" t="s">
        <v>8</v>
      </c>
      <c r="U25" s="1570">
        <f>H25</f>
        <v>100</v>
      </c>
      <c r="V25" s="1569" t="s">
        <v>8</v>
      </c>
      <c r="W25" s="1570">
        <f>J25</f>
        <v>100</v>
      </c>
      <c r="X25" s="1571"/>
      <c r="Y25" s="3448"/>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48"/>
      <c r="Q26" s="1151"/>
      <c r="R26" s="1569"/>
      <c r="S26" s="1570"/>
      <c r="T26" s="1569"/>
      <c r="U26" s="1570"/>
      <c r="V26" s="1569"/>
      <c r="W26" s="1570"/>
      <c r="X26" s="1571"/>
      <c r="Y26" s="3448"/>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8"/>
      <c r="Q27" s="2558" t="str">
        <f t="shared" ref="Q27" si="9">B27</f>
        <v>基础设施水平</v>
      </c>
      <c r="R27" s="1569" t="s">
        <v>8</v>
      </c>
      <c r="S27" s="1570">
        <f>F27</f>
        <v>100</v>
      </c>
      <c r="T27" s="1569" t="s">
        <v>8</v>
      </c>
      <c r="U27" s="1570">
        <f>H27</f>
        <v>100</v>
      </c>
      <c r="V27" s="1569" t="s">
        <v>8</v>
      </c>
      <c r="W27" s="1570">
        <f>J27</f>
        <v>100</v>
      </c>
      <c r="X27" s="1571"/>
      <c r="Y27" s="3448"/>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48"/>
      <c r="Q28" s="2558"/>
      <c r="R28" s="1569"/>
      <c r="S28" s="1570"/>
      <c r="T28" s="1569"/>
      <c r="U28" s="1570"/>
      <c r="V28" s="1569"/>
      <c r="W28" s="1570"/>
      <c r="X28" s="1571"/>
      <c r="Y28" s="3448"/>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8"/>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8"/>
      <c r="Q30" s="1573" t="str">
        <f t="shared" si="8"/>
        <v>毗邻道路的类型与等级</v>
      </c>
      <c r="R30" s="1574" t="s">
        <v>8</v>
      </c>
      <c r="S30" s="1575">
        <f t="shared" si="10"/>
        <v>100</v>
      </c>
      <c r="T30" s="1574" t="s">
        <v>8</v>
      </c>
      <c r="U30" s="1575">
        <f t="shared" si="11"/>
        <v>100</v>
      </c>
      <c r="V30" s="1574" t="s">
        <v>8</v>
      </c>
      <c r="W30" s="1575">
        <f t="shared" si="12"/>
        <v>100</v>
      </c>
      <c r="X30" s="1568"/>
      <c r="Y30" s="344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48"/>
      <c r="Q31" s="1573"/>
      <c r="R31" s="1574"/>
      <c r="S31" s="1575"/>
      <c r="T31" s="1574"/>
      <c r="U31" s="1575"/>
      <c r="V31" s="1574"/>
      <c r="W31" s="1575"/>
      <c r="X31" s="1568"/>
      <c r="Y31" s="3448"/>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8"/>
      <c r="Q32" s="1573" t="str">
        <f t="shared" si="8"/>
        <v>土地级别</v>
      </c>
      <c r="R32" s="1574" t="s">
        <v>8</v>
      </c>
      <c r="S32" s="1575">
        <f t="shared" si="10"/>
        <v>100</v>
      </c>
      <c r="T32" s="1574" t="s">
        <v>8</v>
      </c>
      <c r="U32" s="1575">
        <f t="shared" si="11"/>
        <v>100</v>
      </c>
      <c r="V32" s="1574" t="s">
        <v>8</v>
      </c>
      <c r="W32" s="1575">
        <f t="shared" si="12"/>
        <v>100</v>
      </c>
      <c r="X32" s="1568"/>
      <c r="Y32" s="344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8"/>
      <c r="Q33" s="1573">
        <f t="shared" si="8"/>
        <v>111</v>
      </c>
      <c r="R33" s="1574" t="s">
        <v>8</v>
      </c>
      <c r="S33" s="1575">
        <f t="shared" si="10"/>
        <v>100</v>
      </c>
      <c r="T33" s="1574" t="s">
        <v>8</v>
      </c>
      <c r="U33" s="1575">
        <f t="shared" si="11"/>
        <v>100</v>
      </c>
      <c r="V33" s="1574" t="s">
        <v>8</v>
      </c>
      <c r="W33" s="1575">
        <f t="shared" si="12"/>
        <v>100</v>
      </c>
      <c r="X33" s="1568"/>
      <c r="Y33" s="344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9" t="s">
        <v>550</v>
      </c>
      <c r="Q34" s="1573">
        <f t="shared" si="8"/>
        <v>111</v>
      </c>
      <c r="R34" s="1574" t="s">
        <v>8</v>
      </c>
      <c r="S34" s="1575">
        <f t="shared" si="10"/>
        <v>100</v>
      </c>
      <c r="T34" s="1574" t="s">
        <v>8</v>
      </c>
      <c r="U34" s="1575">
        <f t="shared" si="11"/>
        <v>100</v>
      </c>
      <c r="V34" s="1574" t="s">
        <v>8</v>
      </c>
      <c r="W34" s="1575">
        <f t="shared" si="12"/>
        <v>100</v>
      </c>
      <c r="X34" s="1568"/>
      <c r="Y34" s="3450"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50"/>
      <c r="Q35" s="1573">
        <f t="shared" si="8"/>
        <v>111</v>
      </c>
      <c r="R35" s="1578" t="s">
        <v>8</v>
      </c>
      <c r="S35" s="1579">
        <f t="shared" si="10"/>
        <v>100</v>
      </c>
      <c r="T35" s="1578" t="s">
        <v>8</v>
      </c>
      <c r="U35" s="1579">
        <f t="shared" si="11"/>
        <v>100</v>
      </c>
      <c r="V35" s="1578" t="s">
        <v>8</v>
      </c>
      <c r="W35" s="1579">
        <f t="shared" si="12"/>
        <v>100</v>
      </c>
      <c r="X35" s="1580"/>
      <c r="Y35" s="3450"/>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50"/>
      <c r="Q36" s="1573" t="str">
        <f>B36</f>
        <v>宗地面积</v>
      </c>
      <c r="R36" s="1574" t="s">
        <v>8</v>
      </c>
      <c r="S36" s="1575" t="e">
        <f t="shared" si="10"/>
        <v>#N/A</v>
      </c>
      <c r="T36" s="1574" t="s">
        <v>8</v>
      </c>
      <c r="U36" s="1575" t="e">
        <f t="shared" si="11"/>
        <v>#N/A</v>
      </c>
      <c r="V36" s="1574" t="s">
        <v>8</v>
      </c>
      <c r="W36" s="1575" t="e">
        <f t="shared" si="12"/>
        <v>#N/A</v>
      </c>
      <c r="X36" s="1568"/>
      <c r="Y36" s="345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50"/>
      <c r="Q37" s="1573" t="str">
        <f t="shared" ref="Q37:Q42" si="14">B37</f>
        <v>宗地形状</v>
      </c>
      <c r="R37" s="1574" t="s">
        <v>8</v>
      </c>
      <c r="S37" s="1575">
        <f t="shared" si="10"/>
        <v>100</v>
      </c>
      <c r="T37" s="1574" t="s">
        <v>8</v>
      </c>
      <c r="U37" s="1575">
        <f t="shared" si="11"/>
        <v>100</v>
      </c>
      <c r="V37" s="1574" t="s">
        <v>8</v>
      </c>
      <c r="W37" s="1575">
        <f t="shared" si="12"/>
        <v>100</v>
      </c>
      <c r="X37" s="1568"/>
      <c r="Y37" s="3450"/>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50"/>
      <c r="Q38" s="1573" t="str">
        <f t="shared" si="14"/>
        <v>宗地开发程度</v>
      </c>
      <c r="R38" s="1569" t="s">
        <v>8</v>
      </c>
      <c r="S38" s="1570">
        <f t="shared" si="10"/>
        <v>100</v>
      </c>
      <c r="T38" s="1569" t="s">
        <v>8</v>
      </c>
      <c r="U38" s="1570">
        <f t="shared" si="11"/>
        <v>100</v>
      </c>
      <c r="V38" s="1569" t="s">
        <v>8</v>
      </c>
      <c r="W38" s="1570">
        <f t="shared" si="12"/>
        <v>100</v>
      </c>
      <c r="X38" s="1571"/>
      <c r="Y38" s="345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50" t="s">
        <v>601</v>
      </c>
      <c r="Q39" s="1573" t="str">
        <f t="shared" si="14"/>
        <v>工程地质条件</v>
      </c>
      <c r="R39" s="1574" t="s">
        <v>8</v>
      </c>
      <c r="S39" s="1575">
        <f t="shared" si="10"/>
        <v>100</v>
      </c>
      <c r="T39" s="1574" t="s">
        <v>8</v>
      </c>
      <c r="U39" s="1575">
        <f t="shared" si="11"/>
        <v>100</v>
      </c>
      <c r="V39" s="1574" t="s">
        <v>8</v>
      </c>
      <c r="W39" s="1575">
        <f t="shared" si="12"/>
        <v>100</v>
      </c>
      <c r="X39" s="1568"/>
      <c r="Y39" s="345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50"/>
      <c r="Q40" s="1573">
        <f t="shared" si="14"/>
        <v>111</v>
      </c>
      <c r="R40" s="1574" t="s">
        <v>8</v>
      </c>
      <c r="S40" s="1575">
        <f t="shared" si="10"/>
        <v>100</v>
      </c>
      <c r="T40" s="1574" t="s">
        <v>8</v>
      </c>
      <c r="U40" s="1575">
        <f t="shared" si="11"/>
        <v>100</v>
      </c>
      <c r="V40" s="1574" t="s">
        <v>8</v>
      </c>
      <c r="W40" s="1575">
        <f t="shared" si="12"/>
        <v>100</v>
      </c>
      <c r="X40" s="1568"/>
      <c r="Y40" s="345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50"/>
      <c r="Q41" s="1573">
        <f t="shared" si="14"/>
        <v>111</v>
      </c>
      <c r="R41" s="1574" t="s">
        <v>8</v>
      </c>
      <c r="S41" s="1575">
        <f t="shared" si="10"/>
        <v>100</v>
      </c>
      <c r="T41" s="1574" t="s">
        <v>8</v>
      </c>
      <c r="U41" s="1575">
        <f t="shared" si="11"/>
        <v>100</v>
      </c>
      <c r="V41" s="1574" t="s">
        <v>8</v>
      </c>
      <c r="W41" s="1575">
        <f t="shared" si="12"/>
        <v>100</v>
      </c>
      <c r="X41" s="1568"/>
      <c r="Y41" s="345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50"/>
      <c r="Q42" s="1573">
        <f t="shared" si="14"/>
        <v>111</v>
      </c>
      <c r="R42" s="1578" t="s">
        <v>8</v>
      </c>
      <c r="S42" s="1579">
        <f t="shared" si="10"/>
        <v>100</v>
      </c>
      <c r="T42" s="1578" t="s">
        <v>8</v>
      </c>
      <c r="U42" s="1579">
        <f t="shared" si="11"/>
        <v>100</v>
      </c>
      <c r="V42" s="1578" t="s">
        <v>8</v>
      </c>
      <c r="W42" s="1579">
        <f t="shared" si="12"/>
        <v>100</v>
      </c>
      <c r="X42" s="1580"/>
      <c r="Y42" s="3450"/>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413" t="str">
        <f>A43</f>
        <v>成交单价</v>
      </c>
      <c r="Q43" s="3413"/>
      <c r="R43" s="3414">
        <f>E43</f>
        <v>0</v>
      </c>
      <c r="S43" s="3414"/>
      <c r="T43" s="3414">
        <f>G43</f>
        <v>0</v>
      </c>
      <c r="U43" s="3414"/>
      <c r="V43" s="3414">
        <f>I43</f>
        <v>0</v>
      </c>
      <c r="W43" s="3414"/>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413" t="str">
        <f>A44</f>
        <v>比较价格（元/平方米）</v>
      </c>
      <c r="Q44" s="3413"/>
      <c r="R44" s="3415" t="e">
        <f>ROUND(PRODUCT(R43,AA9:AA42),0)</f>
        <v>#DIV/0!</v>
      </c>
      <c r="S44" s="3415"/>
      <c r="T44" s="3415" t="e">
        <f>ROUND(PRODUCT(T43,AB9:AB42),0)</f>
        <v>#DIV/0!</v>
      </c>
      <c r="U44" s="3415"/>
      <c r="V44" s="3415" t="e">
        <f>ROUND(PRODUCT(V43,AC9:AC42),0)</f>
        <v>#DIV/0!</v>
      </c>
      <c r="W44" s="3415"/>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410" t="str">
        <f>A45</f>
        <v>估价对象XX用房的比较价格（楼面单价，元/平方米）</v>
      </c>
      <c r="Q45" s="3411"/>
      <c r="R45" s="3412" t="e">
        <f>ROUND(AVERAGE(R44:V44),0)</f>
        <v>#DIV/0!</v>
      </c>
      <c r="S45" s="3412"/>
      <c r="T45" s="3412"/>
      <c r="U45" s="3412"/>
      <c r="V45" s="3412"/>
      <c r="W45" s="341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57" t="s">
        <v>2285</v>
      </c>
      <c r="H52" s="3458"/>
      <c r="I52" s="1953" t="s">
        <v>1946</v>
      </c>
      <c r="J52" s="1556" t="str">
        <f>项目基本情况!F41</f>
        <v>北京市怀柔区河防口村南</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73383.899999999994</v>
      </c>
      <c r="F53" s="1951" t="e">
        <f t="shared" ref="F53:F62" si="15">ROUND(B53*E53/10000,0)</f>
        <v>#DIV/0!</v>
      </c>
      <c r="G53" s="3459"/>
      <c r="H53" s="3460"/>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61"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61"/>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61"/>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61"/>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585007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D29" sqref="D29"/>
    </sheetView>
  </sheetViews>
  <sheetFormatPr defaultRowHeight="13.5"/>
  <cols>
    <col min="1" max="1" width="9" style="3230"/>
    <col min="2" max="2" width="23.5" style="3230" customWidth="1"/>
    <col min="3" max="3" width="22.375" style="3230" customWidth="1"/>
    <col min="4" max="4" width="21.125" style="3230" customWidth="1"/>
    <col min="5" max="16384" width="9" style="3230"/>
  </cols>
  <sheetData>
    <row r="1" spans="1:6" ht="14.25">
      <c r="A1" s="3462" t="s">
        <v>2376</v>
      </c>
      <c r="B1" s="3462" t="s">
        <v>2377</v>
      </c>
      <c r="C1" s="3238" t="s">
        <v>3209</v>
      </c>
      <c r="D1" s="3462" t="s">
        <v>3210</v>
      </c>
    </row>
    <row r="2" spans="1:6" ht="15" thickBot="1">
      <c r="A2" s="3463"/>
      <c r="B2" s="3463"/>
      <c r="C2" s="3239" t="s">
        <v>3211</v>
      </c>
      <c r="D2" s="3463"/>
    </row>
    <row r="3" spans="1:6" ht="43.5" thickBot="1">
      <c r="A3" s="3240">
        <v>1</v>
      </c>
      <c r="B3" s="3241" t="s">
        <v>3212</v>
      </c>
      <c r="C3" s="3242">
        <f ca="1">结果表!G19</f>
        <v>188123</v>
      </c>
      <c r="D3" s="3241" t="s">
        <v>3213</v>
      </c>
      <c r="E3" s="3230">
        <f ca="1">C3*10000/[2]基准地价!D29</f>
        <v>14496.367528068928</v>
      </c>
    </row>
    <row r="4" spans="1:6" ht="15.75" thickBot="1">
      <c r="A4" s="3240">
        <v>2</v>
      </c>
      <c r="B4" s="3241" t="s">
        <v>3214</v>
      </c>
      <c r="C4" s="3242">
        <f>ROUND([3]有证房屋!$B$30/10000+[3]无证房屋!$B$30/10000,4)</f>
        <v>7738.1819999999998</v>
      </c>
      <c r="D4" s="3241" t="s">
        <v>3215</v>
      </c>
    </row>
    <row r="5" spans="1:6" ht="15.75" thickBot="1">
      <c r="A5" s="3240">
        <v>3</v>
      </c>
      <c r="B5" s="3241" t="s">
        <v>3222</v>
      </c>
      <c r="C5" s="3242">
        <f>ROUND([4]Sheet1!$F$29/10000,4)</f>
        <v>4649.5616</v>
      </c>
      <c r="D5" s="3241" t="s">
        <v>3215</v>
      </c>
    </row>
    <row r="6" spans="1:6" ht="15.75" thickBot="1">
      <c r="A6" s="3240">
        <v>4</v>
      </c>
      <c r="B6" s="3241" t="s">
        <v>3216</v>
      </c>
      <c r="C6" s="3242">
        <f>ROUND([5]测算表!$G$111/10000,4)</f>
        <v>907.80420000000004</v>
      </c>
      <c r="D6" s="3241"/>
    </row>
    <row r="7" spans="1:6" ht="29.25" thickBot="1">
      <c r="A7" s="3240">
        <v>5</v>
      </c>
      <c r="B7" s="3241" t="s">
        <v>3217</v>
      </c>
      <c r="C7" s="3242">
        <v>4638.7487000000001</v>
      </c>
      <c r="D7" s="3241" t="s">
        <v>3215</v>
      </c>
      <c r="F7" s="3230">
        <v>4333.5870999999997</v>
      </c>
    </row>
    <row r="8" spans="1:6" ht="15.75" thickBot="1">
      <c r="A8" s="3240">
        <v>6</v>
      </c>
      <c r="B8" s="3241" t="s">
        <v>3218</v>
      </c>
      <c r="C8" s="3242">
        <f>停产停业损失补偿!G9</f>
        <v>767.84</v>
      </c>
      <c r="D8" s="3241" t="s">
        <v>3219</v>
      </c>
    </row>
    <row r="9" spans="1:6" ht="15.75" thickBot="1">
      <c r="A9" s="3240">
        <v>7</v>
      </c>
      <c r="B9" s="3241" t="s">
        <v>3220</v>
      </c>
      <c r="C9" s="3242">
        <f>搬迁费!D5</f>
        <v>342.55</v>
      </c>
      <c r="D9" s="3241" t="s">
        <v>3219</v>
      </c>
    </row>
    <row r="10" spans="1:6" ht="15.75" thickBot="1">
      <c r="A10" s="3240">
        <v>8</v>
      </c>
      <c r="B10" s="3241" t="s">
        <v>3221</v>
      </c>
      <c r="C10" s="3242">
        <f ca="1">SUM(C3:C9)</f>
        <v>207167.68649999998</v>
      </c>
      <c r="D10" s="3242">
        <f>1+2+3+4+5+6</f>
        <v>21</v>
      </c>
      <c r="E10" s="3230">
        <f ca="1">C10*10000/[2]基准地价!D29</f>
        <v>15963.911501750254</v>
      </c>
    </row>
  </sheetData>
  <mergeCells count="3">
    <mergeCell ref="A1:A2"/>
    <mergeCell ref="B1:B2"/>
    <mergeCell ref="D1:D2"/>
  </mergeCells>
  <phoneticPr fontId="229"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 sqref="B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585007</v>
      </c>
      <c r="E1" s="1407" t="s">
        <v>2428</v>
      </c>
      <c r="F1" s="2432">
        <f>D1</f>
        <v>585007</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f ca="1">C26-ROUND(C30*D29/10000,0)</f>
        <v>24336</v>
      </c>
      <c r="C2" s="1408" t="s">
        <v>921</v>
      </c>
      <c r="D2" s="1409" t="s">
        <v>922</v>
      </c>
      <c r="E2" s="1410" t="s">
        <v>982</v>
      </c>
      <c r="F2" s="1409" t="s">
        <v>924</v>
      </c>
      <c r="G2" s="1653" t="str">
        <f>IF(E2="商业",项目基本情况!B43,IF(E2="办公",项目基本情况!C43,IF(E2="住宅",项目基本情况!D43,项目基本情况!E43)))</f>
        <v>十二级</v>
      </c>
      <c r="H2" s="1409" t="s">
        <v>926</v>
      </c>
      <c r="I2" s="1654" t="str">
        <f>IF(E2="商业",项目基本情况!B44,IF(E2="办公",项目基本情况!C44,IF(E2="住宅",项目基本情况!D44,项目基本情况!E44)))</f>
        <v>Ⅻ-怀1</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1.9419999999999999</v>
      </c>
      <c r="T2" s="2916">
        <f ca="1">ROUND($C$5*$C$18*$C$19*$C$20*S2*$C$24,0)</f>
        <v>949</v>
      </c>
      <c r="U2" s="2905"/>
      <c r="V2" s="2916">
        <f ca="1">ROUND(T2*U2/10000,0)</f>
        <v>0</v>
      </c>
      <c r="W2" s="2190"/>
      <c r="X2" s="2190"/>
      <c r="Y2" s="2190"/>
      <c r="Z2" s="2190"/>
      <c r="AA2" s="2190"/>
      <c r="AB2" s="2190"/>
      <c r="AC2" s="2191"/>
    </row>
    <row r="3" spans="1:39" ht="15.75">
      <c r="A3" s="1412" t="s">
        <v>1688</v>
      </c>
      <c r="B3" s="1038">
        <f ca="1">ROUND(B2*10000/D1,0)</f>
        <v>416</v>
      </c>
      <c r="C3" s="1408" t="s">
        <v>927</v>
      </c>
      <c r="D3" s="1409" t="s">
        <v>928</v>
      </c>
      <c r="E3" s="1413" t="s">
        <v>3180</v>
      </c>
      <c r="F3" s="1414" t="s">
        <v>3225</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1.2799</v>
      </c>
      <c r="T3" s="2916">
        <f t="shared" ref="T3:T16" ca="1" si="0">ROUND($C$5*$C$18*$C$19*$C$20*S3*$C$24,0)</f>
        <v>625</v>
      </c>
      <c r="U3" s="2905"/>
      <c r="V3" s="2916">
        <f t="shared" ref="V3:V16" ca="1" si="1">ROUND(T3*U3/10000,0)</f>
        <v>0</v>
      </c>
      <c r="W3" s="2190"/>
      <c r="X3" s="2190"/>
      <c r="Y3" s="2190"/>
      <c r="Z3" s="2190"/>
      <c r="AA3" s="2190"/>
      <c r="AB3" s="2190"/>
      <c r="AC3" s="2191"/>
    </row>
    <row r="4" spans="1:39" ht="28.5">
      <c r="A4" s="1892" t="s">
        <v>2281</v>
      </c>
      <c r="B4" s="2433">
        <f ca="1">ROUND(B2*10000/F1,0)</f>
        <v>416</v>
      </c>
      <c r="C4" s="1895" t="s">
        <v>2255</v>
      </c>
      <c r="D4" s="1895">
        <f ca="1">ROUND(B2/(F1/666.67),0)</f>
        <v>28</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1.0072000000000001</v>
      </c>
      <c r="T4" s="2916">
        <f t="shared" ca="1" si="0"/>
        <v>492</v>
      </c>
      <c r="U4" s="2905"/>
      <c r="V4" s="2916">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370</v>
      </c>
      <c r="D5" s="3097">
        <f>ROUND(IF(F16="增加",C6+C16,C6-C16),0)</f>
        <v>370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0.75249999999999995</v>
      </c>
      <c r="T5" s="2916">
        <f t="shared" ca="1" si="0"/>
        <v>368</v>
      </c>
      <c r="U5" s="2905"/>
      <c r="V5" s="2916">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370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0.56589999999999996</v>
      </c>
      <c r="T6" s="2916">
        <f t="shared" ca="1" si="0"/>
        <v>277</v>
      </c>
      <c r="U6" s="2905"/>
      <c r="V6" s="2916">
        <f t="shared" ca="1" si="1"/>
        <v>0</v>
      </c>
      <c r="W6" s="2190"/>
      <c r="X6" s="2190"/>
      <c r="Y6" s="2190"/>
      <c r="Z6" s="2190"/>
      <c r="AA6" s="2190"/>
      <c r="AB6" s="2190"/>
      <c r="AC6" s="2192"/>
      <c r="AD6" s="1420"/>
      <c r="AE6" s="1420"/>
      <c r="AF6" s="1420"/>
      <c r="AG6" s="1420"/>
      <c r="AH6" s="1420"/>
      <c r="AI6" s="1420"/>
      <c r="AJ6" s="1421"/>
    </row>
    <row r="7" spans="1:39" ht="24">
      <c r="A7" s="3473"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0.45250000000000001</v>
      </c>
      <c r="T7" s="2916">
        <f t="shared" ca="1" si="0"/>
        <v>221</v>
      </c>
      <c r="U7" s="2905"/>
      <c r="V7" s="2916">
        <f t="shared" ca="1" si="1"/>
        <v>0</v>
      </c>
      <c r="W7" s="2914" t="s">
        <v>2765</v>
      </c>
      <c r="X7" s="2906" t="str">
        <f>G2</f>
        <v>十二级</v>
      </c>
      <c r="Y7" s="2906" t="s">
        <v>2766</v>
      </c>
      <c r="Z7" s="2907">
        <f>G3</f>
        <v>1</v>
      </c>
      <c r="AA7" s="2193"/>
      <c r="AB7" s="2193"/>
      <c r="AC7" s="2194"/>
      <c r="AD7" s="2908"/>
      <c r="AE7" s="2908"/>
      <c r="AF7" s="2908"/>
      <c r="AG7" s="2908"/>
      <c r="AH7" s="2908"/>
      <c r="AI7" s="2908"/>
      <c r="AJ7" s="2909"/>
    </row>
    <row r="8" spans="1:39" ht="15">
      <c r="A8" s="3474"/>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f t="shared" ca="1" si="0"/>
        <v>0</v>
      </c>
      <c r="U8" s="2905"/>
      <c r="V8" s="2916">
        <f t="shared" ca="1" si="1"/>
        <v>0</v>
      </c>
      <c r="W8" s="3465" t="s">
        <v>2783</v>
      </c>
      <c r="X8" s="346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74"/>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f t="shared" ca="1" si="0"/>
        <v>0</v>
      </c>
      <c r="U9" s="2905"/>
      <c r="V9" s="2916">
        <f t="shared" ca="1" si="1"/>
        <v>0</v>
      </c>
      <c r="W9" s="3464"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74"/>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f t="shared" ca="1" si="0"/>
        <v>0</v>
      </c>
      <c r="U10" s="2905"/>
      <c r="V10" s="2916">
        <f t="shared" ca="1" si="1"/>
        <v>0</v>
      </c>
      <c r="W10" s="3464"/>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74"/>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f t="shared" ca="1" si="0"/>
        <v>0</v>
      </c>
      <c r="U11" s="2905"/>
      <c r="V11" s="2916">
        <f t="shared" ca="1" si="1"/>
        <v>0</v>
      </c>
      <c r="W11" s="3464" t="s">
        <v>2781</v>
      </c>
      <c r="X11" s="1048" t="s">
        <v>2766</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73"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370</v>
      </c>
      <c r="N12" s="1891">
        <f>SUMPRODUCT((因素修正幅度!B338:B344=I2)*(因素修正幅度!C3:F3=E2)*(因素修正幅度!C338:F344))</f>
        <v>0.15</v>
      </c>
      <c r="O12" s="2190"/>
      <c r="P12" s="2190"/>
      <c r="Q12" s="2190"/>
      <c r="R12" s="2916">
        <v>11</v>
      </c>
      <c r="S12" s="2905"/>
      <c r="T12" s="2916">
        <f t="shared" ca="1" si="0"/>
        <v>0</v>
      </c>
      <c r="U12" s="2905"/>
      <c r="V12" s="2916">
        <f t="shared" ca="1" si="1"/>
        <v>0</v>
      </c>
      <c r="W12" s="3464"/>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7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f t="shared" ca="1" si="0"/>
        <v>0</v>
      </c>
      <c r="U13" s="2905"/>
      <c r="V13" s="2916">
        <f t="shared" ca="1" si="1"/>
        <v>0</v>
      </c>
      <c r="W13" s="3464"/>
      <c r="X13" s="2913"/>
      <c r="Y13" s="2912">
        <f>(-0.163*(Y12^2)-0.59*Y12+7617)*(10^(-4))/Y11</f>
        <v>0.76170000000000004</v>
      </c>
      <c r="Z13" s="2912">
        <f t="shared" ref="Z13:AJ13" si="5">(-0.163*(Z12^2)-0.59*Z12+7617)*(10^(-4))/Z11</f>
        <v>0.76170000000000004</v>
      </c>
      <c r="AA13" s="2912">
        <f t="shared" si="5"/>
        <v>0.76170000000000004</v>
      </c>
      <c r="AB13" s="2912">
        <f t="shared" si="5"/>
        <v>0.76170000000000004</v>
      </c>
      <c r="AC13" s="2912">
        <f t="shared" si="5"/>
        <v>0.76170000000000004</v>
      </c>
      <c r="AD13" s="2912">
        <f t="shared" si="5"/>
        <v>0.76170000000000004</v>
      </c>
      <c r="AE13" s="2912">
        <f t="shared" si="5"/>
        <v>0.76170000000000004</v>
      </c>
      <c r="AF13" s="2912">
        <f t="shared" si="5"/>
        <v>0.76170000000000004</v>
      </c>
      <c r="AG13" s="2912">
        <f t="shared" si="5"/>
        <v>0.76170000000000004</v>
      </c>
      <c r="AH13" s="2912">
        <f t="shared" si="5"/>
        <v>0.76170000000000004</v>
      </c>
      <c r="AI13" s="2912">
        <f t="shared" si="5"/>
        <v>0.76170000000000004</v>
      </c>
      <c r="AJ13" s="2912">
        <f t="shared" si="5"/>
        <v>0.76170000000000004</v>
      </c>
    </row>
    <row r="14" spans="1:39" ht="12.75" customHeight="1" thickBot="1">
      <c r="A14" s="3475"/>
      <c r="B14" s="1452"/>
      <c r="C14" s="1453"/>
      <c r="D14" s="1454"/>
      <c r="E14" s="1454"/>
      <c r="F14" s="1455"/>
      <c r="G14" s="1456" t="s">
        <v>949</v>
      </c>
      <c r="H14" s="1457"/>
      <c r="I14" s="1458"/>
      <c r="J14" s="1459"/>
      <c r="K14" s="1402"/>
      <c r="L14" s="2190"/>
      <c r="M14" s="2190"/>
      <c r="N14" s="2190"/>
      <c r="O14" s="2190"/>
      <c r="P14" s="2190"/>
      <c r="Q14" s="2190"/>
      <c r="R14" s="2916">
        <v>13</v>
      </c>
      <c r="S14" s="2905"/>
      <c r="T14" s="2916">
        <f t="shared" ca="1" si="0"/>
        <v>0</v>
      </c>
      <c r="U14" s="2905"/>
      <c r="V14" s="2916">
        <f t="shared" ca="1" si="1"/>
        <v>0</v>
      </c>
      <c r="W14" s="2190"/>
      <c r="X14" s="2190"/>
      <c r="Y14" s="2190"/>
      <c r="Z14" s="2190"/>
      <c r="AA14" s="2190"/>
      <c r="AB14" s="2190"/>
      <c r="AC14" s="2191"/>
    </row>
    <row r="15" spans="1:39" ht="13.5" customHeight="1" thickBot="1">
      <c r="A15" s="347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f t="shared" ca="1" si="0"/>
        <v>0</v>
      </c>
      <c r="U15" s="2905"/>
      <c r="V15" s="2916">
        <f t="shared" ca="1" si="1"/>
        <v>0</v>
      </c>
      <c r="W15" s="2190"/>
      <c r="X15" s="2190"/>
      <c r="Y15" s="2190"/>
      <c r="Z15" s="2190"/>
      <c r="AA15" s="2190"/>
      <c r="AB15" s="2190"/>
      <c r="AC15" s="2191"/>
    </row>
    <row r="16" spans="1:39" ht="24">
      <c r="A16" s="3473" t="s">
        <v>1839</v>
      </c>
      <c r="B16" s="1428" t="s">
        <v>950</v>
      </c>
      <c r="C16" s="1054">
        <f>ROUND(SUM(G17:J17)/C17,0)</f>
        <v>0</v>
      </c>
      <c r="D16" s="1461" t="s">
        <v>951</v>
      </c>
      <c r="E16" s="1462" t="s">
        <v>3183</v>
      </c>
      <c r="F16" s="1463" t="s">
        <v>3169</v>
      </c>
      <c r="G16" s="1464"/>
      <c r="H16" s="1464"/>
      <c r="I16" s="1464"/>
      <c r="J16" s="1464"/>
      <c r="K16" s="1402"/>
      <c r="L16" s="1465" t="s">
        <v>988</v>
      </c>
      <c r="M16" s="1047">
        <v>0.25</v>
      </c>
      <c r="N16" s="1047">
        <v>0.2</v>
      </c>
      <c r="O16" s="1047">
        <v>0.15</v>
      </c>
      <c r="P16" s="1540">
        <v>0.1</v>
      </c>
      <c r="Q16" s="2193"/>
      <c r="R16" s="2916">
        <v>15</v>
      </c>
      <c r="S16" s="2905"/>
      <c r="T16" s="2916">
        <f t="shared" ca="1" si="0"/>
        <v>0</v>
      </c>
      <c r="U16" s="2905"/>
      <c r="V16" s="2916">
        <f t="shared" ca="1" si="1"/>
        <v>0</v>
      </c>
      <c r="W16" s="2193"/>
      <c r="X16" s="2193"/>
      <c r="Y16" s="2193"/>
      <c r="Z16" s="2193"/>
      <c r="AA16" s="2193"/>
      <c r="AB16" s="2193"/>
      <c r="AC16" s="2194"/>
    </row>
    <row r="17" spans="1:40" ht="13.5" thickBot="1">
      <c r="A17" s="3474"/>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1</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1.3255999999999999</v>
      </c>
      <c r="D19" s="1475" t="s">
        <v>958</v>
      </c>
      <c r="E19" s="1058">
        <v>41640</v>
      </c>
      <c r="F19" s="1475" t="s">
        <v>959</v>
      </c>
      <c r="G19" s="1059">
        <f>'数据-取费表'!B2</f>
        <v>43555</v>
      </c>
      <c r="H19" s="1476" t="s">
        <v>3182</v>
      </c>
      <c r="I19" s="2763" t="str">
        <f>IF(H19="季度增幅（自定义）",SUMIF(N21:N24,E2,O21:O24),"")</f>
        <v/>
      </c>
      <c r="J19" s="1472"/>
      <c r="K19" s="1482"/>
      <c r="L19" s="3016" t="s">
        <v>2841</v>
      </c>
      <c r="M19" s="3017">
        <f>ROUND(SUMIF(地价!B2:F2,E2,地价!B25:F25),0)</f>
        <v>230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f ca="1">ROUND(POWER(1+G20,J20-I20)*(POWER(1+G20,I20)-1)/(POWER(1+G20,J20)-1),4)</f>
        <v>1</v>
      </c>
      <c r="D20" s="2760" t="s">
        <v>973</v>
      </c>
      <c r="E20" s="3072">
        <f ca="1">存贷款利率!I4/100</f>
        <v>4.3499999999999997E-2</v>
      </c>
      <c r="F20" s="2760" t="s">
        <v>974</v>
      </c>
      <c r="G20" s="2761">
        <f ca="1">SUMIF(M15:P15,E2,M17:P17)</f>
        <v>4.8000000000000001E-2</v>
      </c>
      <c r="H20" s="2760" t="s">
        <v>975</v>
      </c>
      <c r="I20" s="2750">
        <f>SUMIF('数据-取费表'!C6:C15,E2,'数据-取费表'!F6:F15)/COUNTIF('数据-取费表'!C6:C15,E2)</f>
        <v>50</v>
      </c>
      <c r="J20" s="2762">
        <f>IF(E2="住宅",70,IF(E2="商业",40,50))</f>
        <v>50</v>
      </c>
      <c r="K20" s="1482"/>
      <c r="L20" s="3018" t="s">
        <v>2842</v>
      </c>
      <c r="M20" s="3019">
        <f>ROUND(SUMPRODUCT((地价!A4:A25=YEAR(G19)&amp;"-"&amp;ROUNDUP(MONTH(G19)/3,0))*(地价!B2:F2=E2)*(地价!B4:F25)),0)</f>
        <v>305</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3223</v>
      </c>
      <c r="C21" s="1158">
        <f>IF(B21="容积率修正",IF(G3&lt;=10,D22,J22),C23)</f>
        <v>1</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0.99629999999999996</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f ca="1">E29+SUM(E33:E39)</f>
        <v>28607</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f ca="1">ROUND(C5*C18*C19*C20*C21*C24,0)</f>
        <v>489</v>
      </c>
      <c r="D29" s="1505">
        <f>'数据-汇总表'!D3</f>
        <v>585007</v>
      </c>
      <c r="E29" s="1850">
        <f ca="1">ROUND(C29*D29/10000,0)</f>
        <v>28607</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73</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79" t="s">
        <v>2962</v>
      </c>
      <c r="B33" s="1525" t="s">
        <v>1000</v>
      </c>
      <c r="C33" s="1063">
        <f ca="1">ROUND(D5*C19*C20*C24*F33,0)</f>
        <v>293</v>
      </c>
      <c r="D33" s="1538"/>
      <c r="E33" s="1048">
        <f ca="1">ROUND(C33*D33/10000,0)</f>
        <v>0</v>
      </c>
      <c r="F33" s="1048">
        <f>SUMIF(修正!A45:A56,G2,修正!B45:B56)</f>
        <v>0.6</v>
      </c>
      <c r="G33" s="1048">
        <f t="shared" ref="G33" ca="1" si="6">ROUND(IF(E2="工业",C33*$M$39,C33*$M$38),0)</f>
        <v>44</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80"/>
      <c r="B34" s="1446" t="s">
        <v>1001</v>
      </c>
      <c r="C34" s="1063">
        <f ca="1">ROUND(D5*C19*C20*C24*F34,0)</f>
        <v>147</v>
      </c>
      <c r="D34" s="1538"/>
      <c r="E34" s="1048">
        <f t="shared" ref="E34:E39" ca="1" si="7">ROUND(C34*D34/10000,0)</f>
        <v>0</v>
      </c>
      <c r="F34" s="1048">
        <f>SUMIF(修正!A45:A56,G2,修正!C45:C56)</f>
        <v>0.3</v>
      </c>
      <c r="G34" s="1048">
        <f ca="1">ROUND(IF(E2="工业",C34*$M$39,C34*$M$38),0)</f>
        <v>22</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80"/>
      <c r="B35" s="1446" t="s">
        <v>1002</v>
      </c>
      <c r="C35" s="1063">
        <f ca="1">ROUND(D5*C19*C20*C24*F35,0)</f>
        <v>98</v>
      </c>
      <c r="D35" s="1538"/>
      <c r="E35" s="1048">
        <f t="shared" ca="1" si="7"/>
        <v>0</v>
      </c>
      <c r="F35" s="1048">
        <f>SUMIF(修正!A45:A56,G2,修正!D45:D56)</f>
        <v>0.2</v>
      </c>
      <c r="G35" s="1048">
        <f ca="1">ROUND(IF(E2="工业",C35*$M$39,C35*$M$38),0)</f>
        <v>15</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81"/>
      <c r="B36" s="1446" t="s">
        <v>1003</v>
      </c>
      <c r="C36" s="1063">
        <f ca="1">ROUND(D5*C19*C20*C24*F36,0)</f>
        <v>98</v>
      </c>
      <c r="D36" s="1538"/>
      <c r="E36" s="1048">
        <f t="shared" ca="1" si="7"/>
        <v>0</v>
      </c>
      <c r="F36" s="1048">
        <f>SUMIF(修正!A45:A56,G2,修正!E45:E56)</f>
        <v>0.2</v>
      </c>
      <c r="G36" s="1048">
        <f ca="1">ROUND(IF(E2="工业",C36*$M$39,C36*$M$38),0)</f>
        <v>15</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98</v>
      </c>
      <c r="D37" s="1538"/>
      <c r="E37" s="1048">
        <f t="shared" ca="1" si="7"/>
        <v>0</v>
      </c>
      <c r="F37" s="1063">
        <f>SUMIF(修正!A45:A56,G2,修正!F45:F56)</f>
        <v>0.2</v>
      </c>
      <c r="G37" s="1048">
        <f ca="1">ROUND(IF(E2="工业",C37*$M$39,C37*$M$38),0)</f>
        <v>15</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2989</v>
      </c>
      <c r="C41" s="839">
        <f ca="1">ROUND(POWER(1+E41,H41-G41)*(POWER(1+E41,G41)-1)/(POWER(1+E41,H41)-1),4)</f>
        <v>0</v>
      </c>
      <c r="D41" s="378" t="s">
        <v>2987</v>
      </c>
      <c r="E41" s="3174">
        <f ca="1">G20</f>
        <v>4.8000000000000001E-2</v>
      </c>
      <c r="F41" s="378" t="s">
        <v>2988</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hidden="1">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hidden="1">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hidden="1">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hidden="1">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hidden="1">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hidden="1">
      <c r="A50" s="1067" t="s">
        <v>1024</v>
      </c>
      <c r="B50" s="3074" t="s">
        <v>2938</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hidden="1">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hidden="1">
      <c r="A52" s="1067" t="s">
        <v>1026</v>
      </c>
      <c r="B52" s="3073" t="s">
        <v>2937</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hidden="1">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hidden="1">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hidden="1"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hidden="1">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hidden="1">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hidden="1">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hidden="1">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hidden="1">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hidden="1">
      <c r="A61" s="1067" t="s">
        <v>1024</v>
      </c>
      <c r="B61" s="3074" t="s">
        <v>2939</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hidden="1">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hidden="1">
      <c r="A63" s="1067" t="s">
        <v>1026</v>
      </c>
      <c r="B63" s="3073" t="s">
        <v>2937</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hidden="1">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hidden="1">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hidden="1"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hidden="1">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hidden="1">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hidden="1">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hidden="1">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hidden="1">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hidden="1">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hidden="1">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hidden="1">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hidden="1">
      <c r="A75" s="1067" t="s">
        <v>1026</v>
      </c>
      <c r="B75" s="3073" t="s">
        <v>2937</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hidden="1">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hidden="1"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0.99629999999999996</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3228</v>
      </c>
      <c r="D80" s="2397">
        <f t="shared" ref="D80:D87" si="25">SUMIF($J$79:$N$79,C80,J80:N80)</f>
        <v>0</v>
      </c>
      <c r="E80" s="2416">
        <f>ROUND(SUM(D80:D87),4)</f>
        <v>-3.7000000000000002E-3</v>
      </c>
      <c r="F80" s="2417">
        <f>IF(E2="工业",SUMIF(L1:L12,G2,N1:N12),"——")</f>
        <v>0.15</v>
      </c>
      <c r="G80" s="2395">
        <f>H80</f>
        <v>1.95E-2</v>
      </c>
      <c r="H80" s="2441">
        <f t="shared" ref="H80:H87" si="26">IFERROR(ROUNDDOWN($F$80*I80/2,4),"——")</f>
        <v>1.95E-2</v>
      </c>
      <c r="I80" s="2415">
        <v>0.26</v>
      </c>
      <c r="J80" s="2418">
        <f t="shared" ref="J80:J87" si="27">K80+$G80</f>
        <v>3.9E-2</v>
      </c>
      <c r="K80" s="2418">
        <f t="shared" ref="K80:K87" si="28">$L80+$G80</f>
        <v>1.95E-2</v>
      </c>
      <c r="L80" s="2418">
        <v>0</v>
      </c>
      <c r="M80" s="2418">
        <f t="shared" ref="M80:N87" si="29">L80-$G80</f>
        <v>-1.95E-2</v>
      </c>
      <c r="N80" s="2418">
        <f t="shared" si="29"/>
        <v>-3.9E-2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3228</v>
      </c>
      <c r="D81" s="2397">
        <f t="shared" si="25"/>
        <v>0</v>
      </c>
      <c r="E81" s="2425"/>
      <c r="F81" s="2426"/>
      <c r="G81" s="2395">
        <f t="shared" ref="G81:G87" si="30">H81</f>
        <v>2.47E-2</v>
      </c>
      <c r="H81" s="2441">
        <f t="shared" si="26"/>
        <v>2.47E-2</v>
      </c>
      <c r="I81" s="2415">
        <v>0.33</v>
      </c>
      <c r="J81" s="2418">
        <f t="shared" si="27"/>
        <v>4.9399999999999999E-2</v>
      </c>
      <c r="K81" s="2418">
        <f t="shared" si="28"/>
        <v>2.47E-2</v>
      </c>
      <c r="L81" s="2418">
        <v>0</v>
      </c>
      <c r="M81" s="2418">
        <f t="shared" si="29"/>
        <v>-2.47E-2</v>
      </c>
      <c r="N81" s="2418">
        <f t="shared" si="29"/>
        <v>-4.9399999999999999E-2</v>
      </c>
      <c r="AC81" s="1406"/>
      <c r="AD81" s="1405"/>
      <c r="AJ81" s="1404"/>
      <c r="AN81" s="1405"/>
    </row>
    <row r="82" spans="1:40" ht="24">
      <c r="A82" s="1067" t="s">
        <v>1023</v>
      </c>
      <c r="B82" s="2388">
        <f>估价对象房地状况!G17</f>
        <v>0</v>
      </c>
      <c r="C82" s="1050" t="s">
        <v>3228</v>
      </c>
      <c r="D82" s="2397">
        <f t="shared" si="25"/>
        <v>0</v>
      </c>
      <c r="E82" s="2425"/>
      <c r="F82" s="2426"/>
      <c r="G82" s="2395">
        <f t="shared" si="30"/>
        <v>3.7000000000000002E-3</v>
      </c>
      <c r="H82" s="2441">
        <f t="shared" si="26"/>
        <v>3.7000000000000002E-3</v>
      </c>
      <c r="I82" s="2415">
        <v>0.05</v>
      </c>
      <c r="J82" s="2418">
        <f t="shared" si="27"/>
        <v>7.4000000000000003E-3</v>
      </c>
      <c r="K82" s="2418">
        <f t="shared" si="28"/>
        <v>3.7000000000000002E-3</v>
      </c>
      <c r="L82" s="2418">
        <v>0</v>
      </c>
      <c r="M82" s="2418">
        <f t="shared" si="29"/>
        <v>-3.7000000000000002E-3</v>
      </c>
      <c r="N82" s="2418">
        <f t="shared" si="29"/>
        <v>-7.4000000000000003E-3</v>
      </c>
      <c r="AC82" s="1406"/>
      <c r="AD82" s="1405"/>
      <c r="AJ82" s="1404"/>
      <c r="AN82" s="1405"/>
    </row>
    <row r="83" spans="1:40" ht="14.25">
      <c r="A83" s="1067" t="s">
        <v>1035</v>
      </c>
      <c r="B83" s="2388">
        <f>估价对象房地状况!G22</f>
        <v>0</v>
      </c>
      <c r="C83" s="1050" t="s">
        <v>3228</v>
      </c>
      <c r="D83" s="2397">
        <f t="shared" si="25"/>
        <v>0</v>
      </c>
      <c r="E83" s="2425"/>
      <c r="F83" s="2426"/>
      <c r="G83" s="2395">
        <f t="shared" si="30"/>
        <v>3.0000000000000001E-3</v>
      </c>
      <c r="H83" s="2441">
        <f t="shared" si="26"/>
        <v>3.0000000000000001E-3</v>
      </c>
      <c r="I83" s="2415">
        <v>0.04</v>
      </c>
      <c r="J83" s="2418">
        <f t="shared" si="27"/>
        <v>6.0000000000000001E-3</v>
      </c>
      <c r="K83" s="2418">
        <f t="shared" si="28"/>
        <v>3.0000000000000001E-3</v>
      </c>
      <c r="L83" s="2418">
        <v>0</v>
      </c>
      <c r="M83" s="2418">
        <f t="shared" si="29"/>
        <v>-3.0000000000000001E-3</v>
      </c>
      <c r="N83" s="2418">
        <f t="shared" si="29"/>
        <v>-6.0000000000000001E-3</v>
      </c>
      <c r="AC83" s="1406"/>
      <c r="AD83" s="1405"/>
      <c r="AJ83" s="1404"/>
      <c r="AN83" s="1405"/>
    </row>
    <row r="84" spans="1:40" ht="24">
      <c r="A84" s="1067" t="s">
        <v>1027</v>
      </c>
      <c r="B84" s="2389" t="str">
        <f>估价对象房地状况!G19</f>
        <v>估价对象所在区域公共配套设施齐备情况</v>
      </c>
      <c r="C84" s="1050" t="s">
        <v>3229</v>
      </c>
      <c r="D84" s="2397">
        <f t="shared" si="25"/>
        <v>-4.4999999999999997E-3</v>
      </c>
      <c r="E84" s="2425"/>
      <c r="F84" s="2426"/>
      <c r="G84" s="2395">
        <f t="shared" si="30"/>
        <v>4.4999999999999997E-3</v>
      </c>
      <c r="H84" s="2441">
        <f t="shared" si="26"/>
        <v>4.4999999999999997E-3</v>
      </c>
      <c r="I84" s="2415">
        <v>0.06</v>
      </c>
      <c r="J84" s="2418">
        <f t="shared" si="27"/>
        <v>8.9999999999999993E-3</v>
      </c>
      <c r="K84" s="2418">
        <f t="shared" si="28"/>
        <v>4.4999999999999997E-3</v>
      </c>
      <c r="L84" s="2418">
        <v>0</v>
      </c>
      <c r="M84" s="2418">
        <f t="shared" si="29"/>
        <v>-4.4999999999999997E-3</v>
      </c>
      <c r="N84" s="2418">
        <f t="shared" si="29"/>
        <v>-8.9999999999999993E-3</v>
      </c>
      <c r="AC84" s="1406"/>
      <c r="AD84" s="1405"/>
      <c r="AJ84" s="1404"/>
      <c r="AN84" s="1405"/>
    </row>
    <row r="85" spans="1:40" ht="24">
      <c r="A85" s="1067" t="s">
        <v>1028</v>
      </c>
      <c r="B85" s="2389" t="str">
        <f>估价对象房地状况!G20</f>
        <v>估价对象所在区域基础设施水平</v>
      </c>
      <c r="C85" s="1050" t="s">
        <v>3228</v>
      </c>
      <c r="D85" s="2397">
        <f t="shared" si="25"/>
        <v>0</v>
      </c>
      <c r="E85" s="2425"/>
      <c r="F85" s="2426"/>
      <c r="G85" s="2395">
        <f t="shared" si="30"/>
        <v>1.12E-2</v>
      </c>
      <c r="H85" s="2441">
        <f t="shared" si="26"/>
        <v>1.12E-2</v>
      </c>
      <c r="I85" s="2415">
        <v>0.15</v>
      </c>
      <c r="J85" s="2418">
        <f t="shared" si="27"/>
        <v>2.24E-2</v>
      </c>
      <c r="K85" s="2418">
        <f t="shared" si="28"/>
        <v>1.12E-2</v>
      </c>
      <c r="L85" s="2418">
        <v>0</v>
      </c>
      <c r="M85" s="2418">
        <f t="shared" si="29"/>
        <v>-1.12E-2</v>
      </c>
      <c r="N85" s="2418">
        <f t="shared" si="29"/>
        <v>-2.24E-2</v>
      </c>
      <c r="AC85" s="1406"/>
      <c r="AD85" s="1405"/>
      <c r="AJ85" s="1404"/>
      <c r="AN85" s="1405"/>
    </row>
    <row r="86" spans="1:40" ht="24">
      <c r="A86" s="1067" t="s">
        <v>1026</v>
      </c>
      <c r="B86" s="3073" t="s">
        <v>2937</v>
      </c>
      <c r="C86" s="1050" t="s">
        <v>3229</v>
      </c>
      <c r="D86" s="2397">
        <f t="shared" si="25"/>
        <v>-3.7000000000000002E-3</v>
      </c>
      <c r="E86" s="2425"/>
      <c r="F86" s="2426"/>
      <c r="G86" s="2395">
        <f t="shared" si="30"/>
        <v>3.7000000000000002E-3</v>
      </c>
      <c r="H86" s="2441">
        <f t="shared" si="26"/>
        <v>3.7000000000000002E-3</v>
      </c>
      <c r="I86" s="2415">
        <v>0.05</v>
      </c>
      <c r="J86" s="2418">
        <f t="shared" si="27"/>
        <v>7.4000000000000003E-3</v>
      </c>
      <c r="K86" s="2418">
        <f t="shared" si="28"/>
        <v>3.7000000000000002E-3</v>
      </c>
      <c r="L86" s="2418">
        <v>0</v>
      </c>
      <c r="M86" s="2418">
        <f t="shared" si="29"/>
        <v>-3.7000000000000002E-3</v>
      </c>
      <c r="N86" s="2418">
        <f t="shared" si="29"/>
        <v>-7.4000000000000003E-3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3227</v>
      </c>
      <c r="D87" s="2397">
        <f t="shared" si="25"/>
        <v>4.4999999999999997E-3</v>
      </c>
      <c r="E87" s="2427"/>
      <c r="F87" s="2426"/>
      <c r="G87" s="2395">
        <f t="shared" si="30"/>
        <v>4.4999999999999997E-3</v>
      </c>
      <c r="H87" s="2441">
        <f t="shared" si="26"/>
        <v>4.4999999999999997E-3</v>
      </c>
      <c r="I87" s="2422">
        <v>0.06</v>
      </c>
      <c r="J87" s="2418">
        <f t="shared" si="27"/>
        <v>8.9999999999999993E-3</v>
      </c>
      <c r="K87" s="2418">
        <f t="shared" si="28"/>
        <v>4.4999999999999997E-3</v>
      </c>
      <c r="L87" s="2418">
        <v>0</v>
      </c>
      <c r="M87" s="2418">
        <f t="shared" si="29"/>
        <v>-4.4999999999999997E-3</v>
      </c>
      <c r="N87" s="2418">
        <f t="shared" si="29"/>
        <v>-8.9999999999999993E-3</v>
      </c>
      <c r="AC87" s="1406"/>
      <c r="AD87" s="1405"/>
      <c r="AJ87" s="1404"/>
      <c r="AN87" s="1405"/>
    </row>
    <row r="90" spans="1:40">
      <c r="A90" s="3477" t="s">
        <v>1634</v>
      </c>
      <c r="B90" s="3477"/>
      <c r="C90" s="3477"/>
      <c r="D90" s="3477"/>
      <c r="E90" s="3477"/>
      <c r="F90" s="3477"/>
      <c r="G90" s="3477"/>
      <c r="H90" s="3477"/>
      <c r="I90" s="3477"/>
      <c r="J90" s="3477"/>
      <c r="K90" s="2430"/>
      <c r="L90" s="2430"/>
      <c r="M90" s="2430"/>
      <c r="N90" s="2430"/>
    </row>
    <row r="91" spans="1:40">
      <c r="A91" s="3478" t="s">
        <v>1444</v>
      </c>
      <c r="B91" s="3478" t="s">
        <v>1635</v>
      </c>
      <c r="C91" s="1140" t="s">
        <v>1636</v>
      </c>
      <c r="D91" s="1141"/>
      <c r="E91" s="1141"/>
      <c r="F91" s="1141"/>
      <c r="G91" s="1141"/>
      <c r="H91" s="1141"/>
      <c r="I91" s="1141"/>
      <c r="J91" s="1142"/>
      <c r="K91" s="1134"/>
      <c r="L91" s="1134"/>
      <c r="M91" s="1134"/>
      <c r="N91" s="1134"/>
    </row>
    <row r="92" spans="1:40">
      <c r="A92" s="3478"/>
      <c r="B92" s="3478"/>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6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8"/>
      <c r="B99" s="1143" t="s">
        <v>1637</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46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7" t="s">
        <v>1638</v>
      </c>
      <c r="B101" s="1147" t="s">
        <v>906</v>
      </c>
      <c r="C101" s="1148">
        <f>$G$3</f>
        <v>1</v>
      </c>
      <c r="D101" s="1148">
        <f t="shared" ref="D101:N101" si="32">$G$3</f>
        <v>1</v>
      </c>
      <c r="E101" s="1148">
        <f t="shared" si="32"/>
        <v>1</v>
      </c>
      <c r="F101" s="1148">
        <f t="shared" si="32"/>
        <v>1</v>
      </c>
      <c r="G101" s="1148">
        <f t="shared" si="32"/>
        <v>1</v>
      </c>
      <c r="H101" s="1148">
        <f t="shared" si="32"/>
        <v>1</v>
      </c>
      <c r="I101" s="1148">
        <f t="shared" si="32"/>
        <v>1</v>
      </c>
      <c r="J101" s="1148">
        <f t="shared" si="32"/>
        <v>1</v>
      </c>
      <c r="K101" s="1148">
        <f t="shared" si="32"/>
        <v>1</v>
      </c>
      <c r="L101" s="1148">
        <f t="shared" si="32"/>
        <v>1</v>
      </c>
      <c r="M101" s="1148">
        <f t="shared" si="32"/>
        <v>1</v>
      </c>
      <c r="N101" s="1148">
        <f t="shared" si="32"/>
        <v>1</v>
      </c>
    </row>
    <row r="102" spans="1:14">
      <c r="A102" s="346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6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6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6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6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6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68"/>
      <c r="B108" s="3470" t="s">
        <v>1639</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469"/>
      <c r="B109" s="347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72" t="s">
        <v>1640</v>
      </c>
      <c r="B110" s="3472"/>
      <c r="C110" s="3472"/>
      <c r="D110" s="3472"/>
      <c r="E110" s="3472"/>
      <c r="F110" s="3472"/>
      <c r="G110" s="3472"/>
      <c r="H110" s="3472"/>
      <c r="I110" s="3472"/>
      <c r="J110" s="3472"/>
      <c r="K110" s="2428"/>
      <c r="L110" s="2428"/>
      <c r="M110" s="2428"/>
      <c r="N110" s="2428"/>
    </row>
    <row r="112" spans="1:14" ht="12.75" thickBot="1"/>
    <row r="113" spans="1:13" ht="25.5" thickBot="1">
      <c r="A113" s="1016" t="s">
        <v>896</v>
      </c>
      <c r="B113" s="2431">
        <f>G3</f>
        <v>1</v>
      </c>
      <c r="C113" s="1017" t="s">
        <v>897</v>
      </c>
      <c r="D113" s="1018">
        <f>SUMPRODUCT((A115:A118=F113)*(B114:M114=H113)*B115:M118)</f>
        <v>0.55310000000000004</v>
      </c>
      <c r="E113" s="1019" t="s">
        <v>898</v>
      </c>
      <c r="F113" s="1020" t="str">
        <f>E2</f>
        <v>工业</v>
      </c>
      <c r="G113" s="1019" t="s">
        <v>899</v>
      </c>
      <c r="H113" s="1020" t="str">
        <f>G2</f>
        <v>十二级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8" t="s">
        <v>1008</v>
      </c>
      <c r="B18" s="1154" t="s">
        <v>1447</v>
      </c>
      <c r="C18" s="1131" t="s">
        <v>1448</v>
      </c>
      <c r="D18" s="1132"/>
      <c r="E18" s="1154">
        <v>1</v>
      </c>
      <c r="F18" s="1133" t="s">
        <v>1449</v>
      </c>
      <c r="G18" s="1134"/>
      <c r="H18" s="1105"/>
      <c r="I18" s="1105"/>
    </row>
    <row r="19" spans="1:9" s="1600" customFormat="1" ht="19.5" customHeight="1">
      <c r="A19" s="3478"/>
      <c r="B19" s="3478" t="s">
        <v>1450</v>
      </c>
      <c r="C19" s="1131" t="s">
        <v>1451</v>
      </c>
      <c r="D19" s="1132"/>
      <c r="E19" s="1154">
        <v>0.9</v>
      </c>
      <c r="F19" s="1133" t="s">
        <v>1452</v>
      </c>
      <c r="G19" s="1134"/>
      <c r="H19" s="1105"/>
      <c r="I19" s="1105"/>
    </row>
    <row r="20" spans="1:9" s="1600" customFormat="1" ht="19.5" customHeight="1">
      <c r="A20" s="3478"/>
      <c r="B20" s="3478"/>
      <c r="C20" s="1131" t="s">
        <v>1453</v>
      </c>
      <c r="D20" s="1132"/>
      <c r="E20" s="1154">
        <v>1.1000000000000001</v>
      </c>
      <c r="F20" s="1133" t="s">
        <v>1454</v>
      </c>
      <c r="G20" s="1134"/>
      <c r="H20" s="1105"/>
      <c r="I20" s="1105"/>
    </row>
    <row r="21" spans="1:9" s="1600" customFormat="1" ht="19.5" customHeight="1">
      <c r="A21" s="3478"/>
      <c r="B21" s="3478"/>
      <c r="C21" s="1131" t="s">
        <v>1455</v>
      </c>
      <c r="D21" s="1132"/>
      <c r="E21" s="1154">
        <v>0.8</v>
      </c>
      <c r="F21" s="1133" t="s">
        <v>1456</v>
      </c>
      <c r="G21" s="1134"/>
      <c r="H21" s="1105"/>
      <c r="I21" s="1105"/>
    </row>
    <row r="22" spans="1:9" s="1600" customFormat="1" ht="19.5" customHeight="1">
      <c r="A22" s="3478"/>
      <c r="B22" s="3478"/>
      <c r="C22" s="1131" t="s">
        <v>1457</v>
      </c>
      <c r="D22" s="1132"/>
      <c r="E22" s="1154">
        <v>0.5</v>
      </c>
      <c r="F22" s="1133"/>
      <c r="G22" s="1134"/>
      <c r="H22" s="1105"/>
      <c r="I22" s="1105"/>
    </row>
    <row r="23" spans="1:9" s="1600" customFormat="1" ht="19.5" customHeight="1">
      <c r="A23" s="3478" t="s">
        <v>1030</v>
      </c>
      <c r="B23" s="1154" t="s">
        <v>1447</v>
      </c>
      <c r="C23" s="1131" t="s">
        <v>1458</v>
      </c>
      <c r="D23" s="1132"/>
      <c r="E23" s="1154">
        <v>1</v>
      </c>
      <c r="F23" s="1133" t="s">
        <v>1459</v>
      </c>
      <c r="G23" s="1134"/>
      <c r="H23" s="1105"/>
      <c r="I23" s="1105"/>
    </row>
    <row r="24" spans="1:9" s="1600" customFormat="1" ht="19.5" customHeight="1">
      <c r="A24" s="3478"/>
      <c r="B24" s="3478" t="s">
        <v>1450</v>
      </c>
      <c r="C24" s="1131" t="s">
        <v>1460</v>
      </c>
      <c r="D24" s="1132"/>
      <c r="E24" s="1154">
        <v>0.5</v>
      </c>
      <c r="F24" s="1133"/>
      <c r="G24" s="1134"/>
      <c r="H24" s="1105"/>
      <c r="I24" s="1105"/>
    </row>
    <row r="25" spans="1:9" s="1600" customFormat="1" ht="19.5" customHeight="1">
      <c r="A25" s="3478"/>
      <c r="B25" s="3478"/>
      <c r="C25" s="1131" t="s">
        <v>1461</v>
      </c>
      <c r="D25" s="1132"/>
      <c r="E25" s="1154">
        <v>1.1000000000000001</v>
      </c>
      <c r="F25" s="1133"/>
      <c r="G25" s="1134"/>
      <c r="H25" s="1105"/>
      <c r="I25" s="1105"/>
    </row>
    <row r="26" spans="1:9" s="1600" customFormat="1" ht="19.5" customHeight="1">
      <c r="A26" s="3478"/>
      <c r="B26" s="3478"/>
      <c r="C26" s="1131" t="s">
        <v>1462</v>
      </c>
      <c r="D26" s="1132"/>
      <c r="E26" s="1154">
        <v>1.1000000000000001</v>
      </c>
      <c r="F26" s="1133"/>
      <c r="G26" s="1134"/>
      <c r="H26" s="1105"/>
      <c r="I26" s="1105"/>
    </row>
    <row r="27" spans="1:9" s="1600" customFormat="1" ht="19.5" customHeight="1">
      <c r="A27" s="3478"/>
      <c r="B27" s="3478"/>
      <c r="C27" s="1131" t="s">
        <v>1463</v>
      </c>
      <c r="D27" s="1132"/>
      <c r="E27" s="1154">
        <v>0.9</v>
      </c>
      <c r="F27" s="1133" t="s">
        <v>1464</v>
      </c>
      <c r="G27" s="1134"/>
      <c r="H27" s="1105"/>
      <c r="I27" s="1105"/>
    </row>
    <row r="28" spans="1:9" s="1600" customFormat="1" ht="19.5" customHeight="1">
      <c r="A28" s="3478"/>
      <c r="B28" s="3478"/>
      <c r="C28" s="1131" t="s">
        <v>1465</v>
      </c>
      <c r="D28" s="1132"/>
      <c r="E28" s="1154">
        <v>0.9</v>
      </c>
      <c r="F28" s="1133" t="s">
        <v>1466</v>
      </c>
      <c r="G28" s="1134"/>
      <c r="H28" s="1105"/>
      <c r="I28" s="1105"/>
    </row>
    <row r="29" spans="1:9" s="1600" customFormat="1" ht="19.5" customHeight="1">
      <c r="A29" s="3478"/>
      <c r="B29" s="3478"/>
      <c r="C29" s="1131" t="s">
        <v>1467</v>
      </c>
      <c r="D29" s="1132"/>
      <c r="E29" s="1154">
        <v>0.9</v>
      </c>
      <c r="F29" s="1133" t="s">
        <v>1468</v>
      </c>
      <c r="G29" s="1134"/>
      <c r="H29" s="1105"/>
      <c r="I29" s="1105"/>
    </row>
    <row r="30" spans="1:9" s="1600" customFormat="1" ht="19.5" customHeight="1">
      <c r="A30" s="3478"/>
      <c r="B30" s="3478"/>
      <c r="C30" s="1131" t="s">
        <v>1469</v>
      </c>
      <c r="D30" s="1132"/>
      <c r="E30" s="1154">
        <v>0.9</v>
      </c>
      <c r="F30" s="1133" t="s">
        <v>1470</v>
      </c>
      <c r="G30" s="1134"/>
      <c r="H30" s="1105"/>
      <c r="I30" s="1105"/>
    </row>
    <row r="31" spans="1:9" s="1600" customFormat="1" ht="19.5" customHeight="1">
      <c r="A31" s="3478"/>
      <c r="B31" s="3478"/>
      <c r="C31" s="1131" t="s">
        <v>1471</v>
      </c>
      <c r="D31" s="1132"/>
      <c r="E31" s="1154">
        <v>0.8</v>
      </c>
      <c r="F31" s="1133" t="s">
        <v>1472</v>
      </c>
      <c r="G31" s="1134"/>
      <c r="H31" s="1105"/>
      <c r="I31" s="1105"/>
    </row>
    <row r="32" spans="1:9" s="1600" customFormat="1" ht="19.5" customHeight="1">
      <c r="A32" s="3478"/>
      <c r="B32" s="3478"/>
      <c r="C32" s="1131" t="s">
        <v>1473</v>
      </c>
      <c r="D32" s="1132"/>
      <c r="E32" s="1154">
        <v>0.8</v>
      </c>
      <c r="F32" s="1133" t="s">
        <v>1474</v>
      </c>
      <c r="G32" s="1134"/>
      <c r="H32" s="1105"/>
      <c r="I32" s="1105"/>
    </row>
    <row r="33" spans="1:9" s="1600" customFormat="1" ht="19.5" customHeight="1">
      <c r="A33" s="3478" t="s">
        <v>1475</v>
      </c>
      <c r="B33" s="1154" t="s">
        <v>1447</v>
      </c>
      <c r="C33" s="1131" t="s">
        <v>1476</v>
      </c>
      <c r="D33" s="1132"/>
      <c r="E33" s="1154">
        <v>1</v>
      </c>
      <c r="F33" s="1133" t="s">
        <v>1477</v>
      </c>
      <c r="G33" s="1134"/>
      <c r="H33" s="1105"/>
      <c r="I33" s="1105"/>
    </row>
    <row r="34" spans="1:9" s="1600" customFormat="1" ht="19.5" customHeight="1">
      <c r="A34" s="3478"/>
      <c r="B34" s="1154" t="s">
        <v>1450</v>
      </c>
      <c r="C34" s="1131" t="s">
        <v>1478</v>
      </c>
      <c r="D34" s="1132"/>
      <c r="E34" s="1154">
        <v>1.5</v>
      </c>
      <c r="F34" s="1133" t="s">
        <v>1479</v>
      </c>
      <c r="G34" s="1134"/>
      <c r="H34" s="1105"/>
      <c r="I34" s="1105"/>
    </row>
    <row r="35" spans="1:9" s="1600" customFormat="1" ht="19.5" customHeight="1">
      <c r="A35" s="3478" t="s">
        <v>1433</v>
      </c>
      <c r="B35" s="1154" t="s">
        <v>1447</v>
      </c>
      <c r="C35" s="1131" t="s">
        <v>1480</v>
      </c>
      <c r="D35" s="1132"/>
      <c r="E35" s="1154">
        <v>1</v>
      </c>
      <c r="F35" s="1133" t="s">
        <v>1481</v>
      </c>
      <c r="G35" s="1134"/>
      <c r="H35" s="1105"/>
      <c r="I35" s="1105"/>
    </row>
    <row r="36" spans="1:9" s="1600" customFormat="1" ht="19.5" customHeight="1">
      <c r="A36" s="3478"/>
      <c r="B36" s="3478" t="s">
        <v>1450</v>
      </c>
      <c r="C36" s="1131" t="s">
        <v>1482</v>
      </c>
      <c r="D36" s="1132"/>
      <c r="E36" s="1154">
        <v>1</v>
      </c>
      <c r="F36" s="1133" t="s">
        <v>1483</v>
      </c>
      <c r="G36" s="1134"/>
      <c r="H36" s="1105"/>
      <c r="I36" s="1105"/>
    </row>
    <row r="37" spans="1:9" s="1600" customFormat="1" ht="19.5" customHeight="1">
      <c r="A37" s="3478"/>
      <c r="B37" s="3478"/>
      <c r="C37" s="1131" t="s">
        <v>1484</v>
      </c>
      <c r="D37" s="1132"/>
      <c r="E37" s="1154">
        <v>1.5</v>
      </c>
      <c r="F37" s="1133" t="s">
        <v>1485</v>
      </c>
      <c r="G37" s="1134"/>
      <c r="H37" s="1105"/>
      <c r="I37" s="1105"/>
    </row>
    <row r="38" spans="1:9" s="1600" customFormat="1" ht="19.5" customHeight="1">
      <c r="A38" s="3478"/>
      <c r="B38" s="3478"/>
      <c r="C38" s="1131" t="s">
        <v>1486</v>
      </c>
      <c r="D38" s="1132"/>
      <c r="E38" s="1154">
        <v>1</v>
      </c>
      <c r="F38" s="1133" t="s">
        <v>1487</v>
      </c>
      <c r="G38" s="1134"/>
      <c r="H38" s="1105"/>
      <c r="I38" s="1105"/>
    </row>
    <row r="39" spans="1:9" s="1600" customFormat="1" ht="19.5" customHeight="1">
      <c r="A39" s="3478"/>
      <c r="B39" s="347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8" t="s">
        <v>1502</v>
      </c>
      <c r="C61" s="1068" t="s">
        <v>1503</v>
      </c>
      <c r="D61" s="1068" t="s">
        <v>1504</v>
      </c>
      <c r="E61" s="1139">
        <v>0.5</v>
      </c>
      <c r="F61" s="1154">
        <v>80</v>
      </c>
      <c r="H61" s="1105">
        <f>SUMIF(C59:C119,基准地价!C8,E59:E119)</f>
        <v>0</v>
      </c>
    </row>
    <row r="62" spans="1:8" s="1105" customFormat="1" ht="24">
      <c r="A62" s="1154">
        <v>2</v>
      </c>
      <c r="B62" s="3478"/>
      <c r="C62" s="1068" t="s">
        <v>1505</v>
      </c>
      <c r="D62" s="1068" t="s">
        <v>1506</v>
      </c>
      <c r="E62" s="1139">
        <v>0.5</v>
      </c>
      <c r="F62" s="1154">
        <v>80</v>
      </c>
    </row>
    <row r="63" spans="1:8" s="1105" customFormat="1" ht="36">
      <c r="A63" s="1154">
        <v>3</v>
      </c>
      <c r="B63" s="3478"/>
      <c r="C63" s="1068" t="s">
        <v>1507</v>
      </c>
      <c r="D63" s="1068" t="s">
        <v>1508</v>
      </c>
      <c r="E63" s="1139">
        <v>0.5</v>
      </c>
      <c r="F63" s="1154">
        <v>80</v>
      </c>
    </row>
    <row r="64" spans="1:8" s="1105" customFormat="1" ht="36">
      <c r="A64" s="1154">
        <v>4</v>
      </c>
      <c r="B64" s="3478"/>
      <c r="C64" s="1068" t="s">
        <v>1509</v>
      </c>
      <c r="D64" s="1068" t="s">
        <v>1510</v>
      </c>
      <c r="E64" s="1139">
        <v>0.4</v>
      </c>
      <c r="F64" s="1154">
        <v>60</v>
      </c>
    </row>
    <row r="65" spans="1:6" s="1105" customFormat="1" ht="36">
      <c r="A65" s="1154">
        <v>5</v>
      </c>
      <c r="B65" s="3478"/>
      <c r="C65" s="1068" t="s">
        <v>1511</v>
      </c>
      <c r="D65" s="1068" t="s">
        <v>1512</v>
      </c>
      <c r="E65" s="1139">
        <v>0.2</v>
      </c>
      <c r="F65" s="1154">
        <v>30</v>
      </c>
    </row>
    <row r="66" spans="1:6" s="1105" customFormat="1" ht="36">
      <c r="A66" s="1154">
        <v>6</v>
      </c>
      <c r="B66" s="3478"/>
      <c r="C66" s="1068" t="s">
        <v>1513</v>
      </c>
      <c r="D66" s="1068" t="s">
        <v>1514</v>
      </c>
      <c r="E66" s="1139">
        <v>0.3</v>
      </c>
      <c r="F66" s="1154">
        <v>50</v>
      </c>
    </row>
    <row r="67" spans="1:6" s="1105" customFormat="1" ht="36">
      <c r="A67" s="1154">
        <v>7</v>
      </c>
      <c r="B67" s="3478"/>
      <c r="C67" s="1068" t="s">
        <v>1515</v>
      </c>
      <c r="D67" s="1068" t="s">
        <v>1516</v>
      </c>
      <c r="E67" s="1139">
        <v>0.2</v>
      </c>
      <c r="F67" s="1154">
        <v>30</v>
      </c>
    </row>
    <row r="68" spans="1:6" s="1105" customFormat="1" ht="36">
      <c r="A68" s="1154">
        <v>8</v>
      </c>
      <c r="B68" s="3478"/>
      <c r="C68" s="1068" t="s">
        <v>1517</v>
      </c>
      <c r="D68" s="1068" t="s">
        <v>1518</v>
      </c>
      <c r="E68" s="1139">
        <v>0.2</v>
      </c>
      <c r="F68" s="1154">
        <v>30</v>
      </c>
    </row>
    <row r="69" spans="1:6" s="1105" customFormat="1" ht="36">
      <c r="A69" s="1154">
        <v>9</v>
      </c>
      <c r="B69" s="3478"/>
      <c r="C69" s="1068" t="s">
        <v>1519</v>
      </c>
      <c r="D69" s="1068" t="s">
        <v>1520</v>
      </c>
      <c r="E69" s="1139">
        <v>0.2</v>
      </c>
      <c r="F69" s="1154">
        <v>30</v>
      </c>
    </row>
    <row r="70" spans="1:6" s="1105" customFormat="1" ht="48">
      <c r="A70" s="1154">
        <v>10</v>
      </c>
      <c r="B70" s="3478"/>
      <c r="C70" s="1068" t="s">
        <v>1521</v>
      </c>
      <c r="D70" s="1068" t="s">
        <v>1522</v>
      </c>
      <c r="E70" s="1139">
        <v>0.2</v>
      </c>
      <c r="F70" s="1154">
        <v>30</v>
      </c>
    </row>
    <row r="71" spans="1:6" s="1105" customFormat="1" ht="48">
      <c r="A71" s="1154">
        <v>11</v>
      </c>
      <c r="B71" s="3478"/>
      <c r="C71" s="1068" t="s">
        <v>1523</v>
      </c>
      <c r="D71" s="1068" t="s">
        <v>1524</v>
      </c>
      <c r="E71" s="1139">
        <v>0.2</v>
      </c>
      <c r="F71" s="1154">
        <v>30</v>
      </c>
    </row>
    <row r="72" spans="1:6" s="1105" customFormat="1" ht="36">
      <c r="A72" s="1154">
        <v>12</v>
      </c>
      <c r="B72" s="3478"/>
      <c r="C72" s="1068" t="s">
        <v>1525</v>
      </c>
      <c r="D72" s="1068" t="s">
        <v>1526</v>
      </c>
      <c r="E72" s="1139">
        <v>0.5</v>
      </c>
      <c r="F72" s="1154">
        <v>80</v>
      </c>
    </row>
    <row r="73" spans="1:6" s="1105" customFormat="1" ht="24">
      <c r="A73" s="1154">
        <v>13</v>
      </c>
      <c r="B73" s="3478"/>
      <c r="C73" s="1068" t="s">
        <v>1527</v>
      </c>
      <c r="D73" s="1068" t="s">
        <v>1528</v>
      </c>
      <c r="E73" s="1139">
        <v>0.4</v>
      </c>
      <c r="F73" s="1154">
        <v>60</v>
      </c>
    </row>
    <row r="74" spans="1:6" s="1105" customFormat="1" ht="24">
      <c r="A74" s="1154">
        <v>14</v>
      </c>
      <c r="B74" s="3478"/>
      <c r="C74" s="1068" t="s">
        <v>1529</v>
      </c>
      <c r="D74" s="1068" t="s">
        <v>1530</v>
      </c>
      <c r="E74" s="1139">
        <v>0.2</v>
      </c>
      <c r="F74" s="1154">
        <v>30</v>
      </c>
    </row>
    <row r="75" spans="1:6" s="1105" customFormat="1" ht="24">
      <c r="A75" s="1154">
        <v>15</v>
      </c>
      <c r="B75" s="3478"/>
      <c r="C75" s="1068" t="s">
        <v>1531</v>
      </c>
      <c r="D75" s="1068" t="s">
        <v>1532</v>
      </c>
      <c r="E75" s="1139">
        <v>0.2</v>
      </c>
      <c r="F75" s="1154">
        <v>30</v>
      </c>
    </row>
    <row r="76" spans="1:6" s="1105" customFormat="1" ht="24">
      <c r="A76" s="1154">
        <v>16</v>
      </c>
      <c r="B76" s="3478" t="s">
        <v>1533</v>
      </c>
      <c r="C76" s="1068" t="s">
        <v>1534</v>
      </c>
      <c r="D76" s="1068" t="s">
        <v>1535</v>
      </c>
      <c r="E76" s="1139">
        <v>0.5</v>
      </c>
      <c r="F76" s="1154">
        <v>80</v>
      </c>
    </row>
    <row r="77" spans="1:6" s="1105" customFormat="1" ht="24">
      <c r="A77" s="1154">
        <v>17</v>
      </c>
      <c r="B77" s="3478"/>
      <c r="C77" s="1068" t="s">
        <v>1536</v>
      </c>
      <c r="D77" s="1068" t="s">
        <v>1537</v>
      </c>
      <c r="E77" s="1139">
        <v>0.5</v>
      </c>
      <c r="F77" s="1154">
        <v>80</v>
      </c>
    </row>
    <row r="78" spans="1:6" s="1105" customFormat="1" ht="24">
      <c r="A78" s="1154">
        <v>18</v>
      </c>
      <c r="B78" s="3478"/>
      <c r="C78" s="1068" t="s">
        <v>1538</v>
      </c>
      <c r="D78" s="1068" t="s">
        <v>1539</v>
      </c>
      <c r="E78" s="1139">
        <v>0.2</v>
      </c>
      <c r="F78" s="1154">
        <v>30</v>
      </c>
    </row>
    <row r="79" spans="1:6" s="1105" customFormat="1" ht="24">
      <c r="A79" s="1154">
        <v>19</v>
      </c>
      <c r="B79" s="3478"/>
      <c r="C79" s="1068" t="s">
        <v>1540</v>
      </c>
      <c r="D79" s="1068" t="s">
        <v>1541</v>
      </c>
      <c r="E79" s="1139">
        <v>0.5</v>
      </c>
      <c r="F79" s="1154">
        <v>80</v>
      </c>
    </row>
    <row r="80" spans="1:6" s="1105" customFormat="1" ht="36">
      <c r="A80" s="1154">
        <v>20</v>
      </c>
      <c r="B80" s="3478"/>
      <c r="C80" s="1068" t="s">
        <v>1542</v>
      </c>
      <c r="D80" s="1068" t="s">
        <v>1543</v>
      </c>
      <c r="E80" s="1139">
        <v>0.2</v>
      </c>
      <c r="F80" s="1154">
        <v>30</v>
      </c>
    </row>
    <row r="81" spans="1:6" s="1105" customFormat="1" ht="36">
      <c r="A81" s="1154">
        <v>21</v>
      </c>
      <c r="B81" s="3478"/>
      <c r="C81" s="1068" t="s">
        <v>1544</v>
      </c>
      <c r="D81" s="1068" t="s">
        <v>1545</v>
      </c>
      <c r="E81" s="1139">
        <v>0.2</v>
      </c>
      <c r="F81" s="1154">
        <v>30</v>
      </c>
    </row>
    <row r="82" spans="1:6" s="1105" customFormat="1" ht="48">
      <c r="A82" s="1154">
        <v>22</v>
      </c>
      <c r="B82" s="3478"/>
      <c r="C82" s="1068" t="s">
        <v>1546</v>
      </c>
      <c r="D82" s="1068" t="s">
        <v>1547</v>
      </c>
      <c r="E82" s="1139">
        <v>0.2</v>
      </c>
      <c r="F82" s="1154">
        <v>30</v>
      </c>
    </row>
    <row r="83" spans="1:6" s="1105" customFormat="1" ht="48">
      <c r="A83" s="1154">
        <v>23</v>
      </c>
      <c r="B83" s="3478"/>
      <c r="C83" s="1068" t="s">
        <v>1548</v>
      </c>
      <c r="D83" s="1068" t="s">
        <v>1549</v>
      </c>
      <c r="E83" s="1139">
        <v>0.2</v>
      </c>
      <c r="F83" s="1154">
        <v>30</v>
      </c>
    </row>
    <row r="84" spans="1:6" s="1105" customFormat="1" ht="36">
      <c r="A84" s="1154">
        <v>24</v>
      </c>
      <c r="B84" s="3478"/>
      <c r="C84" s="1068" t="s">
        <v>1550</v>
      </c>
      <c r="D84" s="1068" t="s">
        <v>1551</v>
      </c>
      <c r="E84" s="1139">
        <v>0.2</v>
      </c>
      <c r="F84" s="1154">
        <v>30</v>
      </c>
    </row>
    <row r="85" spans="1:6" s="1105" customFormat="1" ht="36">
      <c r="A85" s="1154">
        <v>25</v>
      </c>
      <c r="B85" s="3478"/>
      <c r="C85" s="1068" t="s">
        <v>1552</v>
      </c>
      <c r="D85" s="1068" t="s">
        <v>1553</v>
      </c>
      <c r="E85" s="1139">
        <v>0.5</v>
      </c>
      <c r="F85" s="1154">
        <v>80</v>
      </c>
    </row>
    <row r="86" spans="1:6" s="1105" customFormat="1" ht="36">
      <c r="A86" s="1154">
        <v>26</v>
      </c>
      <c r="B86" s="3478"/>
      <c r="C86" s="1068" t="s">
        <v>1554</v>
      </c>
      <c r="D86" s="1068" t="s">
        <v>1555</v>
      </c>
      <c r="E86" s="1139">
        <v>0.2</v>
      </c>
      <c r="F86" s="1154">
        <v>30</v>
      </c>
    </row>
    <row r="87" spans="1:6" s="1105" customFormat="1" ht="36">
      <c r="A87" s="1154">
        <v>27</v>
      </c>
      <c r="B87" s="3478"/>
      <c r="C87" s="1068" t="s">
        <v>1556</v>
      </c>
      <c r="D87" s="1068" t="s">
        <v>1557</v>
      </c>
      <c r="E87" s="1139">
        <v>0.2</v>
      </c>
      <c r="F87" s="1154">
        <v>30</v>
      </c>
    </row>
    <row r="88" spans="1:6" s="1105" customFormat="1" ht="36">
      <c r="A88" s="1154">
        <v>28</v>
      </c>
      <c r="B88" s="3478"/>
      <c r="C88" s="1068" t="s">
        <v>1558</v>
      </c>
      <c r="D88" s="1068" t="s">
        <v>1559</v>
      </c>
      <c r="E88" s="1139">
        <v>0.2</v>
      </c>
      <c r="F88" s="1154">
        <v>30</v>
      </c>
    </row>
    <row r="89" spans="1:6" s="1105" customFormat="1" ht="24">
      <c r="A89" s="1154">
        <v>29</v>
      </c>
      <c r="B89" s="3478"/>
      <c r="C89" s="1068" t="s">
        <v>1560</v>
      </c>
      <c r="D89" s="1068" t="s">
        <v>1561</v>
      </c>
      <c r="E89" s="1139">
        <v>0.2</v>
      </c>
      <c r="F89" s="1154">
        <v>30</v>
      </c>
    </row>
    <row r="90" spans="1:6" s="1105" customFormat="1" ht="24">
      <c r="A90" s="1154">
        <v>30</v>
      </c>
      <c r="B90" s="3478"/>
      <c r="C90" s="1068" t="s">
        <v>1562</v>
      </c>
      <c r="D90" s="1068" t="s">
        <v>1563</v>
      </c>
      <c r="E90" s="1139">
        <v>0.2</v>
      </c>
      <c r="F90" s="1154">
        <v>30</v>
      </c>
    </row>
    <row r="91" spans="1:6" s="1105" customFormat="1" ht="36">
      <c r="A91" s="1154">
        <v>31</v>
      </c>
      <c r="B91" s="3478"/>
      <c r="C91" s="1068" t="s">
        <v>1564</v>
      </c>
      <c r="D91" s="1068" t="s">
        <v>1565</v>
      </c>
      <c r="E91" s="1139">
        <v>0.2</v>
      </c>
      <c r="F91" s="1154">
        <v>30</v>
      </c>
    </row>
    <row r="92" spans="1:6" s="1105" customFormat="1" ht="24">
      <c r="A92" s="1154">
        <v>32</v>
      </c>
      <c r="B92" s="3478" t="s">
        <v>1566</v>
      </c>
      <c r="C92" s="1154" t="s">
        <v>1567</v>
      </c>
      <c r="D92" s="1068" t="s">
        <v>1568</v>
      </c>
      <c r="E92" s="1139">
        <v>0.2</v>
      </c>
      <c r="F92" s="1154">
        <v>30</v>
      </c>
    </row>
    <row r="93" spans="1:6" s="1105" customFormat="1" ht="36">
      <c r="A93" s="1154">
        <v>33</v>
      </c>
      <c r="B93" s="3478"/>
      <c r="C93" s="1154" t="s">
        <v>1569</v>
      </c>
      <c r="D93" s="1068" t="s">
        <v>1570</v>
      </c>
      <c r="E93" s="1139">
        <v>0.2</v>
      </c>
      <c r="F93" s="1154">
        <v>30</v>
      </c>
    </row>
    <row r="94" spans="1:6" s="1105" customFormat="1" ht="48">
      <c r="A94" s="1154">
        <v>34</v>
      </c>
      <c r="B94" s="3478"/>
      <c r="C94" s="1154" t="s">
        <v>1571</v>
      </c>
      <c r="D94" s="1068" t="s">
        <v>1572</v>
      </c>
      <c r="E94" s="1139">
        <v>0.2</v>
      </c>
      <c r="F94" s="1154">
        <v>30</v>
      </c>
    </row>
    <row r="95" spans="1:6" s="1105" customFormat="1" ht="36">
      <c r="A95" s="1154">
        <v>35</v>
      </c>
      <c r="B95" s="3478"/>
      <c r="C95" s="1154" t="s">
        <v>1573</v>
      </c>
      <c r="D95" s="1068" t="s">
        <v>1574</v>
      </c>
      <c r="E95" s="1139">
        <v>0.2</v>
      </c>
      <c r="F95" s="1154">
        <v>30</v>
      </c>
    </row>
    <row r="96" spans="1:6" s="1105" customFormat="1" ht="48">
      <c r="A96" s="1154">
        <v>36</v>
      </c>
      <c r="B96" s="3478"/>
      <c r="C96" s="1068" t="s">
        <v>1575</v>
      </c>
      <c r="D96" s="1068" t="s">
        <v>1576</v>
      </c>
      <c r="E96" s="1139">
        <v>0.2</v>
      </c>
      <c r="F96" s="1154">
        <v>30</v>
      </c>
    </row>
    <row r="97" spans="1:6" s="1105" customFormat="1" ht="36">
      <c r="A97" s="1154">
        <v>37</v>
      </c>
      <c r="B97" s="3478"/>
      <c r="C97" s="1154" t="s">
        <v>1577</v>
      </c>
      <c r="D97" s="1068" t="s">
        <v>1578</v>
      </c>
      <c r="E97" s="1139">
        <v>0.2</v>
      </c>
      <c r="F97" s="1154">
        <v>30</v>
      </c>
    </row>
    <row r="98" spans="1:6" s="1105" customFormat="1" ht="36">
      <c r="A98" s="1154">
        <v>38</v>
      </c>
      <c r="B98" s="3478"/>
      <c r="C98" s="1154" t="s">
        <v>1579</v>
      </c>
      <c r="D98" s="1068" t="s">
        <v>1580</v>
      </c>
      <c r="E98" s="1139">
        <v>0.2</v>
      </c>
      <c r="F98" s="1154">
        <v>30</v>
      </c>
    </row>
    <row r="99" spans="1:6" s="1105" customFormat="1" ht="36">
      <c r="A99" s="1154">
        <v>39</v>
      </c>
      <c r="B99" s="3478" t="s">
        <v>1581</v>
      </c>
      <c r="C99" s="1154" t="s">
        <v>1582</v>
      </c>
      <c r="D99" s="1068" t="s">
        <v>1583</v>
      </c>
      <c r="E99" s="1139">
        <v>0.3</v>
      </c>
      <c r="F99" s="1154">
        <v>50</v>
      </c>
    </row>
    <row r="100" spans="1:6" s="1105" customFormat="1" ht="24">
      <c r="A100" s="1154">
        <v>40</v>
      </c>
      <c r="B100" s="3478"/>
      <c r="C100" s="1154" t="s">
        <v>1584</v>
      </c>
      <c r="D100" s="1068" t="s">
        <v>1585</v>
      </c>
      <c r="E100" s="1139">
        <v>0.2</v>
      </c>
      <c r="F100" s="1154">
        <v>30</v>
      </c>
    </row>
    <row r="101" spans="1:6" s="1105" customFormat="1" ht="36">
      <c r="A101" s="1154">
        <v>41</v>
      </c>
      <c r="B101" s="347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8" t="s">
        <v>1596</v>
      </c>
      <c r="C105" s="1154" t="s">
        <v>1597</v>
      </c>
      <c r="D105" s="1068" t="s">
        <v>1598</v>
      </c>
      <c r="E105" s="1139">
        <v>0.2</v>
      </c>
      <c r="F105" s="1154">
        <v>30</v>
      </c>
    </row>
    <row r="106" spans="1:6" s="1105" customFormat="1" ht="36">
      <c r="A106" s="1154">
        <v>46</v>
      </c>
      <c r="B106" s="3478"/>
      <c r="C106" s="1154" t="s">
        <v>1599</v>
      </c>
      <c r="D106" s="1068" t="s">
        <v>1600</v>
      </c>
      <c r="E106" s="1139">
        <v>0.2</v>
      </c>
      <c r="F106" s="1154">
        <v>30</v>
      </c>
    </row>
    <row r="107" spans="1:6" s="1105" customFormat="1" ht="36">
      <c r="A107" s="1154">
        <v>47</v>
      </c>
      <c r="B107" s="3478" t="s">
        <v>1601</v>
      </c>
      <c r="C107" s="1154" t="s">
        <v>1602</v>
      </c>
      <c r="D107" s="1068" t="s">
        <v>1603</v>
      </c>
      <c r="E107" s="1139">
        <v>0.3</v>
      </c>
      <c r="F107" s="1154">
        <v>50</v>
      </c>
    </row>
    <row r="108" spans="1:6" s="1105" customFormat="1" ht="36">
      <c r="A108" s="1154">
        <v>48</v>
      </c>
      <c r="B108" s="347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8" t="s">
        <v>1612</v>
      </c>
      <c r="C111" s="1154" t="s">
        <v>1613</v>
      </c>
      <c r="D111" s="1068" t="s">
        <v>1614</v>
      </c>
      <c r="E111" s="1139">
        <v>0.2</v>
      </c>
      <c r="F111" s="1154">
        <v>30</v>
      </c>
    </row>
    <row r="112" spans="1:6" s="1105" customFormat="1" ht="24">
      <c r="A112" s="1154">
        <v>52</v>
      </c>
      <c r="B112" s="3478"/>
      <c r="C112" s="1154" t="s">
        <v>1615</v>
      </c>
      <c r="D112" s="1068" t="s">
        <v>1616</v>
      </c>
      <c r="E112" s="1139">
        <v>0.2</v>
      </c>
      <c r="F112" s="1154">
        <v>30</v>
      </c>
    </row>
    <row r="113" spans="1:14" s="1105" customFormat="1" ht="24">
      <c r="A113" s="1154">
        <v>53</v>
      </c>
      <c r="B113" s="347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8" t="s">
        <v>1625</v>
      </c>
      <c r="C116" s="1154" t="s">
        <v>1626</v>
      </c>
      <c r="D116" s="1068" t="s">
        <v>1627</v>
      </c>
      <c r="E116" s="1139">
        <v>0.2</v>
      </c>
      <c r="F116" s="1154">
        <v>30</v>
      </c>
    </row>
    <row r="117" spans="1:14" ht="36">
      <c r="A117" s="1154">
        <v>57</v>
      </c>
      <c r="B117" s="347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77" t="s">
        <v>1634</v>
      </c>
      <c r="B121" s="3477"/>
      <c r="C121" s="3477"/>
      <c r="D121" s="3477"/>
      <c r="E121" s="3477"/>
      <c r="F121" s="3477"/>
      <c r="G121" s="3477"/>
      <c r="H121" s="3477"/>
      <c r="I121" s="3477"/>
      <c r="J121" s="347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2" t="s">
        <v>1040</v>
      </c>
      <c r="B1" s="3482"/>
      <c r="C1" s="3482"/>
      <c r="D1" s="3482"/>
      <c r="E1" s="3482"/>
      <c r="F1" s="348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83" t="s">
        <v>1053</v>
      </c>
      <c r="B2" s="3483"/>
      <c r="C2" s="3483"/>
      <c r="D2" s="3483"/>
      <c r="E2" s="3483"/>
      <c r="F2" s="348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8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8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370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86" t="s">
        <v>2080</v>
      </c>
      <c r="B1" s="348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2950</v>
      </c>
      <c r="B1" s="3082"/>
      <c r="C1" s="3082"/>
      <c r="D1" s="3082"/>
      <c r="E1" s="3082"/>
      <c r="F1" s="3082"/>
    </row>
    <row r="2" spans="1:6" ht="14.25">
      <c r="A2" s="3083" t="s">
        <v>2945</v>
      </c>
      <c r="B2" s="3084">
        <f ca="1">SUMIF(B7:B14,"&lt;&gt;#ref!",B7:B14)</f>
        <v>24336</v>
      </c>
      <c r="C2" s="3083" t="s">
        <v>2946</v>
      </c>
      <c r="D2" s="3082"/>
      <c r="E2" s="3082"/>
      <c r="F2" s="3082"/>
    </row>
    <row r="3" spans="1:6" ht="14.25">
      <c r="A3" s="3083" t="s">
        <v>2978</v>
      </c>
      <c r="B3" s="3084">
        <f ca="1">ROUND(B2*10000/E3,0)</f>
        <v>416</v>
      </c>
      <c r="C3" s="3083" t="s">
        <v>2079</v>
      </c>
      <c r="D3" s="3083" t="s">
        <v>2947</v>
      </c>
      <c r="E3" s="3084">
        <f ca="1">SUMIF(E7:E14,"&lt;&gt;#ref!",E7:E14)</f>
        <v>585007</v>
      </c>
      <c r="F3" s="3082"/>
    </row>
    <row r="4" spans="1:6" ht="14.25">
      <c r="A4" s="3083" t="s">
        <v>2954</v>
      </c>
      <c r="B4" s="3084">
        <f ca="1">ROUND(B2*10000/E4,0)</f>
        <v>416</v>
      </c>
      <c r="C4" s="3083" t="s">
        <v>2079</v>
      </c>
      <c r="D4" s="3083" t="s">
        <v>2955</v>
      </c>
      <c r="E4" s="3084">
        <f ca="1">SUMIF(F7:F14,"&lt;&gt;#ref!",F7:F14)</f>
        <v>585007</v>
      </c>
      <c r="F4" s="3082"/>
    </row>
    <row r="5" spans="1:6" ht="14.25">
      <c r="A5" s="3085"/>
      <c r="B5" s="1882"/>
      <c r="C5" s="1882"/>
      <c r="D5" s="1882"/>
      <c r="E5" s="1882"/>
      <c r="F5" s="3082"/>
    </row>
    <row r="6" spans="1:6" ht="28.5">
      <c r="A6" s="3086" t="s">
        <v>2951</v>
      </c>
      <c r="B6" s="3083" t="s">
        <v>2948</v>
      </c>
      <c r="C6" s="3084"/>
      <c r="D6" s="1882"/>
      <c r="E6" s="3083" t="s">
        <v>2949</v>
      </c>
      <c r="F6" s="3083" t="s">
        <v>2953</v>
      </c>
    </row>
    <row r="7" spans="1:6" ht="14.25">
      <c r="A7" s="260" t="s">
        <v>2952</v>
      </c>
      <c r="B7" s="3087">
        <f ca="1">SUMIF(INDIRECT("'"&amp;A7&amp;"'"&amp;"!A:A"),"总价",INDIRECT("'"&amp;A7&amp;"'"&amp;"!B:B"))</f>
        <v>24336</v>
      </c>
      <c r="C7" s="3083" t="s">
        <v>2946</v>
      </c>
      <c r="D7" s="1882"/>
      <c r="E7" s="3088">
        <f ca="1">SUMIF(INDIRECT("'"&amp;A7&amp;"'"&amp;"!C:C"),"建筑面积",INDIRECT("'"&amp;A7&amp;"'"&amp;"!D:D"))</f>
        <v>585007</v>
      </c>
      <c r="F7" s="3088">
        <f ca="1">SUMIF(INDIRECT("'"&amp;A7&amp;"'"&amp;"!E:E"),"土地面积",INDIRECT("'"&amp;A7&amp;"'"&amp;"!F:F"))</f>
        <v>585007</v>
      </c>
    </row>
    <row r="8" spans="1:6" ht="14.25">
      <c r="A8" s="260"/>
      <c r="B8" s="3087" t="e">
        <f t="shared" ref="B8:B14" ca="1" si="0">SUMIF(INDIRECT("'"&amp;A8&amp;"'"&amp;"!A:A"),"总价",INDIRECT("'"&amp;A8&amp;"'"&amp;"!B:B"))</f>
        <v>#REF!</v>
      </c>
      <c r="C8" s="3083" t="s">
        <v>2946</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2946</v>
      </c>
      <c r="D9" s="1882"/>
      <c r="E9" s="3088" t="e">
        <f t="shared" ca="1" si="1"/>
        <v>#REF!</v>
      </c>
      <c r="F9" s="3088" t="e">
        <f t="shared" ca="1" si="2"/>
        <v>#REF!</v>
      </c>
    </row>
    <row r="10" spans="1:6" ht="14.25">
      <c r="A10" s="260"/>
      <c r="B10" s="3087" t="e">
        <f t="shared" ca="1" si="0"/>
        <v>#REF!</v>
      </c>
      <c r="C10" s="3083" t="s">
        <v>2946</v>
      </c>
      <c r="D10" s="1882"/>
      <c r="E10" s="3088" t="e">
        <f t="shared" ca="1" si="1"/>
        <v>#REF!</v>
      </c>
      <c r="F10" s="3088" t="e">
        <f t="shared" ca="1" si="2"/>
        <v>#REF!</v>
      </c>
    </row>
    <row r="11" spans="1:6" ht="14.25">
      <c r="A11" s="260"/>
      <c r="B11" s="3087" t="e">
        <f t="shared" ca="1" si="0"/>
        <v>#REF!</v>
      </c>
      <c r="C11" s="3083" t="s">
        <v>2946</v>
      </c>
      <c r="D11" s="1882"/>
      <c r="E11" s="3088" t="e">
        <f t="shared" ca="1" si="1"/>
        <v>#REF!</v>
      </c>
      <c r="F11" s="3088" t="e">
        <f t="shared" ca="1" si="2"/>
        <v>#REF!</v>
      </c>
    </row>
    <row r="12" spans="1:6" ht="14.25">
      <c r="A12" s="260"/>
      <c r="B12" s="3087" t="e">
        <f t="shared" ca="1" si="0"/>
        <v>#REF!</v>
      </c>
      <c r="C12" s="3083" t="s">
        <v>2946</v>
      </c>
      <c r="D12" s="1882"/>
      <c r="E12" s="3088" t="e">
        <f t="shared" ca="1" si="1"/>
        <v>#REF!</v>
      </c>
      <c r="F12" s="3088" t="e">
        <f t="shared" ca="1" si="2"/>
        <v>#REF!</v>
      </c>
    </row>
    <row r="13" spans="1:6" ht="14.25">
      <c r="A13" s="260"/>
      <c r="B13" s="3087" t="e">
        <f t="shared" ca="1" si="0"/>
        <v>#REF!</v>
      </c>
      <c r="C13" s="3083" t="s">
        <v>2946</v>
      </c>
      <c r="D13" s="1882"/>
      <c r="E13" s="3088" t="e">
        <f t="shared" ca="1" si="1"/>
        <v>#REF!</v>
      </c>
      <c r="F13" s="3088" t="e">
        <f t="shared" ca="1" si="2"/>
        <v>#REF!</v>
      </c>
    </row>
    <row r="14" spans="1:6" ht="14.25">
      <c r="A14" s="3081"/>
      <c r="B14" s="3087" t="e">
        <f t="shared" ca="1" si="0"/>
        <v>#REF!</v>
      </c>
      <c r="C14" s="3083" t="s">
        <v>2946</v>
      </c>
      <c r="D14" s="1882"/>
      <c r="E14" s="3088" t="e">
        <f t="shared" ca="1" si="1"/>
        <v>#REF!</v>
      </c>
      <c r="F14" s="308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88" t="s">
        <v>2464</v>
      </c>
      <c r="C8" s="1826">
        <f ca="1">ROUND(F8*F10*F9*(1-F11)/10000,0)</f>
        <v>0</v>
      </c>
      <c r="D8" s="1823" t="s">
        <v>2535</v>
      </c>
      <c r="E8" s="61" t="s">
        <v>637</v>
      </c>
      <c r="F8" s="785">
        <f ca="1">INDIRECT("'数据-取费表'!u"&amp;$G$1)</f>
        <v>0</v>
      </c>
      <c r="G8" s="1593"/>
      <c r="H8" s="2484" t="s">
        <v>1825</v>
      </c>
      <c r="I8" s="3488" t="s">
        <v>2464</v>
      </c>
      <c r="J8" s="783">
        <f ca="1">ROUND(M8*M10*M9*(1-M11)/10000,0)</f>
        <v>0</v>
      </c>
      <c r="K8" s="341" t="s">
        <v>2535</v>
      </c>
      <c r="L8" s="784" t="s">
        <v>1739</v>
      </c>
      <c r="M8" s="785">
        <f ca="1">INDIRECT("'数据-取费表'!z"&amp;$G$1)</f>
        <v>0</v>
      </c>
    </row>
    <row r="9" spans="1:25" ht="18" customHeight="1">
      <c r="A9" s="2480"/>
      <c r="B9" s="3489"/>
      <c r="C9" s="1827"/>
      <c r="D9" s="1824"/>
      <c r="E9" s="61" t="s">
        <v>638</v>
      </c>
      <c r="F9" s="785">
        <f ca="1">IF(INDIRECT("'数据-取费表'!ah"&amp;$G$1)="",INDIRECT("'数据-取费表'!k"&amp;$G$1),INDIRECT("'数据-取费表'!ah"&amp;$G$1))</f>
        <v>0</v>
      </c>
      <c r="G9" s="1593"/>
      <c r="H9" s="2469"/>
      <c r="I9" s="3489"/>
      <c r="J9" s="788"/>
      <c r="K9" s="789"/>
      <c r="L9" s="784" t="s">
        <v>1740</v>
      </c>
      <c r="M9" s="785">
        <f ca="1">F9</f>
        <v>0</v>
      </c>
    </row>
    <row r="10" spans="1:25" ht="18" customHeight="1">
      <c r="A10" s="2473"/>
      <c r="B10" s="3490"/>
      <c r="C10" s="1827"/>
      <c r="D10" s="1824"/>
      <c r="E10" s="61" t="s">
        <v>639</v>
      </c>
      <c r="F10" s="785">
        <f ca="1">INDIRECT("'数据-取费表'!ai"&amp;$G$1)</f>
        <v>0</v>
      </c>
      <c r="G10" s="1593"/>
      <c r="H10" s="2469"/>
      <c r="I10" s="3490"/>
      <c r="J10" s="788"/>
      <c r="K10" s="789"/>
      <c r="L10" s="784" t="s">
        <v>1741</v>
      </c>
      <c r="M10" s="785">
        <f ca="1">INDIRECT("'数据-取费表'!ai"&amp;$G$1)</f>
        <v>0</v>
      </c>
    </row>
    <row r="11" spans="1:25" ht="18" customHeight="1">
      <c r="A11" s="786"/>
      <c r="B11" s="3491"/>
      <c r="C11" s="1827"/>
      <c r="D11" s="1824"/>
      <c r="E11" s="61" t="s">
        <v>640</v>
      </c>
      <c r="F11" s="794">
        <f ca="1">INDIRECT("'数据-取费表'!w"&amp;$G$1)</f>
        <v>0</v>
      </c>
      <c r="G11" s="1593"/>
      <c r="H11" s="2485"/>
      <c r="I11" s="3490"/>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2975</v>
      </c>
      <c r="E12" s="2478" t="s">
        <v>2465</v>
      </c>
      <c r="F12" s="2601"/>
      <c r="G12" s="1593"/>
      <c r="H12" s="2541" t="s">
        <v>1826</v>
      </c>
      <c r="I12" s="2546" t="s">
        <v>2460</v>
      </c>
      <c r="J12" s="783">
        <f ca="1">ROUND(IF(M12="押一",J8/12*M13,IF(M12="押二",J8/12*2*M13,IF(M12="押三",J8/12*3*M13,J13*M13))),0)</f>
        <v>0</v>
      </c>
      <c r="K12" s="2481" t="s">
        <v>2975</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51"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87"/>
      <c r="J36" s="2080"/>
      <c r="K36" s="2081"/>
      <c r="L36" s="2080"/>
      <c r="M36" s="2080"/>
    </row>
    <row r="37" spans="1:18" ht="18" customHeight="1">
      <c r="A37" s="815"/>
      <c r="B37" s="793"/>
      <c r="C37" s="69"/>
      <c r="D37" s="816"/>
      <c r="E37" s="784" t="s">
        <v>674</v>
      </c>
      <c r="F37" s="785">
        <f ca="1">INDIRECT("'数据-取费表'!r"&amp;$G$1)</f>
        <v>0</v>
      </c>
      <c r="G37" s="2063"/>
      <c r="H37" s="2066"/>
      <c r="I37" s="348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2963</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2979</v>
      </c>
      <c r="J54" s="3130">
        <f ca="1">IF(M48="住宅",MAX(J52,L49-'数据-取费表'!B20),MIN(J52,L49-'数据-取费表'!B20))</f>
        <v>-1</v>
      </c>
      <c r="K54" s="3492"/>
      <c r="L54" s="3493"/>
      <c r="O54" s="2381" t="s">
        <v>2389</v>
      </c>
      <c r="P54" s="2379" t="s">
        <v>2390</v>
      </c>
      <c r="Q54" s="2380">
        <f ca="1">J54</f>
        <v>-1</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2943</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北京兴发水泥有限公司：</v>
      </c>
    </row>
    <row r="4" spans="1:4" ht="37.5">
      <c r="A4" s="1792" t="str">
        <f>"受贵公司委托，我公司对"&amp;项目基本情况!K2&amp;项目基本情况!B9&amp;"进行了预评估。"</f>
        <v>受贵公司委托，我公司对北京市划拨国有建设用地使用权市场价格进行了预评估。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73383.9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8" t="s">
        <v>2027</v>
      </c>
    </row>
    <row r="11" spans="1:4" ht="18.75">
      <c r="A11" s="1781" t="str">
        <f>TEXT(项目基本情况!D3,"yyyy年m月d日;;")&amp;IF(项目基本情况!B3=项目基本情况!D3,"（评估专业人员勘察现场之日）","")</f>
        <v>2019年3月31日</v>
      </c>
    </row>
    <row r="12" spans="1:4" ht="18.75">
      <c r="A12" s="1798" t="s">
        <v>2026</v>
      </c>
    </row>
    <row r="13" spans="1:4" ht="18.75">
      <c r="A13" s="1792" t="s">
        <v>2942</v>
      </c>
    </row>
    <row r="14" spans="1:4" ht="18.75">
      <c r="A14" s="1792" t="str">
        <f>"根据"&amp;项目基本情况!F12&amp;"，本次评估估价对象证载（地类）用途为"&amp;项目基本情况!B12&amp;"。"</f>
        <v>根据《国有土地使用证》[]，本次评估估价对象证载（地类）用途为工业。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根据《国有土地使用证》[]，估价对象（分摊）出让国有建设用地使用权面积为585007平方米。根据《建设工程规划许可证》[]、《出让合同》[]，估价对象规划建筑面积为73383.9平方米。</v>
      </c>
    </row>
    <row r="21" spans="1:1" ht="18.75">
      <c r="A21" s="1792" t="s">
        <v>2075</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2076</v>
      </c>
    </row>
    <row r="25" spans="1:1" ht="75">
      <c r="A25" s="1792"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501" t="s">
        <v>2577</v>
      </c>
      <c r="C1" s="3501"/>
      <c r="D1" s="3501"/>
      <c r="E1" s="3501"/>
      <c r="F1" s="3501"/>
      <c r="G1" s="3500" t="s">
        <v>2578</v>
      </c>
      <c r="H1" s="3500"/>
      <c r="I1" s="3500"/>
      <c r="J1" s="3500"/>
      <c r="K1" s="3500"/>
      <c r="L1" s="3500"/>
      <c r="N1" s="3500" t="s">
        <v>2579</v>
      </c>
      <c r="O1" s="3500"/>
      <c r="P1" s="3500"/>
      <c r="Q1" s="3500"/>
      <c r="R1" s="2634"/>
      <c r="S1" s="3500" t="s">
        <v>2580</v>
      </c>
      <c r="T1" s="3500"/>
      <c r="U1" s="3500"/>
      <c r="V1" s="3500"/>
      <c r="X1" s="3499" t="s">
        <v>2640</v>
      </c>
      <c r="Y1" s="3500"/>
      <c r="Z1" s="3500"/>
      <c r="AA1" s="3500"/>
      <c r="AB1" s="3500"/>
      <c r="AD1" s="3499" t="s">
        <v>2644</v>
      </c>
      <c r="AE1" s="3500"/>
      <c r="AF1" s="3500"/>
      <c r="AG1" s="3500"/>
      <c r="AH1" s="3500"/>
    </row>
    <row r="2" spans="1:34" s="2735" customFormat="1" ht="14.25" thickBot="1">
      <c r="B2" s="2743" t="s">
        <v>2581</v>
      </c>
      <c r="C2" s="2743" t="s">
        <v>2642</v>
      </c>
      <c r="D2" s="2736" t="s">
        <v>1645</v>
      </c>
      <c r="E2" s="2736" t="s">
        <v>1950</v>
      </c>
      <c r="F2" s="2743" t="s">
        <v>2643</v>
      </c>
      <c r="G2" s="2739"/>
      <c r="H2" s="2738"/>
      <c r="I2" s="2743" t="s">
        <v>2957</v>
      </c>
      <c r="J2" s="2736" t="s">
        <v>2959</v>
      </c>
      <c r="K2" s="2736" t="s">
        <v>2960</v>
      </c>
      <c r="L2" s="2743" t="s">
        <v>2961</v>
      </c>
      <c r="N2" s="2743" t="s">
        <v>2581</v>
      </c>
      <c r="O2" s="2736" t="s">
        <v>2958</v>
      </c>
      <c r="P2" s="2736" t="s">
        <v>1950</v>
      </c>
      <c r="Q2" s="2743" t="s">
        <v>2643</v>
      </c>
      <c r="R2" s="2737"/>
      <c r="S2" s="2743" t="s">
        <v>2581</v>
      </c>
      <c r="T2" s="2736" t="s">
        <v>2958</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2970</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2990</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2971</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2991</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95">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2980</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95"/>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2981</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95"/>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2977</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96"/>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2968</v>
      </c>
      <c r="B10" s="3122">
        <v>439</v>
      </c>
      <c r="C10" s="3122">
        <v>327</v>
      </c>
      <c r="D10" s="3122">
        <f t="shared" si="43"/>
        <v>327</v>
      </c>
      <c r="E10" s="3122">
        <v>627</v>
      </c>
      <c r="F10" s="3123">
        <v>283</v>
      </c>
      <c r="G10" s="349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2972</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95"/>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95"/>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96"/>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9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95"/>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95"/>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98"/>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97">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95"/>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95"/>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98"/>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97">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95"/>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95"/>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98"/>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502">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503"/>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503"/>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504"/>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97">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95"/>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95"/>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98"/>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97">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95">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95">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98">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97">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95">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95">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98">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97">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95">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95">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98">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97">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95">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95">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98">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97">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95">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95">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98">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97">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95">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95">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98">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97">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95">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95">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98">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97">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95">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95">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98">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97">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95">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95">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98">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97">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95">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95">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98">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2375</v>
      </c>
      <c r="F1" s="2368">
        <f ca="1">J53</f>
        <v>0</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88" t="s">
        <v>2464</v>
      </c>
      <c r="C6" s="783">
        <f ca="1">ROUND(F6*F8*F7*(1-F9)/10000,0)</f>
        <v>0</v>
      </c>
      <c r="D6" s="2477" t="s">
        <v>2463</v>
      </c>
      <c r="E6" s="784" t="s">
        <v>1739</v>
      </c>
      <c r="F6" s="785">
        <f ca="1">INDIRECT("'数据-取费表'!u"&amp;$G$1)</f>
        <v>0</v>
      </c>
      <c r="G6" s="1593"/>
      <c r="H6" s="2484" t="s">
        <v>2469</v>
      </c>
      <c r="I6" s="3488" t="s">
        <v>2464</v>
      </c>
      <c r="J6" s="783">
        <f ca="1">ROUND(M6*M8*M7*(1-M9)/10000,0)</f>
        <v>0</v>
      </c>
      <c r="K6" s="341" t="s">
        <v>1738</v>
      </c>
      <c r="L6" s="784" t="s">
        <v>1739</v>
      </c>
      <c r="M6" s="785">
        <f ca="1">INDIRECT("'数据-取费表'!z"&amp;$G$1)</f>
        <v>0</v>
      </c>
    </row>
    <row r="7" spans="1:33" ht="18" customHeight="1">
      <c r="A7" s="2480"/>
      <c r="B7" s="3489"/>
      <c r="C7" s="788"/>
      <c r="D7" s="789"/>
      <c r="E7" s="784" t="s">
        <v>1740</v>
      </c>
      <c r="F7" s="785">
        <f ca="1">IF(INDIRECT("'数据-取费表'!ah"&amp;$G$1)="",INDIRECT("'数据-取费表'!k"&amp;$G$1),INDIRECT("'数据-取费表'!ah"&amp;$G$1))</f>
        <v>0</v>
      </c>
      <c r="G7" s="1593"/>
      <c r="H7" s="2469"/>
      <c r="I7" s="3489"/>
      <c r="J7" s="788"/>
      <c r="K7" s="789"/>
      <c r="L7" s="784" t="s">
        <v>1740</v>
      </c>
      <c r="M7" s="785">
        <f ca="1">F7</f>
        <v>0</v>
      </c>
    </row>
    <row r="8" spans="1:33" ht="18" customHeight="1">
      <c r="A8" s="2473"/>
      <c r="B8" s="3490"/>
      <c r="C8" s="788"/>
      <c r="D8" s="789"/>
      <c r="E8" s="784" t="s">
        <v>1741</v>
      </c>
      <c r="F8" s="785">
        <f ca="1">INDIRECT("'数据-取费表'!ai"&amp;$G$1)</f>
        <v>0</v>
      </c>
      <c r="G8" s="1593"/>
      <c r="H8" s="2469"/>
      <c r="I8" s="3490"/>
      <c r="J8" s="788"/>
      <c r="K8" s="789"/>
      <c r="L8" s="784" t="s">
        <v>1741</v>
      </c>
      <c r="M8" s="785">
        <f ca="1">INDIRECT("'数据-取费表'!ai"&amp;$G$1)</f>
        <v>0</v>
      </c>
    </row>
    <row r="9" spans="1:33" ht="18" customHeight="1">
      <c r="A9" s="786"/>
      <c r="B9" s="3491"/>
      <c r="C9" s="788"/>
      <c r="D9" s="789"/>
      <c r="E9" s="784" t="s">
        <v>1742</v>
      </c>
      <c r="F9" s="794">
        <f ca="1">INDIRECT("'数据-取费表'!w"&amp;$G$1)</f>
        <v>0</v>
      </c>
      <c r="G9" s="1593"/>
      <c r="H9" s="2485"/>
      <c r="I9" s="3490"/>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2975</v>
      </c>
      <c r="E10" s="2478" t="s">
        <v>2465</v>
      </c>
      <c r="F10" s="2601"/>
      <c r="G10" s="1593"/>
      <c r="H10" s="2541" t="s">
        <v>2470</v>
      </c>
      <c r="I10" s="2546" t="s">
        <v>2460</v>
      </c>
      <c r="J10" s="783">
        <f ca="1">ROUND(IF(M10="押一",J6/12*M11,IF(M10="押二",J6/12*2*M11,IF(M10="押三",J6/12*3*M11,J11*M11))),0)</f>
        <v>0</v>
      </c>
      <c r="K10" s="2481" t="s">
        <v>2975</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2826</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51" t="str">
        <f>IF(F23&lt;=1,"销售费用×利率×(建设周期÷2)","销售费用×((1+利率)^(建设周期÷2)-1)")</f>
        <v>销售费用×利率×(建设周期÷2)</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2827</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2822</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2965</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4" t="e">
        <f ca="1">IF(OR(M47="住宅",D1="土地（套用方法）"),0,IF(L48&gt;J51,L60,J60))</f>
        <v>#DIV/0!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c r="K47" s="3131" t="s">
        <v>2350</v>
      </c>
      <c r="L47" s="3135">
        <f ca="1">INDIRECT("'数据-取费表'!d"&amp;$G$1)</f>
        <v>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c r="K48" s="3132" t="s">
        <v>2352</v>
      </c>
      <c r="L48" s="1909">
        <f ca="1">INDIRECT("'数据-取费表'!f"&amp;$G$1)</f>
        <v>0</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3" t="s">
        <v>2347</v>
      </c>
      <c r="J49" s="2363"/>
      <c r="K49" s="3133" t="s">
        <v>2353</v>
      </c>
      <c r="L49" s="2364"/>
      <c r="O49" s="2378" t="s">
        <v>2382</v>
      </c>
      <c r="P49" s="2379" t="s">
        <v>2407</v>
      </c>
      <c r="Q49" s="2380" t="e">
        <f ca="1">J60</f>
        <v>#DIV/0!</v>
      </c>
      <c r="R49" s="2379" t="s">
        <v>2383</v>
      </c>
    </row>
    <row r="50" spans="1:18" s="2060" customFormat="1" ht="18" customHeight="1" thickBot="1">
      <c r="A50" s="786"/>
      <c r="B50" s="787"/>
      <c r="C50" s="788"/>
      <c r="D50" s="789"/>
      <c r="E50" s="784" t="s">
        <v>1741</v>
      </c>
      <c r="F50" s="785">
        <f ca="1">F8</f>
        <v>0</v>
      </c>
      <c r="G50" s="2096"/>
      <c r="H50" s="2094"/>
      <c r="I50" s="3103" t="s">
        <v>2348</v>
      </c>
      <c r="J50" s="3128">
        <f>SUMPRODUCT((I63:I65=J47)*(J62:L62=J48)*(J63:L65))</f>
        <v>0</v>
      </c>
      <c r="K50" s="3133"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5" t="s">
        <v>2349</v>
      </c>
      <c r="J51" s="3129">
        <f>IF(J49="",J50,J49+J50-YEAR('数据-取费表'!B2))</f>
        <v>0</v>
      </c>
      <c r="K51" s="3103" t="s">
        <v>2355</v>
      </c>
      <c r="L51" s="3136">
        <f ca="1">ROUND(-PV(INDIRECT("'数据-取费表'!h"&amp;$G$1),L48,(C39-C13*J36),0),0)</f>
        <v>0</v>
      </c>
      <c r="O51" s="2381" t="s">
        <v>2385</v>
      </c>
      <c r="P51" s="2379" t="s">
        <v>2386</v>
      </c>
      <c r="Q51" s="2382" t="e">
        <f ca="1">J58</f>
        <v>#DIV/0!</v>
      </c>
      <c r="R51" s="2383"/>
    </row>
    <row r="52" spans="1:18" s="2060" customFormat="1" ht="18" customHeight="1" thickBot="1">
      <c r="A52" s="781" t="s">
        <v>2537</v>
      </c>
      <c r="B52" s="2474" t="s">
        <v>2460</v>
      </c>
      <c r="C52" s="799">
        <f ca="1">ROUND(IF(F52="押一",C48/12*F11,IF(F52="押二",C48/12*2*F11,IF(F52="押三",C48/12*3*F11,C53*F11))),0)</f>
        <v>0</v>
      </c>
      <c r="D52" s="2481" t="s">
        <v>2976</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2979</v>
      </c>
      <c r="J53" s="3130">
        <f ca="1">IF(M47="住宅",IF(D1="——",MAX(J51,L48),MAX(J51,L48-'数据-取费表'!B20)),IF(D1="——",MIN(J51,L48),MIN(J51,L48-'数据-取费表'!B20)))</f>
        <v>0</v>
      </c>
      <c r="K53" s="3505" t="s">
        <v>2967</v>
      </c>
      <c r="L53" s="3506"/>
      <c r="O53" s="2381" t="s">
        <v>2389</v>
      </c>
      <c r="P53" s="2379" t="s">
        <v>2390</v>
      </c>
      <c r="Q53" s="2380">
        <f ca="1">J53</f>
        <v>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#DIV/0!</v>
      </c>
      <c r="K55" s="3140" t="s">
        <v>2357</v>
      </c>
      <c r="L55" s="2366"/>
      <c r="O55" s="2384" t="s">
        <v>2412</v>
      </c>
      <c r="P55" s="1593"/>
      <c r="Q55" s="1605"/>
      <c r="R55" s="1593"/>
    </row>
    <row r="56" spans="1:18" s="2060" customFormat="1" ht="42.75" customHeight="1" thickBot="1">
      <c r="A56" s="1651"/>
      <c r="B56" s="2232" t="s">
        <v>2303</v>
      </c>
      <c r="C56" s="53">
        <f ca="1">C29</f>
        <v>0</v>
      </c>
      <c r="D56" s="2619"/>
      <c r="E56" s="784"/>
      <c r="F56" s="809"/>
      <c r="I56" s="3141" t="s">
        <v>2358</v>
      </c>
      <c r="J56" s="3151"/>
      <c r="K56" s="3103" t="s">
        <v>2363</v>
      </c>
      <c r="L56" s="1909">
        <f ca="1">IF(L48&lt;J51,"——",L48-J51)</f>
        <v>0</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2" t="s">
        <v>2359</v>
      </c>
      <c r="J57" s="3143">
        <f ca="1">IF(OR(M47="住宅",J51&lt;L48,J56="是"),"——",J51-L48)</f>
        <v>0</v>
      </c>
      <c r="K57" s="3103" t="s">
        <v>2364</v>
      </c>
      <c r="L57" s="1909">
        <f ca="1">IF(L48&lt;J51,"——",IF(L55="比较法",L49,IF(L55="基准地价",L50,L51)))</f>
        <v>0</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2360</v>
      </c>
      <c r="J58" s="3079" t="e">
        <f ca="1">IF(J55&lt;0.4,0.4,J55)</f>
        <v>#DIV/0!</v>
      </c>
      <c r="K58" s="3103" t="s">
        <v>2365</v>
      </c>
      <c r="L58" s="1909" t="e">
        <f ca="1">ROUND(POWER(1+L52,L47-L48)*(POWER(1+L52,L48)-1)/(POWER(1+L52,L47)-1),4)</f>
        <v>#DIV/0!</v>
      </c>
      <c r="O58" s="2378" t="s">
        <v>2382</v>
      </c>
      <c r="P58" s="2379" t="s">
        <v>2413</v>
      </c>
      <c r="Q58" s="2380" t="e">
        <f ca="1">L60</f>
        <v>#DIV/0!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4" t="s">
        <v>2362</v>
      </c>
      <c r="J60" s="3145" t="e">
        <f ca="1">IF(OR(M47="住宅",J51&lt;L48,J56="是"),"0",ROUND(J59/(1+J52)^J53,0))</f>
        <v>#DIV/0!</v>
      </c>
      <c r="K60" s="3146" t="s">
        <v>2367</v>
      </c>
      <c r="L60" s="3145" t="e">
        <f ca="1">IF(OR(M47="住宅",L48&lt;J51),0,ROUND(L57*(L58/L59-1),0))</f>
        <v>#DIV/0!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0</v>
      </c>
      <c r="I62" s="3147" t="s">
        <v>2368</v>
      </c>
      <c r="J62" s="3148" t="s">
        <v>2369</v>
      </c>
      <c r="K62" s="3148" t="s">
        <v>2370</v>
      </c>
      <c r="L62" s="3148" t="s">
        <v>2351</v>
      </c>
      <c r="M62" s="3149" t="s">
        <v>2943</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0</v>
      </c>
      <c r="I63" s="3147" t="s">
        <v>2371</v>
      </c>
      <c r="J63" s="3148">
        <v>70</v>
      </c>
      <c r="K63" s="3148">
        <v>50</v>
      </c>
      <c r="L63" s="3148">
        <v>80</v>
      </c>
      <c r="M63" s="3150">
        <v>0.02</v>
      </c>
      <c r="O63" s="2378" t="s">
        <v>2392</v>
      </c>
      <c r="P63" s="2379" t="s">
        <v>2409</v>
      </c>
      <c r="Q63" s="2380" t="e">
        <f ca="1">Q57+Q58</f>
        <v>#DIV/0!</v>
      </c>
      <c r="R63" s="2383" t="s">
        <v>2393</v>
      </c>
    </row>
    <row r="64" spans="1:18" s="2060" customFormat="1" ht="16.5" thickBot="1">
      <c r="A64" s="1650" t="s">
        <v>1891</v>
      </c>
      <c r="B64" s="784" t="s">
        <v>679</v>
      </c>
      <c r="C64" s="53">
        <f ca="1">ROUND(C55*F64,1)</f>
        <v>0</v>
      </c>
      <c r="D64" s="2619" t="s">
        <v>680</v>
      </c>
      <c r="E64" s="784" t="s">
        <v>1748</v>
      </c>
      <c r="F64" s="818">
        <f t="shared" ca="1" si="0"/>
        <v>0</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2822</v>
      </c>
      <c r="C66" s="799">
        <f ca="1">C47-C57</f>
        <v>0</v>
      </c>
      <c r="D66" s="2618" t="s">
        <v>700</v>
      </c>
      <c r="E66" s="2617"/>
      <c r="F66" s="820"/>
      <c r="K66" s="2087"/>
      <c r="O66" s="2378" t="s">
        <v>2380</v>
      </c>
      <c r="P66" s="2379" t="s">
        <v>2410</v>
      </c>
      <c r="Q66" s="2380" t="e">
        <f ca="1">C40+J29</f>
        <v>#DIV/0!</v>
      </c>
      <c r="R66" s="2379" t="s">
        <v>2381</v>
      </c>
    </row>
    <row r="67" spans="1:18" s="2060" customFormat="1" ht="20.25" thickBot="1">
      <c r="A67" s="781" t="s">
        <v>1781</v>
      </c>
      <c r="B67" s="2233" t="s">
        <v>2302</v>
      </c>
      <c r="C67" s="783" t="e">
        <f ca="1">ROUND(C66*(1-((1+F69)/(1+F67))^F68)/(F67-F69),0)</f>
        <v>#DIV/0!</v>
      </c>
      <c r="D67" s="814" t="s">
        <v>704</v>
      </c>
      <c r="E67" s="784" t="s">
        <v>705</v>
      </c>
      <c r="F67" s="794">
        <f ca="1">F40</f>
        <v>0</v>
      </c>
      <c r="K67" s="2087"/>
      <c r="O67" s="2378" t="s">
        <v>2382</v>
      </c>
      <c r="P67" s="2379" t="s">
        <v>2413</v>
      </c>
      <c r="Q67" s="2380" t="e">
        <f ca="1">L60</f>
        <v>#DIV/0!</v>
      </c>
      <c r="R67" s="2383" t="s">
        <v>2415</v>
      </c>
    </row>
    <row r="68" spans="1:18" ht="21.75" thickBot="1">
      <c r="A68" s="786"/>
      <c r="B68" s="787"/>
      <c r="C68" s="788"/>
      <c r="D68" s="821" t="s">
        <v>1809</v>
      </c>
      <c r="E68" s="784" t="s">
        <v>1785</v>
      </c>
      <c r="F68" s="822">
        <f ca="1">F41</f>
        <v>0</v>
      </c>
      <c r="O68" s="2381" t="s">
        <v>2384</v>
      </c>
      <c r="P68" s="2379" t="s">
        <v>2414</v>
      </c>
      <c r="Q68" s="2385">
        <f ca="1">L51</f>
        <v>0</v>
      </c>
      <c r="R68" s="2386" t="s">
        <v>2417</v>
      </c>
    </row>
    <row r="69" spans="1:18" ht="20.25" thickBot="1">
      <c r="A69" s="790"/>
      <c r="B69" s="791"/>
      <c r="C69" s="792"/>
      <c r="D69" s="816"/>
      <c r="E69" s="784" t="s">
        <v>710</v>
      </c>
      <c r="F69" s="2351"/>
      <c r="O69" s="2381" t="s">
        <v>2385</v>
      </c>
      <c r="P69" s="2387" t="s">
        <v>2399</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2472</v>
      </c>
      <c r="B1" s="3508"/>
      <c r="C1" s="3509"/>
      <c r="D1" s="3510">
        <f>SUM(I10,I15,I20,I21,I23)</f>
        <v>0</v>
      </c>
      <c r="E1" s="3510"/>
      <c r="F1" s="3510"/>
      <c r="G1" s="3510"/>
      <c r="H1" s="3510"/>
      <c r="I1" s="3511"/>
    </row>
    <row r="2" spans="1:9">
      <c r="A2" s="3512" t="s">
        <v>2473</v>
      </c>
      <c r="B2" s="3513" t="s">
        <v>2474</v>
      </c>
      <c r="C2" s="3513"/>
      <c r="D2" s="2487" t="s">
        <v>2475</v>
      </c>
      <c r="E2" s="2487" t="s">
        <v>2476</v>
      </c>
      <c r="F2" s="2487" t="s">
        <v>2477</v>
      </c>
      <c r="G2" s="2487" t="s">
        <v>2478</v>
      </c>
      <c r="H2" s="2487" t="s">
        <v>2479</v>
      </c>
      <c r="I2" s="2488" t="s">
        <v>2480</v>
      </c>
    </row>
    <row r="3" spans="1:9">
      <c r="A3" s="3512"/>
      <c r="B3" s="3513" t="s">
        <v>2481</v>
      </c>
      <c r="C3" s="3513"/>
      <c r="D3" s="2489"/>
      <c r="E3" s="2487"/>
      <c r="F3" s="2490"/>
      <c r="G3" s="2490"/>
      <c r="H3" s="2491"/>
      <c r="I3" s="2492">
        <f>ROUND(D3*E3*F3*G3*H3/10000,0)</f>
        <v>0</v>
      </c>
    </row>
    <row r="4" spans="1:9">
      <c r="A4" s="3512"/>
      <c r="B4" s="3513" t="s">
        <v>2482</v>
      </c>
      <c r="C4" s="3513"/>
      <c r="D4" s="2489"/>
      <c r="E4" s="2487"/>
      <c r="F4" s="2490"/>
      <c r="G4" s="2490"/>
      <c r="H4" s="2491"/>
      <c r="I4" s="2492">
        <f t="shared" ref="I4:I9" si="0">ROUND(D4*E4*F4*G4*H4/10000,0)</f>
        <v>0</v>
      </c>
    </row>
    <row r="5" spans="1:9">
      <c r="A5" s="3512"/>
      <c r="B5" s="3513" t="s">
        <v>2483</v>
      </c>
      <c r="C5" s="3513"/>
      <c r="D5" s="2489"/>
      <c r="E5" s="2487"/>
      <c r="F5" s="2490"/>
      <c r="G5" s="2490"/>
      <c r="H5" s="2491"/>
      <c r="I5" s="2492">
        <f t="shared" si="0"/>
        <v>0</v>
      </c>
    </row>
    <row r="6" spans="1:9">
      <c r="A6" s="3512"/>
      <c r="B6" s="3513" t="s">
        <v>2484</v>
      </c>
      <c r="C6" s="3513"/>
      <c r="D6" s="2489"/>
      <c r="E6" s="2487"/>
      <c r="F6" s="2490"/>
      <c r="G6" s="2490"/>
      <c r="H6" s="2491"/>
      <c r="I6" s="2492">
        <f t="shared" si="0"/>
        <v>0</v>
      </c>
    </row>
    <row r="7" spans="1:9">
      <c r="A7" s="3512"/>
      <c r="B7" s="3513" t="s">
        <v>2485</v>
      </c>
      <c r="C7" s="3513"/>
      <c r="D7" s="2489"/>
      <c r="E7" s="2487"/>
      <c r="F7" s="2490"/>
      <c r="G7" s="2490"/>
      <c r="H7" s="2491"/>
      <c r="I7" s="2492">
        <f t="shared" si="0"/>
        <v>0</v>
      </c>
    </row>
    <row r="8" spans="1:9">
      <c r="A8" s="3512"/>
      <c r="B8" s="3513" t="s">
        <v>2486</v>
      </c>
      <c r="C8" s="3513"/>
      <c r="D8" s="2489"/>
      <c r="E8" s="2487"/>
      <c r="F8" s="2490"/>
      <c r="G8" s="2490"/>
      <c r="H8" s="2491"/>
      <c r="I8" s="2492">
        <f t="shared" si="0"/>
        <v>0</v>
      </c>
    </row>
    <row r="9" spans="1:9">
      <c r="A9" s="3512"/>
      <c r="B9" s="3513" t="s">
        <v>2487</v>
      </c>
      <c r="C9" s="3513"/>
      <c r="D9" s="2489"/>
      <c r="E9" s="2487"/>
      <c r="F9" s="2490"/>
      <c r="G9" s="2490"/>
      <c r="H9" s="2491"/>
      <c r="I9" s="2492">
        <f t="shared" si="0"/>
        <v>0</v>
      </c>
    </row>
    <row r="10" spans="1:9">
      <c r="A10" s="3512"/>
      <c r="B10" s="3514" t="s">
        <v>2488</v>
      </c>
      <c r="C10" s="3514"/>
      <c r="D10" s="2493">
        <v>527</v>
      </c>
      <c r="E10" s="2493" t="e">
        <f>ROUND(D1*10000/D10/H9,0)</f>
        <v>#DIV/0!</v>
      </c>
      <c r="F10" s="2494"/>
      <c r="G10" s="2494"/>
      <c r="H10" s="2495"/>
      <c r="I10" s="2496">
        <f>SUM(I3:I9)</f>
        <v>0</v>
      </c>
    </row>
    <row r="11" spans="1:9" ht="14.25">
      <c r="A11" s="3512" t="s">
        <v>2489</v>
      </c>
      <c r="B11" s="3513" t="s">
        <v>2490</v>
      </c>
      <c r="C11" s="3513"/>
      <c r="D11" s="2489" t="s">
        <v>2491</v>
      </c>
      <c r="E11" s="2489" t="s">
        <v>2492</v>
      </c>
      <c r="F11" s="2490" t="s">
        <v>2493</v>
      </c>
      <c r="G11" s="2490" t="s">
        <v>2494</v>
      </c>
      <c r="H11" s="2497" t="s">
        <v>2495</v>
      </c>
      <c r="I11" s="2488" t="s">
        <v>2496</v>
      </c>
    </row>
    <row r="12" spans="1:9">
      <c r="A12" s="3512"/>
      <c r="B12" s="3513" t="s">
        <v>2497</v>
      </c>
      <c r="C12" s="3513"/>
      <c r="D12" s="2489"/>
      <c r="E12" s="2489"/>
      <c r="F12" s="2490"/>
      <c r="G12" s="2491"/>
      <c r="H12" s="2498"/>
      <c r="I12" s="2488">
        <f>ROUND(D12*E12*F12*G12/10000,0)</f>
        <v>0</v>
      </c>
    </row>
    <row r="13" spans="1:9">
      <c r="A13" s="3512"/>
      <c r="B13" s="3513" t="s">
        <v>2498</v>
      </c>
      <c r="C13" s="3513"/>
      <c r="D13" s="2489"/>
      <c r="E13" s="2489"/>
      <c r="F13" s="2490"/>
      <c r="G13" s="2491"/>
      <c r="H13" s="2498"/>
      <c r="I13" s="2488">
        <f>ROUND(D13*E13*F13*G13/10000,0)</f>
        <v>0</v>
      </c>
    </row>
    <row r="14" spans="1:9">
      <c r="A14" s="3512"/>
      <c r="B14" s="3513" t="s">
        <v>2499</v>
      </c>
      <c r="C14" s="3513"/>
      <c r="D14" s="2489"/>
      <c r="E14" s="2489"/>
      <c r="F14" s="2490"/>
      <c r="G14" s="2491"/>
      <c r="H14" s="2498"/>
      <c r="I14" s="2488">
        <f>ROUND(D14*E14*F14*G14/10000,0)</f>
        <v>0</v>
      </c>
    </row>
    <row r="15" spans="1:9">
      <c r="A15" s="3512"/>
      <c r="B15" s="3514" t="s">
        <v>2488</v>
      </c>
      <c r="C15" s="3514"/>
      <c r="D15" s="2493"/>
      <c r="E15" s="2493">
        <f>SUM(E12:E14)</f>
        <v>0</v>
      </c>
      <c r="F15" s="2494"/>
      <c r="G15" s="2491"/>
      <c r="H15" s="2498"/>
      <c r="I15" s="2499">
        <f>SUM(I12:I14)</f>
        <v>0</v>
      </c>
    </row>
    <row r="16" spans="1:9" ht="24">
      <c r="A16" s="3512" t="s">
        <v>2500</v>
      </c>
      <c r="B16" s="3513" t="s">
        <v>2501</v>
      </c>
      <c r="C16" s="3513"/>
      <c r="D16" s="2489" t="s">
        <v>2502</v>
      </c>
      <c r="E16" s="2500" t="s">
        <v>2503</v>
      </c>
      <c r="F16" s="2490" t="s">
        <v>2504</v>
      </c>
      <c r="G16" s="2491" t="s">
        <v>2494</v>
      </c>
      <c r="H16" s="2497" t="s">
        <v>2495</v>
      </c>
      <c r="I16" s="2488" t="s">
        <v>2496</v>
      </c>
    </row>
    <row r="17" spans="1:9" ht="14.25">
      <c r="A17" s="3512"/>
      <c r="B17" s="3513" t="s">
        <v>2505</v>
      </c>
      <c r="C17" s="3513"/>
      <c r="D17" s="2489"/>
      <c r="E17" s="2489"/>
      <c r="F17" s="2490"/>
      <c r="G17" s="2491"/>
      <c r="H17" s="2501"/>
      <c r="I17" s="2502">
        <f>ROUND(D17*E17*F17*G17/10000,0)</f>
        <v>0</v>
      </c>
    </row>
    <row r="18" spans="1:9" ht="14.25">
      <c r="A18" s="3512"/>
      <c r="B18" s="3513" t="s">
        <v>2506</v>
      </c>
      <c r="C18" s="3513"/>
      <c r="D18" s="2489"/>
      <c r="E18" s="2489"/>
      <c r="F18" s="2490"/>
      <c r="G18" s="2491"/>
      <c r="H18" s="2501"/>
      <c r="I18" s="2502">
        <f>ROUND(D18*E18*F18*G18/10000,0)</f>
        <v>0</v>
      </c>
    </row>
    <row r="19" spans="1:9" ht="14.25">
      <c r="A19" s="3512"/>
      <c r="B19" s="3513" t="s">
        <v>2507</v>
      </c>
      <c r="C19" s="3513"/>
      <c r="D19" s="2489"/>
      <c r="E19" s="2489"/>
      <c r="F19" s="2490"/>
      <c r="G19" s="2491"/>
      <c r="H19" s="2501"/>
      <c r="I19" s="2502">
        <f>ROUND(D19*E19*F19*G19/10000,0)</f>
        <v>0</v>
      </c>
    </row>
    <row r="20" spans="1:9">
      <c r="A20" s="3512"/>
      <c r="B20" s="3514" t="s">
        <v>2488</v>
      </c>
      <c r="C20" s="3514"/>
      <c r="D20" s="2493">
        <f>SUM(D17:D19)</f>
        <v>0</v>
      </c>
      <c r="E20" s="2493"/>
      <c r="F20" s="2494"/>
      <c r="G20" s="2491"/>
      <c r="H20" s="2498"/>
      <c r="I20" s="2499">
        <f>SUM(I17:I19)</f>
        <v>0</v>
      </c>
    </row>
    <row r="21" spans="1:9">
      <c r="A21" s="3512" t="s">
        <v>2508</v>
      </c>
      <c r="B21" s="3516"/>
      <c r="C21" s="3516"/>
      <c r="D21" s="3516"/>
      <c r="E21" s="3516"/>
      <c r="F21" s="3516"/>
      <c r="G21" s="3516"/>
      <c r="H21" s="2503">
        <v>0.1</v>
      </c>
      <c r="I21" s="2496">
        <f>ROUND(I10*H21,0)</f>
        <v>0</v>
      </c>
    </row>
    <row r="22" spans="1:9" ht="14.25">
      <c r="A22" s="3517" t="s">
        <v>2509</v>
      </c>
      <c r="B22" s="3518"/>
      <c r="C22" s="3519"/>
      <c r="D22" s="2504" t="s">
        <v>2510</v>
      </c>
      <c r="E22" s="2504" t="s">
        <v>2511</v>
      </c>
      <c r="F22" s="2505" t="s">
        <v>2512</v>
      </c>
      <c r="G22" s="2505" t="s">
        <v>2513</v>
      </c>
      <c r="H22" s="2497" t="s">
        <v>2514</v>
      </c>
      <c r="I22" s="2488" t="s">
        <v>2515</v>
      </c>
    </row>
    <row r="23" spans="1:9" ht="14.25" thickBot="1">
      <c r="A23" s="3520"/>
      <c r="B23" s="3521"/>
      <c r="C23" s="3522"/>
      <c r="D23" s="2506"/>
      <c r="E23" s="2506"/>
      <c r="F23" s="2506"/>
      <c r="G23" s="2507"/>
      <c r="H23" s="2508"/>
      <c r="I23" s="2509">
        <f>ROUND(E23*D23*F23*(1-G23)/10000,0)</f>
        <v>0</v>
      </c>
    </row>
    <row r="26" spans="1:9">
      <c r="A26" s="2510" t="s">
        <v>2516</v>
      </c>
      <c r="B26" s="2510"/>
      <c r="C26" s="2510"/>
      <c r="D26" s="2510"/>
      <c r="E26" s="3523">
        <f>C27-C30-C31-C32</f>
        <v>0</v>
      </c>
      <c r="F26" s="3523"/>
      <c r="G26" s="3523"/>
      <c r="H26" s="3020" t="s">
        <v>2843</v>
      </c>
    </row>
    <row r="27" spans="1:9">
      <c r="A27" s="2511">
        <v>1</v>
      </c>
      <c r="B27" s="2512" t="s">
        <v>2517</v>
      </c>
      <c r="C27" s="2512"/>
      <c r="D27" s="2512"/>
      <c r="E27" s="3524"/>
      <c r="F27" s="3524"/>
      <c r="G27" s="3524"/>
    </row>
    <row r="28" spans="1:9">
      <c r="A28" s="2513" t="s">
        <v>2518</v>
      </c>
      <c r="B28" s="2512" t="s">
        <v>2519</v>
      </c>
      <c r="C28" s="2512"/>
      <c r="D28" s="2512"/>
      <c r="E28" s="3524"/>
      <c r="F28" s="3524"/>
      <c r="G28" s="3524"/>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515"/>
      <c r="F32" s="3515"/>
      <c r="G32" s="3515"/>
    </row>
    <row r="33" spans="1:7" hidden="1">
      <c r="A33" s="3525" t="s">
        <v>2527</v>
      </c>
      <c r="B33" s="3526"/>
      <c r="C33" s="3526"/>
      <c r="D33" s="3527"/>
      <c r="E33" s="3523"/>
      <c r="F33" s="3523"/>
      <c r="G33" s="3523"/>
    </row>
    <row r="34" spans="1:7" hidden="1">
      <c r="A34" s="2515">
        <v>1</v>
      </c>
      <c r="B34" s="2512" t="s">
        <v>2528</v>
      </c>
      <c r="C34" s="2512"/>
      <c r="D34" s="2512"/>
      <c r="E34" s="3524"/>
      <c r="F34" s="3524"/>
      <c r="G34" s="3524"/>
    </row>
    <row r="35" spans="1:7" hidden="1">
      <c r="A35" s="2515">
        <v>2</v>
      </c>
      <c r="B35" s="2512" t="s">
        <v>2529</v>
      </c>
      <c r="C35" s="2512"/>
      <c r="D35" s="2512"/>
      <c r="E35" s="3524"/>
      <c r="F35" s="3524"/>
      <c r="G35" s="3524"/>
    </row>
    <row r="36" spans="1:7" hidden="1">
      <c r="A36" s="2515">
        <v>3</v>
      </c>
      <c r="B36" s="2512" t="s">
        <v>2530</v>
      </c>
      <c r="C36" s="2512"/>
      <c r="D36" s="2512"/>
      <c r="E36" s="3524"/>
      <c r="F36" s="3524"/>
      <c r="G36" s="3524"/>
    </row>
    <row r="37" spans="1:7" hidden="1">
      <c r="A37" s="2515">
        <v>4</v>
      </c>
      <c r="B37" s="2512" t="s">
        <v>2531</v>
      </c>
      <c r="C37" s="2512"/>
      <c r="D37" s="2512"/>
      <c r="E37" s="3524"/>
      <c r="F37" s="3524"/>
      <c r="G37" s="3524"/>
    </row>
    <row r="38" spans="1:7" hidden="1">
      <c r="A38" s="3525" t="s">
        <v>2532</v>
      </c>
      <c r="B38" s="3526"/>
      <c r="C38" s="3526"/>
      <c r="D38" s="3527"/>
      <c r="E38" s="3523"/>
      <c r="F38" s="3523"/>
      <c r="G38" s="35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abSelected="1" workbookViewId="0">
      <selection activeCell="C8" sqref="C8"/>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258318</v>
      </c>
      <c r="C2" s="2109"/>
      <c r="D2" s="2109"/>
      <c r="E2" s="2109"/>
      <c r="F2" s="2109"/>
      <c r="G2" s="2109"/>
    </row>
    <row r="3" spans="1:25" s="2060" customFormat="1" ht="18" customHeight="1">
      <c r="A3" s="1380" t="s">
        <v>1686</v>
      </c>
      <c r="B3" s="425">
        <f ca="1">ROUND(B2*10000/'数据-汇总表'!E3,0)</f>
        <v>35201</v>
      </c>
      <c r="C3" s="2109"/>
      <c r="D3" s="2109"/>
      <c r="E3" s="2109"/>
      <c r="F3" s="2109"/>
      <c r="G3" s="2109"/>
    </row>
    <row r="4" spans="1:25" s="2060" customFormat="1" ht="18" customHeight="1">
      <c r="A4" s="426" t="s">
        <v>468</v>
      </c>
      <c r="B4" s="427">
        <f ca="1">ROUND(B2*10000/'数据-汇总表'!D3,0)</f>
        <v>4416</v>
      </c>
      <c r="C4" s="2062"/>
      <c r="D4" s="2109"/>
      <c r="E4" s="2109"/>
      <c r="F4" s="2109"/>
      <c r="G4" s="2109"/>
    </row>
    <row r="5" spans="1:25" s="2060" customFormat="1" ht="18" customHeight="1" thickBot="1">
      <c r="A5" s="429"/>
      <c r="B5" s="430">
        <f ca="1">ROUND(B2/('数据-汇总表'!D3/666.67),0)</f>
        <v>294</v>
      </c>
      <c r="C5" s="431" t="s">
        <v>469</v>
      </c>
      <c r="D5" s="2109"/>
      <c r="E5" s="2109"/>
      <c r="F5" s="2109"/>
      <c r="G5" s="2109"/>
      <c r="I5" s="3229" t="s">
        <v>3164</v>
      </c>
      <c r="J5" s="3229" t="s">
        <v>3162</v>
      </c>
      <c r="L5" s="3229" t="s">
        <v>3163</v>
      </c>
    </row>
    <row r="6" spans="1:25" s="2184" customFormat="1" ht="13.5" customHeight="1">
      <c r="A6" s="743"/>
      <c r="B6" s="744" t="s">
        <v>604</v>
      </c>
      <c r="C6" s="745" t="s">
        <v>605</v>
      </c>
      <c r="D6" s="745" t="s">
        <v>606</v>
      </c>
      <c r="E6" s="746" t="s">
        <v>607</v>
      </c>
      <c r="F6" s="746" t="s">
        <v>608</v>
      </c>
      <c r="G6" s="747"/>
      <c r="H6" s="2184">
        <v>1</v>
      </c>
      <c r="I6" s="2184" t="str">
        <f>土地案例!F12</f>
        <v>怀柔区怀柔镇04街区HR00-0004-6001、6002、6003、6004地块F2用地及0050地块供燃气用地</v>
      </c>
      <c r="J6" s="2184">
        <v>2017.3</v>
      </c>
      <c r="K6" s="2184">
        <f>ROUND((土地案例!L12+土地案例!M12)/土地案例!K12,1)</f>
        <v>4977.2</v>
      </c>
    </row>
    <row r="7" spans="1:25" s="2184" customFormat="1" ht="13.5" customHeight="1">
      <c r="A7" s="2449">
        <v>1</v>
      </c>
      <c r="B7" s="748" t="s">
        <v>609</v>
      </c>
      <c r="C7" s="749">
        <f>C8+C9</f>
        <v>200641</v>
      </c>
      <c r="D7" s="749"/>
      <c r="E7" s="750"/>
      <c r="F7" s="750"/>
      <c r="G7" s="2459" t="s">
        <v>3165</v>
      </c>
      <c r="H7" s="2184">
        <v>2</v>
      </c>
      <c r="I7" s="2184" t="str">
        <f>土地案例!F28</f>
        <v>怀柔区雁栖镇陈各庄村土地一级开发项目</v>
      </c>
      <c r="J7" s="2184">
        <v>2018.12</v>
      </c>
      <c r="K7" s="2184">
        <f>ROUND((土地案例!L28+土地案例!M28)/土地案例!K28,1)</f>
        <v>6095.5</v>
      </c>
    </row>
    <row r="8" spans="1:25" s="2184" customFormat="1" ht="13.5" customHeight="1">
      <c r="A8" s="2449" t="s">
        <v>2441</v>
      </c>
      <c r="B8" s="2452" t="s">
        <v>2443</v>
      </c>
      <c r="C8" s="2453">
        <f>ROUND(K11*'数据-基础表'!A3/10000,0)</f>
        <v>200641</v>
      </c>
      <c r="D8" s="749"/>
      <c r="E8" s="750"/>
      <c r="F8" s="750"/>
      <c r="G8" s="751"/>
      <c r="H8" s="2184">
        <v>3</v>
      </c>
      <c r="I8" s="2184" t="str">
        <f>土地案例!F11</f>
        <v xml:space="preserve">顺义区后沙峪镇马头庄村土地一级开发项目A地块中SY00-0019-6001等地块 </v>
      </c>
      <c r="J8" s="2184">
        <v>2017.3</v>
      </c>
      <c r="K8" s="2184">
        <f>ROUND((土地案例!L11+土地案例!M11)/土地案例!K11,1)</f>
        <v>4157.1000000000004</v>
      </c>
    </row>
    <row r="9" spans="1:25" s="2184" customFormat="1" ht="13.5" customHeight="1">
      <c r="A9" s="2449" t="s">
        <v>2442</v>
      </c>
      <c r="B9" s="2452" t="s">
        <v>2444</v>
      </c>
      <c r="C9" s="2453"/>
      <c r="D9" s="749"/>
      <c r="E9" s="750"/>
      <c r="F9" s="750"/>
      <c r="G9" s="751"/>
      <c r="K9" s="2184">
        <f>ROUND(AVERAGE(K6:K8),1)</f>
        <v>5076.6000000000004</v>
      </c>
    </row>
    <row r="10" spans="1:25" s="2184" customFormat="1" ht="36">
      <c r="A10" s="2449">
        <v>2</v>
      </c>
      <c r="B10" s="748" t="s">
        <v>613</v>
      </c>
      <c r="C10" s="749">
        <f>C11+C14+C15</f>
        <v>8483</v>
      </c>
      <c r="D10" s="3243">
        <f>'数据-汇总表'!D3</f>
        <v>585007</v>
      </c>
      <c r="E10" s="3244">
        <f>50+40+10+20+25</f>
        <v>145</v>
      </c>
      <c r="F10" s="761"/>
      <c r="G10" s="759" t="s">
        <v>614</v>
      </c>
    </row>
    <row r="11" spans="1:25" s="2184" customFormat="1" ht="13.5" customHeight="1">
      <c r="A11" s="2449" t="s">
        <v>2441</v>
      </c>
      <c r="B11" s="752" t="s">
        <v>610</v>
      </c>
      <c r="C11" s="753">
        <f>'数据-取费表'!B29</f>
        <v>0</v>
      </c>
      <c r="D11" s="754"/>
      <c r="E11" s="753"/>
      <c r="F11" s="755"/>
      <c r="G11" s="2458" t="s">
        <v>2452</v>
      </c>
      <c r="K11" s="2184">
        <f>土地案例!N33</f>
        <v>3429.7199278368244</v>
      </c>
    </row>
    <row r="12" spans="1:25" s="2184" customFormat="1" ht="13.5" customHeight="1">
      <c r="A12" s="2456" t="s">
        <v>2449</v>
      </c>
      <c r="B12" s="756" t="s">
        <v>611</v>
      </c>
      <c r="C12" s="757">
        <f>ROUND(D12*E12/10000,0)</f>
        <v>0</v>
      </c>
      <c r="D12" s="758">
        <f>'数据-汇总表'!E5</f>
        <v>0</v>
      </c>
      <c r="E12" s="757">
        <f>'数据-取费表'!B27</f>
        <v>160</v>
      </c>
      <c r="F12" s="755"/>
      <c r="G12" s="759"/>
    </row>
    <row r="13" spans="1:25" s="2184" customFormat="1" ht="13.5" customHeight="1">
      <c r="A13" s="2456" t="s">
        <v>2448</v>
      </c>
      <c r="B13" s="756" t="s">
        <v>612</v>
      </c>
      <c r="C13" s="757">
        <f>ROUND(D13*E13/10000,0)</f>
        <v>1468</v>
      </c>
      <c r="D13" s="758">
        <f>'数据-汇总表'!E6</f>
        <v>73383.899999999994</v>
      </c>
      <c r="E13" s="757">
        <f>'数据-取费表'!B28</f>
        <v>200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f>ROUND('数据-汇总表'!D3*成本逼近法!E10/10000,0)</f>
        <v>8483</v>
      </c>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19917</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29277</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258318</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v>0</v>
      </c>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258318</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258318</v>
      </c>
      <c r="D22" s="760"/>
      <c r="E22" s="749"/>
      <c r="F22" s="766">
        <v>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258318</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49"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19" t="s">
        <v>522</v>
      </c>
      <c r="D4" s="3420"/>
      <c r="E4" s="3453" t="s">
        <v>523</v>
      </c>
      <c r="F4" s="3454"/>
      <c r="G4" s="3419" t="s">
        <v>524</v>
      </c>
      <c r="H4" s="3420"/>
      <c r="I4" s="3419" t="s">
        <v>525</v>
      </c>
      <c r="J4" s="3420"/>
      <c r="K4" s="853" t="s">
        <v>526</v>
      </c>
      <c r="L4" s="2134"/>
      <c r="M4" s="2135"/>
      <c r="N4" s="2135"/>
      <c r="O4" s="2135"/>
      <c r="P4" s="3421" t="s">
        <v>527</v>
      </c>
      <c r="Q4" s="3422"/>
      <c r="R4" s="3427" t="s">
        <v>523</v>
      </c>
      <c r="S4" s="3428"/>
      <c r="T4" s="3427" t="s">
        <v>524</v>
      </c>
      <c r="U4" s="3428"/>
      <c r="V4" s="3414" t="s">
        <v>525</v>
      </c>
      <c r="W4" s="3414"/>
      <c r="X4" s="1568"/>
      <c r="Y4" s="3427" t="s">
        <v>527</v>
      </c>
      <c r="Z4" s="3428"/>
      <c r="AA4" s="3416" t="s">
        <v>523</v>
      </c>
      <c r="AB4" s="3416" t="s">
        <v>524</v>
      </c>
      <c r="AC4" s="3416" t="s">
        <v>525</v>
      </c>
    </row>
    <row r="5" spans="1:29" ht="15">
      <c r="A5" s="515"/>
      <c r="B5" s="516"/>
      <c r="C5" s="3435" t="s">
        <v>2930</v>
      </c>
      <c r="D5" s="3436"/>
      <c r="E5" s="3455" t="s">
        <v>2931</v>
      </c>
      <c r="F5" s="3456"/>
      <c r="G5" s="3435" t="s">
        <v>2932</v>
      </c>
      <c r="H5" s="3436"/>
      <c r="I5" s="3435" t="s">
        <v>2933</v>
      </c>
      <c r="J5" s="3436"/>
      <c r="K5" s="854"/>
      <c r="L5" s="2134"/>
      <c r="M5" s="2135"/>
      <c r="N5" s="2135"/>
      <c r="O5" s="2135"/>
      <c r="P5" s="3423"/>
      <c r="Q5" s="3424"/>
      <c r="R5" s="3429"/>
      <c r="S5" s="3430"/>
      <c r="T5" s="3429"/>
      <c r="U5" s="3430"/>
      <c r="V5" s="3414"/>
      <c r="W5" s="3414"/>
      <c r="X5" s="1568"/>
      <c r="Y5" s="3429"/>
      <c r="Z5" s="3430"/>
      <c r="AA5" s="3417"/>
      <c r="AB5" s="3417"/>
      <c r="AC5" s="3417"/>
    </row>
    <row r="6" spans="1:29" ht="15.75" thickBot="1">
      <c r="A6" s="517"/>
      <c r="B6" s="518"/>
      <c r="C6" s="3433" t="s">
        <v>2934</v>
      </c>
      <c r="D6" s="3434"/>
      <c r="E6" s="3451" t="s">
        <v>2934</v>
      </c>
      <c r="F6" s="3452"/>
      <c r="G6" s="3433" t="s">
        <v>2934</v>
      </c>
      <c r="H6" s="3434"/>
      <c r="I6" s="3433" t="s">
        <v>2934</v>
      </c>
      <c r="J6" s="3434"/>
      <c r="K6" s="854" t="s">
        <v>528</v>
      </c>
      <c r="L6" s="2134"/>
      <c r="M6" s="2135"/>
      <c r="N6" s="2135"/>
      <c r="O6" s="2135"/>
      <c r="P6" s="3425"/>
      <c r="Q6" s="3426"/>
      <c r="R6" s="3429"/>
      <c r="S6" s="3430"/>
      <c r="T6" s="3431"/>
      <c r="U6" s="3432"/>
      <c r="V6" s="3414"/>
      <c r="W6" s="3414"/>
      <c r="X6" s="1568"/>
      <c r="Y6" s="3431"/>
      <c r="Z6" s="3432"/>
      <c r="AA6" s="3418"/>
      <c r="AB6" s="3418"/>
      <c r="AC6" s="3418"/>
    </row>
    <row r="7" spans="1:29" s="1220" customFormat="1" ht="15.75" thickBot="1">
      <c r="A7" s="2891"/>
      <c r="B7" s="2898" t="s">
        <v>529</v>
      </c>
      <c r="C7" s="519">
        <f>'数据-取费表'!B2</f>
        <v>43555</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44" t="s">
        <v>530</v>
      </c>
      <c r="Q7" s="3446"/>
      <c r="R7" s="1569" t="s">
        <v>13</v>
      </c>
      <c r="S7" s="1570">
        <f t="shared" ref="S7:S15" si="0">F7</f>
        <v>0</v>
      </c>
      <c r="T7" s="1569" t="s">
        <v>13</v>
      </c>
      <c r="U7" s="1570">
        <f t="shared" ref="U7:U15" si="1">H7</f>
        <v>0</v>
      </c>
      <c r="V7" s="1569" t="s">
        <v>13</v>
      </c>
      <c r="W7" s="1570">
        <f t="shared" ref="W7:W15"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44" t="s">
        <v>533</v>
      </c>
      <c r="Q8" s="3445"/>
      <c r="R8" s="1569" t="s">
        <v>13</v>
      </c>
      <c r="S8" s="1570">
        <f t="shared" si="0"/>
        <v>0</v>
      </c>
      <c r="T8" s="1569" t="s">
        <v>13</v>
      </c>
      <c r="U8" s="1570">
        <f t="shared" si="1"/>
        <v>0</v>
      </c>
      <c r="V8" s="1569" t="s">
        <v>13</v>
      </c>
      <c r="W8" s="1570">
        <f t="shared" si="2"/>
        <v>0</v>
      </c>
      <c r="X8" s="1571"/>
      <c r="Y8" s="3444" t="s">
        <v>533</v>
      </c>
      <c r="Z8" s="344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13"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13"/>
      <c r="Q11" s="1151" t="str">
        <f t="shared" si="6"/>
        <v>容积率</v>
      </c>
      <c r="R11" s="1569" t="s">
        <v>11</v>
      </c>
      <c r="S11" s="1570" t="e">
        <f t="shared" si="0"/>
        <v>#N/A</v>
      </c>
      <c r="T11" s="1569" t="s">
        <v>11</v>
      </c>
      <c r="U11" s="1570" t="e">
        <f t="shared" si="1"/>
        <v>#N/A</v>
      </c>
      <c r="V11" s="1569" t="s">
        <v>11</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3"/>
      <c r="Q12" s="1151">
        <f t="shared" si="6"/>
        <v>111</v>
      </c>
      <c r="R12" s="1569" t="s">
        <v>11</v>
      </c>
      <c r="S12" s="1570">
        <f t="shared" si="0"/>
        <v>100</v>
      </c>
      <c r="T12" s="1569" t="s">
        <v>11</v>
      </c>
      <c r="U12" s="1570">
        <f t="shared" si="1"/>
        <v>100</v>
      </c>
      <c r="V12" s="1569" t="s">
        <v>11</v>
      </c>
      <c r="W12" s="1570">
        <f t="shared" si="2"/>
        <v>100</v>
      </c>
      <c r="X12" s="1571"/>
      <c r="Y12" s="335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3"/>
      <c r="Q13" s="1151">
        <f t="shared" si="6"/>
        <v>111</v>
      </c>
      <c r="R13" s="1569" t="s">
        <v>11</v>
      </c>
      <c r="S13" s="1570">
        <f t="shared" si="0"/>
        <v>100</v>
      </c>
      <c r="T13" s="1569" t="s">
        <v>11</v>
      </c>
      <c r="U13" s="1570">
        <f t="shared" si="1"/>
        <v>100</v>
      </c>
      <c r="V13" s="1569" t="s">
        <v>11</v>
      </c>
      <c r="W13" s="1570">
        <f t="shared" si="2"/>
        <v>100</v>
      </c>
      <c r="X13" s="1571"/>
      <c r="Y13" s="335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3"/>
      <c r="Q14" s="1151">
        <f t="shared" si="6"/>
        <v>111</v>
      </c>
      <c r="R14" s="1569" t="s">
        <v>11</v>
      </c>
      <c r="S14" s="1570">
        <f t="shared" si="0"/>
        <v>100</v>
      </c>
      <c r="T14" s="1569" t="s">
        <v>11</v>
      </c>
      <c r="U14" s="1570">
        <f t="shared" si="1"/>
        <v>100</v>
      </c>
      <c r="V14" s="1569" t="s">
        <v>11</v>
      </c>
      <c r="W14" s="1570">
        <f t="shared" si="2"/>
        <v>100</v>
      </c>
      <c r="X14" s="1571"/>
      <c r="Y14" s="335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47" t="s">
        <v>540</v>
      </c>
      <c r="Q15" s="1573" t="str">
        <f t="shared" si="6"/>
        <v>居住社区成熟度</v>
      </c>
      <c r="R15" s="1574" t="s">
        <v>11</v>
      </c>
      <c r="S15" s="1575">
        <f t="shared" si="0"/>
        <v>100</v>
      </c>
      <c r="T15" s="1574" t="s">
        <v>11</v>
      </c>
      <c r="U15" s="1575">
        <f t="shared" si="1"/>
        <v>100</v>
      </c>
      <c r="V15" s="1574" t="s">
        <v>11</v>
      </c>
      <c r="W15" s="1575">
        <f t="shared" si="2"/>
        <v>100</v>
      </c>
      <c r="X15" s="1568"/>
      <c r="Y15" s="344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48"/>
      <c r="Q16" s="1573"/>
      <c r="R16" s="1574"/>
      <c r="S16" s="1575"/>
      <c r="T16" s="1574"/>
      <c r="U16" s="1575"/>
      <c r="V16" s="1574"/>
      <c r="W16" s="1575"/>
      <c r="X16" s="1568"/>
      <c r="Y16" s="344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48"/>
      <c r="Q17" s="1573" t="str">
        <f>B17</f>
        <v>交通便捷度</v>
      </c>
      <c r="R17" s="1574" t="s">
        <v>11</v>
      </c>
      <c r="S17" s="1575">
        <f>F17</f>
        <v>100</v>
      </c>
      <c r="T17" s="1574" t="s">
        <v>11</v>
      </c>
      <c r="U17" s="1575">
        <f>H17</f>
        <v>100</v>
      </c>
      <c r="V17" s="1574" t="s">
        <v>11</v>
      </c>
      <c r="W17" s="1575">
        <f>J17</f>
        <v>100</v>
      </c>
      <c r="X17" s="1568"/>
      <c r="Y17" s="344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48"/>
      <c r="Q18" s="1573"/>
      <c r="R18" s="1574"/>
      <c r="S18" s="1575"/>
      <c r="T18" s="1574"/>
      <c r="U18" s="1575"/>
      <c r="V18" s="1574"/>
      <c r="W18" s="1575"/>
      <c r="X18" s="1568"/>
      <c r="Y18" s="3448"/>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48"/>
      <c r="Q19" s="1573" t="str">
        <f>B19</f>
        <v>公共配套设施</v>
      </c>
      <c r="R19" s="1574" t="s">
        <v>11</v>
      </c>
      <c r="S19" s="1575">
        <f>F19</f>
        <v>100</v>
      </c>
      <c r="T19" s="1574" t="s">
        <v>11</v>
      </c>
      <c r="U19" s="1575">
        <f>H19</f>
        <v>100</v>
      </c>
      <c r="V19" s="1574" t="s">
        <v>11</v>
      </c>
      <c r="W19" s="1575">
        <f>J19</f>
        <v>100</v>
      </c>
      <c r="X19" s="1568"/>
      <c r="Y19" s="344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48"/>
      <c r="Q20" s="1573"/>
      <c r="R20" s="1574"/>
      <c r="S20" s="1575"/>
      <c r="T20" s="1574"/>
      <c r="U20" s="1575"/>
      <c r="V20" s="1574"/>
      <c r="W20" s="1575"/>
      <c r="X20" s="1568"/>
      <c r="Y20" s="3448"/>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48"/>
      <c r="Q21" s="2559" t="str">
        <f>B21</f>
        <v>基础设施水平</v>
      </c>
      <c r="R21" s="1574" t="s">
        <v>11</v>
      </c>
      <c r="S21" s="1575">
        <f>F21</f>
        <v>100</v>
      </c>
      <c r="T21" s="1574" t="s">
        <v>11</v>
      </c>
      <c r="U21" s="1575">
        <f>H21</f>
        <v>100</v>
      </c>
      <c r="V21" s="1574" t="s">
        <v>11</v>
      </c>
      <c r="W21" s="1575">
        <f>J21</f>
        <v>100</v>
      </c>
      <c r="X21" s="2561"/>
      <c r="Y21" s="3448"/>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48"/>
      <c r="Q22" s="2559"/>
      <c r="R22" s="1574"/>
      <c r="S22" s="1575"/>
      <c r="T22" s="1574"/>
      <c r="U22" s="1575"/>
      <c r="V22" s="1574"/>
      <c r="W22" s="1575"/>
      <c r="X22" s="2561"/>
      <c r="Y22" s="3448"/>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48"/>
      <c r="Q23" s="1573" t="str">
        <f>B23</f>
        <v>自然及人文环境</v>
      </c>
      <c r="R23" s="1574" t="s">
        <v>11</v>
      </c>
      <c r="S23" s="1575">
        <f>F23</f>
        <v>100</v>
      </c>
      <c r="T23" s="1574" t="s">
        <v>11</v>
      </c>
      <c r="U23" s="1575">
        <f>H23</f>
        <v>100</v>
      </c>
      <c r="V23" s="1574" t="s">
        <v>11</v>
      </c>
      <c r="W23" s="1575">
        <f>J23</f>
        <v>100</v>
      </c>
      <c r="X23" s="1568"/>
      <c r="Y23" s="344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48"/>
      <c r="Q24" s="1573"/>
      <c r="R24" s="1574"/>
      <c r="S24" s="1575"/>
      <c r="T24" s="1574"/>
      <c r="U24" s="1575"/>
      <c r="V24" s="1574"/>
      <c r="W24" s="1575"/>
      <c r="X24" s="1568"/>
      <c r="Y24" s="3448"/>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8"/>
      <c r="Q25" s="1573" t="str">
        <f t="shared" ref="Q25:Q46" si="11">B25</f>
        <v>楼层-1</v>
      </c>
      <c r="R25" s="1574" t="s">
        <v>11</v>
      </c>
      <c r="S25" s="1575">
        <f>F25</f>
        <v>100</v>
      </c>
      <c r="T25" s="1574" t="s">
        <v>11</v>
      </c>
      <c r="U25" s="1575">
        <f>H25</f>
        <v>100</v>
      </c>
      <c r="V25" s="1574" t="s">
        <v>11</v>
      </c>
      <c r="W25" s="1575">
        <f>J25</f>
        <v>100</v>
      </c>
      <c r="X25" s="1568"/>
      <c r="Y25" s="344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8"/>
      <c r="Q26" s="1573" t="str">
        <f t="shared" si="11"/>
        <v>朝向</v>
      </c>
      <c r="R26" s="1574" t="s">
        <v>11</v>
      </c>
      <c r="S26" s="1575">
        <f>F26</f>
        <v>100</v>
      </c>
      <c r="T26" s="1574" t="s">
        <v>11</v>
      </c>
      <c r="U26" s="1575">
        <f>H26</f>
        <v>100</v>
      </c>
      <c r="V26" s="1574" t="s">
        <v>11</v>
      </c>
      <c r="W26" s="1575">
        <f>J26</f>
        <v>100</v>
      </c>
      <c r="X26" s="1568"/>
      <c r="Y26" s="344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48"/>
      <c r="Q27" s="1151" t="str">
        <f t="shared" si="11"/>
        <v>道路级别</v>
      </c>
      <c r="R27" s="1569" t="s">
        <v>11</v>
      </c>
      <c r="S27" s="1570">
        <f>F27</f>
        <v>100</v>
      </c>
      <c r="T27" s="1569" t="s">
        <v>11</v>
      </c>
      <c r="U27" s="1570">
        <f>H27</f>
        <v>100</v>
      </c>
      <c r="V27" s="1569" t="s">
        <v>11</v>
      </c>
      <c r="W27" s="1570">
        <f>J27</f>
        <v>100</v>
      </c>
      <c r="X27" s="1571"/>
      <c r="Y27" s="344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8"/>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8"/>
      <c r="Q29" s="1573">
        <f t="shared" si="11"/>
        <v>111</v>
      </c>
      <c r="R29" s="1574" t="s">
        <v>11</v>
      </c>
      <c r="S29" s="1575">
        <f t="shared" si="12"/>
        <v>100</v>
      </c>
      <c r="T29" s="1574" t="s">
        <v>11</v>
      </c>
      <c r="U29" s="1575">
        <f t="shared" si="13"/>
        <v>100</v>
      </c>
      <c r="V29" s="1574" t="s">
        <v>11</v>
      </c>
      <c r="W29" s="1575">
        <f t="shared" si="14"/>
        <v>100</v>
      </c>
      <c r="X29" s="1568"/>
      <c r="Y29" s="344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8"/>
      <c r="Q30" s="1573">
        <f t="shared" si="11"/>
        <v>111</v>
      </c>
      <c r="R30" s="1574" t="s">
        <v>11</v>
      </c>
      <c r="S30" s="1575">
        <f t="shared" si="12"/>
        <v>100</v>
      </c>
      <c r="T30" s="1574" t="s">
        <v>11</v>
      </c>
      <c r="U30" s="1575">
        <f t="shared" si="13"/>
        <v>100</v>
      </c>
      <c r="V30" s="1574" t="s">
        <v>11</v>
      </c>
      <c r="W30" s="1575">
        <f t="shared" si="14"/>
        <v>100</v>
      </c>
      <c r="X30" s="1568"/>
      <c r="Y30" s="344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8"/>
      <c r="Q31" s="1573">
        <f t="shared" si="11"/>
        <v>111</v>
      </c>
      <c r="R31" s="1574" t="s">
        <v>11</v>
      </c>
      <c r="S31" s="1575">
        <f t="shared" si="12"/>
        <v>100</v>
      </c>
      <c r="T31" s="1574" t="s">
        <v>11</v>
      </c>
      <c r="U31" s="1575">
        <f t="shared" si="13"/>
        <v>100</v>
      </c>
      <c r="V31" s="1574" t="s">
        <v>11</v>
      </c>
      <c r="W31" s="1575">
        <f t="shared" si="14"/>
        <v>100</v>
      </c>
      <c r="X31" s="1568"/>
      <c r="Y31" s="3448"/>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49" t="s">
        <v>550</v>
      </c>
      <c r="Q32" s="1573" t="str">
        <f t="shared" si="11"/>
        <v>建筑类型</v>
      </c>
      <c r="R32" s="1574" t="s">
        <v>11</v>
      </c>
      <c r="S32" s="1575">
        <f t="shared" si="12"/>
        <v>100</v>
      </c>
      <c r="T32" s="1574" t="s">
        <v>11</v>
      </c>
      <c r="U32" s="1575">
        <f t="shared" si="13"/>
        <v>100</v>
      </c>
      <c r="V32" s="1574" t="s">
        <v>11</v>
      </c>
      <c r="W32" s="1575">
        <f t="shared" si="14"/>
        <v>100</v>
      </c>
      <c r="X32" s="1568"/>
      <c r="Y32" s="345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50"/>
      <c r="Q33" s="1606" t="str">
        <f t="shared" si="11"/>
        <v>项目建筑规模</v>
      </c>
      <c r="R33" s="1578" t="s">
        <v>11</v>
      </c>
      <c r="S33" s="1579" t="e">
        <f t="shared" si="12"/>
        <v>#N/A</v>
      </c>
      <c r="T33" s="1578" t="s">
        <v>11</v>
      </c>
      <c r="U33" s="1579" t="e">
        <f t="shared" si="13"/>
        <v>#N/A</v>
      </c>
      <c r="V33" s="1578" t="s">
        <v>11</v>
      </c>
      <c r="W33" s="1579" t="e">
        <f t="shared" si="14"/>
        <v>#N/A</v>
      </c>
      <c r="X33" s="1580"/>
      <c r="Y33" s="345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50"/>
      <c r="Q34" s="1573" t="str">
        <f t="shared" si="11"/>
        <v>建筑结构</v>
      </c>
      <c r="R34" s="1574" t="s">
        <v>11</v>
      </c>
      <c r="S34" s="1575">
        <f t="shared" si="12"/>
        <v>100</v>
      </c>
      <c r="T34" s="1574" t="s">
        <v>11</v>
      </c>
      <c r="U34" s="1575">
        <f t="shared" si="13"/>
        <v>100</v>
      </c>
      <c r="V34" s="1574" t="s">
        <v>11</v>
      </c>
      <c r="W34" s="1575">
        <f t="shared" si="14"/>
        <v>100</v>
      </c>
      <c r="X34" s="1568"/>
      <c r="Y34" s="345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50"/>
      <c r="Q35" s="1573" t="str">
        <f t="shared" si="11"/>
        <v>建筑品质</v>
      </c>
      <c r="R35" s="1574" t="s">
        <v>11</v>
      </c>
      <c r="S35" s="1575">
        <f t="shared" si="12"/>
        <v>100</v>
      </c>
      <c r="T35" s="1574" t="s">
        <v>11</v>
      </c>
      <c r="U35" s="1575">
        <f t="shared" si="13"/>
        <v>100</v>
      </c>
      <c r="V35" s="1574" t="s">
        <v>11</v>
      </c>
      <c r="W35" s="1575">
        <f t="shared" si="14"/>
        <v>100</v>
      </c>
      <c r="X35" s="1568"/>
      <c r="Y35" s="345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50"/>
      <c r="Q36" s="1573" t="str">
        <f t="shared" si="11"/>
        <v>公共部分装修</v>
      </c>
      <c r="R36" s="1574" t="s">
        <v>11</v>
      </c>
      <c r="S36" s="1575">
        <f t="shared" si="12"/>
        <v>100</v>
      </c>
      <c r="T36" s="1574" t="s">
        <v>11</v>
      </c>
      <c r="U36" s="1575">
        <f t="shared" si="13"/>
        <v>100</v>
      </c>
      <c r="V36" s="1574" t="s">
        <v>11</v>
      </c>
      <c r="W36" s="1575">
        <f t="shared" si="14"/>
        <v>100</v>
      </c>
      <c r="X36" s="1568"/>
      <c r="Y36" s="345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50"/>
      <c r="Q37" s="1151" t="str">
        <f t="shared" si="11"/>
        <v>成新度</v>
      </c>
      <c r="R37" s="1569" t="s">
        <v>11</v>
      </c>
      <c r="S37" s="1570" t="e">
        <f t="shared" si="12"/>
        <v>#N/A</v>
      </c>
      <c r="T37" s="1569" t="s">
        <v>11</v>
      </c>
      <c r="U37" s="1570" t="e">
        <f t="shared" si="13"/>
        <v>#N/A</v>
      </c>
      <c r="V37" s="1569" t="s">
        <v>11</v>
      </c>
      <c r="W37" s="1570" t="e">
        <f t="shared" si="14"/>
        <v>#N/A</v>
      </c>
      <c r="X37" s="1571"/>
      <c r="Y37" s="345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50" t="s">
        <v>550</v>
      </c>
      <c r="Q38" s="1573" t="str">
        <f t="shared" si="11"/>
        <v>物业管理</v>
      </c>
      <c r="R38" s="1574" t="s">
        <v>11</v>
      </c>
      <c r="S38" s="1575">
        <f t="shared" si="12"/>
        <v>100</v>
      </c>
      <c r="T38" s="1574" t="s">
        <v>11</v>
      </c>
      <c r="U38" s="1575">
        <f t="shared" si="13"/>
        <v>100</v>
      </c>
      <c r="V38" s="1574" t="s">
        <v>11</v>
      </c>
      <c r="W38" s="1575">
        <f t="shared" si="14"/>
        <v>100</v>
      </c>
      <c r="X38" s="1568"/>
      <c r="Y38" s="3450"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50"/>
      <c r="Q39" s="1573" t="str">
        <f t="shared" si="11"/>
        <v>市政基础设施</v>
      </c>
      <c r="R39" s="1574" t="s">
        <v>11</v>
      </c>
      <c r="S39" s="1575">
        <f t="shared" si="12"/>
        <v>100</v>
      </c>
      <c r="T39" s="1574" t="s">
        <v>11</v>
      </c>
      <c r="U39" s="1575">
        <f t="shared" si="13"/>
        <v>100</v>
      </c>
      <c r="V39" s="1574" t="s">
        <v>11</v>
      </c>
      <c r="W39" s="1575">
        <f t="shared" si="14"/>
        <v>100</v>
      </c>
      <c r="X39" s="1568"/>
      <c r="Y39" s="345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50"/>
      <c r="Q40" s="1573" t="str">
        <f t="shared" si="11"/>
        <v>房型</v>
      </c>
      <c r="R40" s="1574" t="s">
        <v>11</v>
      </c>
      <c r="S40" s="1575">
        <f t="shared" si="12"/>
        <v>100</v>
      </c>
      <c r="T40" s="1574" t="s">
        <v>11</v>
      </c>
      <c r="U40" s="1575">
        <f t="shared" si="13"/>
        <v>100</v>
      </c>
      <c r="V40" s="1574" t="s">
        <v>11</v>
      </c>
      <c r="W40" s="1575">
        <f t="shared" si="14"/>
        <v>100</v>
      </c>
      <c r="X40" s="1568"/>
      <c r="Y40" s="345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50"/>
      <c r="Q41" s="1606" t="str">
        <f t="shared" si="11"/>
        <v>单套/主力户型建筑面积</v>
      </c>
      <c r="R41" s="1578" t="s">
        <v>11</v>
      </c>
      <c r="S41" s="1579">
        <f t="shared" si="12"/>
        <v>100</v>
      </c>
      <c r="T41" s="1578" t="s">
        <v>11</v>
      </c>
      <c r="U41" s="1579">
        <f t="shared" si="13"/>
        <v>100</v>
      </c>
      <c r="V41" s="1578" t="s">
        <v>11</v>
      </c>
      <c r="W41" s="1579">
        <f t="shared" si="14"/>
        <v>100</v>
      </c>
      <c r="X41" s="1580"/>
      <c r="Y41" s="345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50"/>
      <c r="Q42" s="1573" t="str">
        <f t="shared" si="11"/>
        <v>内部装修</v>
      </c>
      <c r="R42" s="1574" t="s">
        <v>11</v>
      </c>
      <c r="S42" s="1575">
        <f t="shared" si="12"/>
        <v>100</v>
      </c>
      <c r="T42" s="1574" t="s">
        <v>11</v>
      </c>
      <c r="U42" s="1575">
        <f t="shared" si="13"/>
        <v>100</v>
      </c>
      <c r="V42" s="1574" t="s">
        <v>11</v>
      </c>
      <c r="W42" s="1575">
        <f t="shared" si="14"/>
        <v>100</v>
      </c>
      <c r="X42" s="1568"/>
      <c r="Y42" s="345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50"/>
      <c r="Q43" s="1573" t="str">
        <f t="shared" si="11"/>
        <v>内部装修维护情况</v>
      </c>
      <c r="R43" s="1574" t="s">
        <v>11</v>
      </c>
      <c r="S43" s="1575">
        <f t="shared" si="12"/>
        <v>100</v>
      </c>
      <c r="T43" s="1574" t="s">
        <v>11</v>
      </c>
      <c r="U43" s="1575">
        <f t="shared" si="13"/>
        <v>100</v>
      </c>
      <c r="V43" s="1574" t="s">
        <v>11</v>
      </c>
      <c r="W43" s="1575">
        <f t="shared" si="14"/>
        <v>100</v>
      </c>
      <c r="X43" s="1568"/>
      <c r="Y43" s="345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50"/>
      <c r="Q44" s="1151">
        <f t="shared" si="11"/>
        <v>111</v>
      </c>
      <c r="R44" s="1569" t="s">
        <v>11</v>
      </c>
      <c r="S44" s="1570">
        <f t="shared" si="12"/>
        <v>100</v>
      </c>
      <c r="T44" s="1569" t="s">
        <v>11</v>
      </c>
      <c r="U44" s="1570">
        <f t="shared" si="13"/>
        <v>100</v>
      </c>
      <c r="V44" s="1569" t="s">
        <v>11</v>
      </c>
      <c r="W44" s="1570">
        <f t="shared" si="14"/>
        <v>100</v>
      </c>
      <c r="X44" s="1571"/>
      <c r="Y44" s="345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50"/>
      <c r="Q45" s="1573">
        <f t="shared" si="11"/>
        <v>111</v>
      </c>
      <c r="R45" s="1574" t="s">
        <v>11</v>
      </c>
      <c r="S45" s="1575">
        <f t="shared" si="12"/>
        <v>100</v>
      </c>
      <c r="T45" s="1574" t="s">
        <v>11</v>
      </c>
      <c r="U45" s="1575">
        <f t="shared" si="13"/>
        <v>100</v>
      </c>
      <c r="V45" s="1574" t="s">
        <v>11</v>
      </c>
      <c r="W45" s="1575">
        <f t="shared" si="14"/>
        <v>100</v>
      </c>
      <c r="X45" s="1568"/>
      <c r="Y45" s="345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30"/>
      <c r="Q46" s="1573">
        <f t="shared" si="11"/>
        <v>111</v>
      </c>
      <c r="R46" s="1574" t="s">
        <v>10</v>
      </c>
      <c r="S46" s="1575">
        <f t="shared" si="12"/>
        <v>100</v>
      </c>
      <c r="T46" s="1574" t="s">
        <v>10</v>
      </c>
      <c r="U46" s="1575">
        <f t="shared" si="13"/>
        <v>100</v>
      </c>
      <c r="V46" s="1574" t="s">
        <v>10</v>
      </c>
      <c r="W46" s="1575">
        <f t="shared" si="14"/>
        <v>100</v>
      </c>
      <c r="X46" s="1568"/>
      <c r="Y46" s="3530"/>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413" t="str">
        <f>A47</f>
        <v>成交单价（元/平方米）</v>
      </c>
      <c r="Q47" s="3413"/>
      <c r="R47" s="3529">
        <f>E47</f>
        <v>0</v>
      </c>
      <c r="S47" s="3529"/>
      <c r="T47" s="3529">
        <f>G47</f>
        <v>0</v>
      </c>
      <c r="U47" s="3529"/>
      <c r="V47" s="3529">
        <f>I47</f>
        <v>0</v>
      </c>
      <c r="W47" s="3529"/>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413" t="str">
        <f>A48</f>
        <v>比较价格（元/平方米）</v>
      </c>
      <c r="Q48" s="3413"/>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60"/>
      <c r="Y48" s="1560"/>
      <c r="Z48" s="1560"/>
      <c r="AA48" s="1560"/>
      <c r="AB48" s="1560"/>
      <c r="AC48" s="1560"/>
    </row>
    <row r="49" spans="1:29" ht="15.75" thickBot="1">
      <c r="A49" s="621" t="s">
        <v>2936</v>
      </c>
      <c r="B49" s="622"/>
      <c r="C49" s="2616" t="e">
        <f>R49</f>
        <v>#DIV/0!</v>
      </c>
      <c r="D49" s="2616"/>
      <c r="E49" s="2616"/>
      <c r="F49" s="2616"/>
      <c r="G49" s="2616"/>
      <c r="H49" s="2616"/>
      <c r="I49" s="2616"/>
      <c r="J49" s="2616"/>
      <c r="K49" s="1609"/>
      <c r="L49" s="2145"/>
      <c r="M49" s="2146"/>
      <c r="N49" s="2146"/>
      <c r="O49" s="2146"/>
      <c r="P49" s="3410" t="str">
        <f>A49</f>
        <v>估价对象XX用房的比较价格（楼面单价，元/平方米）</v>
      </c>
      <c r="Q49" s="3411"/>
      <c r="R49" s="3528" t="e">
        <f>IF(F1="售价",ROUND(AVERAGE(R48:V48),0),ROUND(AVERAGE(R48:V48),1))</f>
        <v>#DIV/0!</v>
      </c>
      <c r="S49" s="3528"/>
      <c r="T49" s="3528"/>
      <c r="U49" s="3528"/>
      <c r="V49" s="3528"/>
      <c r="W49" s="352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19" t="s">
        <v>522</v>
      </c>
      <c r="D4" s="3420"/>
      <c r="E4" s="3453" t="s">
        <v>523</v>
      </c>
      <c r="F4" s="3454"/>
      <c r="G4" s="3419" t="s">
        <v>524</v>
      </c>
      <c r="H4" s="3420"/>
      <c r="I4" s="3419" t="s">
        <v>525</v>
      </c>
      <c r="J4" s="3420"/>
      <c r="K4" s="514" t="s">
        <v>526</v>
      </c>
      <c r="L4" s="2134"/>
      <c r="M4" s="2135"/>
      <c r="N4" s="2135"/>
      <c r="O4" s="2135"/>
      <c r="P4" s="3421" t="s">
        <v>527</v>
      </c>
      <c r="Q4" s="3422"/>
      <c r="R4" s="3427" t="s">
        <v>523</v>
      </c>
      <c r="S4" s="3428"/>
      <c r="T4" s="3427" t="s">
        <v>524</v>
      </c>
      <c r="U4" s="3428"/>
      <c r="V4" s="3414" t="s">
        <v>525</v>
      </c>
      <c r="W4" s="3414"/>
      <c r="X4" s="1568"/>
      <c r="Y4" s="3427" t="s">
        <v>527</v>
      </c>
      <c r="Z4" s="3428"/>
      <c r="AA4" s="3416" t="s">
        <v>523</v>
      </c>
      <c r="AB4" s="3414" t="s">
        <v>524</v>
      </c>
      <c r="AC4" s="3416" t="s">
        <v>525</v>
      </c>
    </row>
    <row r="5" spans="1:29" ht="15">
      <c r="A5" s="515"/>
      <c r="B5" s="516"/>
      <c r="C5" s="3435" t="s">
        <v>2930</v>
      </c>
      <c r="D5" s="3436"/>
      <c r="E5" s="3455" t="s">
        <v>2931</v>
      </c>
      <c r="F5" s="3456"/>
      <c r="G5" s="3435" t="s">
        <v>2932</v>
      </c>
      <c r="H5" s="3436"/>
      <c r="I5" s="3435" t="s">
        <v>2933</v>
      </c>
      <c r="J5" s="3436"/>
      <c r="K5" s="514"/>
      <c r="L5" s="2134"/>
      <c r="M5" s="2135"/>
      <c r="N5" s="2135"/>
      <c r="O5" s="2135"/>
      <c r="P5" s="3423"/>
      <c r="Q5" s="3424"/>
      <c r="R5" s="3429"/>
      <c r="S5" s="3430"/>
      <c r="T5" s="3429"/>
      <c r="U5" s="3430"/>
      <c r="V5" s="3414"/>
      <c r="W5" s="3414"/>
      <c r="X5" s="1568"/>
      <c r="Y5" s="3429"/>
      <c r="Z5" s="3430"/>
      <c r="AA5" s="3417"/>
      <c r="AB5" s="3414"/>
      <c r="AC5" s="3417"/>
    </row>
    <row r="6" spans="1:29" ht="15.75" thickBot="1">
      <c r="A6" s="517"/>
      <c r="B6" s="518"/>
      <c r="C6" s="3433" t="s">
        <v>2934</v>
      </c>
      <c r="D6" s="3434"/>
      <c r="E6" s="3451" t="s">
        <v>2934</v>
      </c>
      <c r="F6" s="3452"/>
      <c r="G6" s="3433" t="s">
        <v>2934</v>
      </c>
      <c r="H6" s="3434"/>
      <c r="I6" s="3433" t="s">
        <v>2934</v>
      </c>
      <c r="J6" s="3434"/>
      <c r="K6" s="514" t="s">
        <v>528</v>
      </c>
      <c r="L6" s="2134"/>
      <c r="M6" s="2135"/>
      <c r="N6" s="2135"/>
      <c r="O6" s="2135"/>
      <c r="P6" s="3425"/>
      <c r="Q6" s="3426"/>
      <c r="R6" s="3429"/>
      <c r="S6" s="3430"/>
      <c r="T6" s="3431"/>
      <c r="U6" s="3432"/>
      <c r="V6" s="3414"/>
      <c r="W6" s="3414"/>
      <c r="X6" s="1568"/>
      <c r="Y6" s="3431"/>
      <c r="Z6" s="3432"/>
      <c r="AA6" s="3418"/>
      <c r="AB6" s="3414"/>
      <c r="AC6" s="3418"/>
    </row>
    <row r="7" spans="1:29" s="1220" customFormat="1" ht="15.75" thickBot="1">
      <c r="A7" s="2891"/>
      <c r="B7" s="2898" t="s">
        <v>529</v>
      </c>
      <c r="C7" s="519">
        <f>'数据-取费表'!B2</f>
        <v>43555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4" t="s">
        <v>530</v>
      </c>
      <c r="Q7" s="3446"/>
      <c r="R7" s="1569" t="s">
        <v>8</v>
      </c>
      <c r="S7" s="1570">
        <f t="shared" ref="S7:S15" si="0">F7</f>
        <v>0</v>
      </c>
      <c r="T7" s="1569" t="s">
        <v>8</v>
      </c>
      <c r="U7" s="1570">
        <f t="shared" ref="U7:U15" si="1">H7</f>
        <v>0</v>
      </c>
      <c r="V7" s="1569" t="s">
        <v>8</v>
      </c>
      <c r="W7" s="1570">
        <f t="shared" ref="W7:W15"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4" t="s">
        <v>533</v>
      </c>
      <c r="Q8" s="3445"/>
      <c r="R8" s="1569" t="s">
        <v>8</v>
      </c>
      <c r="S8" s="1570">
        <f t="shared" si="0"/>
        <v>0</v>
      </c>
      <c r="T8" s="1569" t="s">
        <v>8</v>
      </c>
      <c r="U8" s="1570">
        <f t="shared" si="1"/>
        <v>0</v>
      </c>
      <c r="V8" s="1569" t="s">
        <v>8</v>
      </c>
      <c r="W8" s="1570">
        <f t="shared" si="2"/>
        <v>0</v>
      </c>
      <c r="X8" s="1571"/>
      <c r="Y8" s="3444" t="s">
        <v>533</v>
      </c>
      <c r="Z8" s="344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13"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13"/>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3"/>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3"/>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3"/>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47" t="s">
        <v>540</v>
      </c>
      <c r="Q15" s="1573" t="str">
        <f t="shared" si="6"/>
        <v>商业繁华度</v>
      </c>
      <c r="R15" s="1574" t="s">
        <v>8</v>
      </c>
      <c r="S15" s="1575">
        <f t="shared" si="0"/>
        <v>100</v>
      </c>
      <c r="T15" s="1574" t="s">
        <v>8</v>
      </c>
      <c r="U15" s="1575">
        <f t="shared" si="1"/>
        <v>100</v>
      </c>
      <c r="V15" s="1574" t="s">
        <v>8</v>
      </c>
      <c r="W15" s="1575">
        <f t="shared" si="2"/>
        <v>100</v>
      </c>
      <c r="X15" s="1568"/>
      <c r="Y15" s="344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8"/>
      <c r="Q16" s="1573"/>
      <c r="R16" s="1574"/>
      <c r="S16" s="1575"/>
      <c r="T16" s="1574"/>
      <c r="U16" s="1575"/>
      <c r="V16" s="1574"/>
      <c r="W16" s="1575"/>
      <c r="X16" s="1568"/>
      <c r="Y16" s="344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48"/>
      <c r="Q17" s="1573" t="str">
        <f>B17</f>
        <v>交通便捷度</v>
      </c>
      <c r="R17" s="1574" t="s">
        <v>8</v>
      </c>
      <c r="S17" s="1575">
        <f>F17</f>
        <v>100</v>
      </c>
      <c r="T17" s="1574" t="s">
        <v>8</v>
      </c>
      <c r="U17" s="1575">
        <f>H17</f>
        <v>100</v>
      </c>
      <c r="V17" s="1574" t="s">
        <v>8</v>
      </c>
      <c r="W17" s="1575">
        <f>J17</f>
        <v>100</v>
      </c>
      <c r="X17" s="1568"/>
      <c r="Y17" s="344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8"/>
      <c r="Q18" s="1573"/>
      <c r="R18" s="1574"/>
      <c r="S18" s="1575"/>
      <c r="T18" s="1574"/>
      <c r="U18" s="1575"/>
      <c r="V18" s="1574"/>
      <c r="W18" s="1575"/>
      <c r="X18" s="1568"/>
      <c r="Y18" s="3448"/>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48"/>
      <c r="Q19" s="1573" t="str">
        <f>B19</f>
        <v>公共配套设施</v>
      </c>
      <c r="R19" s="1574" t="s">
        <v>8</v>
      </c>
      <c r="S19" s="1575">
        <f>F19</f>
        <v>100</v>
      </c>
      <c r="T19" s="1574" t="s">
        <v>8</v>
      </c>
      <c r="U19" s="1575">
        <f>H19</f>
        <v>100</v>
      </c>
      <c r="V19" s="1574" t="s">
        <v>8</v>
      </c>
      <c r="W19" s="1575">
        <f>J19</f>
        <v>100</v>
      </c>
      <c r="X19" s="1568"/>
      <c r="Y19" s="344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48"/>
      <c r="Q20" s="1573"/>
      <c r="R20" s="1574"/>
      <c r="S20" s="1575"/>
      <c r="T20" s="1574"/>
      <c r="U20" s="1575"/>
      <c r="V20" s="1574"/>
      <c r="W20" s="1575"/>
      <c r="X20" s="1568"/>
      <c r="Y20" s="3448"/>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48"/>
      <c r="Q21" s="2559" t="str">
        <f>B21</f>
        <v>基础设施水平</v>
      </c>
      <c r="R21" s="1574" t="s">
        <v>8</v>
      </c>
      <c r="S21" s="1575">
        <f>F21</f>
        <v>100</v>
      </c>
      <c r="T21" s="1574" t="s">
        <v>8</v>
      </c>
      <c r="U21" s="1575">
        <f>H21</f>
        <v>100</v>
      </c>
      <c r="V21" s="1574" t="s">
        <v>8</v>
      </c>
      <c r="W21" s="1575">
        <f>J21</f>
        <v>100</v>
      </c>
      <c r="X21" s="2561"/>
      <c r="Y21" s="3448"/>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48"/>
      <c r="Q22" s="2559"/>
      <c r="R22" s="1574"/>
      <c r="S22" s="1575"/>
      <c r="T22" s="1574"/>
      <c r="U22" s="1575"/>
      <c r="V22" s="1574"/>
      <c r="W22" s="1575"/>
      <c r="X22" s="2561"/>
      <c r="Y22" s="3448"/>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48"/>
      <c r="Q23" s="1573" t="str">
        <f>B23</f>
        <v>自然及人文环境</v>
      </c>
      <c r="R23" s="1574" t="s">
        <v>8</v>
      </c>
      <c r="S23" s="1575">
        <f>F23</f>
        <v>100</v>
      </c>
      <c r="T23" s="1574" t="s">
        <v>8</v>
      </c>
      <c r="U23" s="1575">
        <f>H23</f>
        <v>100</v>
      </c>
      <c r="V23" s="1574" t="s">
        <v>8</v>
      </c>
      <c r="W23" s="1575">
        <f>J23</f>
        <v>100</v>
      </c>
      <c r="X23" s="1568"/>
      <c r="Y23" s="344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48"/>
      <c r="Q24" s="1573"/>
      <c r="R24" s="1574"/>
      <c r="S24" s="1575"/>
      <c r="T24" s="1574"/>
      <c r="U24" s="1575"/>
      <c r="V24" s="1574"/>
      <c r="W24" s="1575"/>
      <c r="X24" s="1568"/>
      <c r="Y24" s="344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8"/>
      <c r="Q25" s="1573" t="str">
        <f t="shared" ref="Q25:Q46" si="11">B25</f>
        <v>临街状况</v>
      </c>
      <c r="R25" s="1574" t="s">
        <v>8</v>
      </c>
      <c r="S25" s="1575">
        <f>F25</f>
        <v>100</v>
      </c>
      <c r="T25" s="1574" t="s">
        <v>8</v>
      </c>
      <c r="U25" s="1575">
        <f>H25</f>
        <v>100</v>
      </c>
      <c r="V25" s="1574" t="s">
        <v>8</v>
      </c>
      <c r="W25" s="1575">
        <f>J25</f>
        <v>100</v>
      </c>
      <c r="X25" s="1568"/>
      <c r="Y25" s="344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8"/>
      <c r="Q26" s="1573" t="str">
        <f t="shared" si="11"/>
        <v>平面位置/可视性</v>
      </c>
      <c r="R26" s="1574" t="s">
        <v>8</v>
      </c>
      <c r="S26" s="1575">
        <f>F26</f>
        <v>100</v>
      </c>
      <c r="T26" s="1574" t="s">
        <v>8</v>
      </c>
      <c r="U26" s="1575">
        <f>H26</f>
        <v>100</v>
      </c>
      <c r="V26" s="1574" t="s">
        <v>8</v>
      </c>
      <c r="W26" s="1575">
        <f>J26</f>
        <v>100</v>
      </c>
      <c r="X26" s="1568"/>
      <c r="Y26" s="344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48"/>
      <c r="Q27" s="1151" t="str">
        <f t="shared" si="11"/>
        <v>人流量</v>
      </c>
      <c r="R27" s="1569" t="s">
        <v>8</v>
      </c>
      <c r="S27" s="1570">
        <f>F27</f>
        <v>100</v>
      </c>
      <c r="T27" s="1569" t="s">
        <v>8</v>
      </c>
      <c r="U27" s="1570">
        <f>H27</f>
        <v>100</v>
      </c>
      <c r="V27" s="1569" t="s">
        <v>8</v>
      </c>
      <c r="W27" s="1570">
        <f>J27</f>
        <v>100</v>
      </c>
      <c r="X27" s="1571"/>
      <c r="Y27" s="344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8"/>
      <c r="Q29" s="1573">
        <f t="shared" si="11"/>
        <v>111</v>
      </c>
      <c r="R29" s="1574" t="s">
        <v>8</v>
      </c>
      <c r="S29" s="1575">
        <f t="shared" si="12"/>
        <v>100</v>
      </c>
      <c r="T29" s="1574" t="s">
        <v>8</v>
      </c>
      <c r="U29" s="1575">
        <f t="shared" si="13"/>
        <v>100</v>
      </c>
      <c r="V29" s="1574" t="s">
        <v>8</v>
      </c>
      <c r="W29" s="1575">
        <f t="shared" si="14"/>
        <v>100</v>
      </c>
      <c r="X29" s="1568"/>
      <c r="Y29" s="344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8"/>
      <c r="Q30" s="1573">
        <f t="shared" si="11"/>
        <v>111</v>
      </c>
      <c r="R30" s="1574" t="s">
        <v>8</v>
      </c>
      <c r="S30" s="1575">
        <f t="shared" si="12"/>
        <v>100</v>
      </c>
      <c r="T30" s="1574" t="s">
        <v>8</v>
      </c>
      <c r="U30" s="1575">
        <f t="shared" si="13"/>
        <v>100</v>
      </c>
      <c r="V30" s="1574" t="s">
        <v>8</v>
      </c>
      <c r="W30" s="1575">
        <f t="shared" si="14"/>
        <v>100</v>
      </c>
      <c r="X30" s="1568"/>
      <c r="Y30" s="344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8"/>
      <c r="Q31" s="1573">
        <f t="shared" si="11"/>
        <v>111</v>
      </c>
      <c r="R31" s="1574" t="s">
        <v>8</v>
      </c>
      <c r="S31" s="1575">
        <f t="shared" si="12"/>
        <v>100</v>
      </c>
      <c r="T31" s="1574" t="s">
        <v>8</v>
      </c>
      <c r="U31" s="1575">
        <f t="shared" si="13"/>
        <v>100</v>
      </c>
      <c r="V31" s="1574" t="s">
        <v>8</v>
      </c>
      <c r="W31" s="1575">
        <f t="shared" si="14"/>
        <v>100</v>
      </c>
      <c r="X31" s="1568"/>
      <c r="Y31" s="3448"/>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9" t="s">
        <v>550</v>
      </c>
      <c r="Q32" s="1573" t="str">
        <f t="shared" si="11"/>
        <v>商业类型</v>
      </c>
      <c r="R32" s="1574" t="s">
        <v>8</v>
      </c>
      <c r="S32" s="1575">
        <f t="shared" si="12"/>
        <v>100</v>
      </c>
      <c r="T32" s="1574" t="s">
        <v>8</v>
      </c>
      <c r="U32" s="1575">
        <f t="shared" si="13"/>
        <v>100</v>
      </c>
      <c r="V32" s="1574" t="s">
        <v>8</v>
      </c>
      <c r="W32" s="1575">
        <f t="shared" si="14"/>
        <v>100</v>
      </c>
      <c r="X32" s="1568"/>
      <c r="Y32" s="345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50"/>
      <c r="Q33" s="1606" t="str">
        <f t="shared" si="11"/>
        <v>项目建筑规模</v>
      </c>
      <c r="R33" s="1578" t="s">
        <v>8</v>
      </c>
      <c r="S33" s="1579" t="e">
        <f t="shared" si="12"/>
        <v>#N/A</v>
      </c>
      <c r="T33" s="1578" t="s">
        <v>8</v>
      </c>
      <c r="U33" s="1579" t="e">
        <f t="shared" si="13"/>
        <v>#N/A</v>
      </c>
      <c r="V33" s="1578" t="s">
        <v>8</v>
      </c>
      <c r="W33" s="1579" t="e">
        <f t="shared" si="14"/>
        <v>#N/A</v>
      </c>
      <c r="X33" s="1580"/>
      <c r="Y33" s="345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50"/>
      <c r="Q34" s="1573" t="str">
        <f t="shared" si="11"/>
        <v>建筑结构</v>
      </c>
      <c r="R34" s="1574" t="s">
        <v>8</v>
      </c>
      <c r="S34" s="1575">
        <f t="shared" si="12"/>
        <v>100</v>
      </c>
      <c r="T34" s="1574" t="s">
        <v>8</v>
      </c>
      <c r="U34" s="1575">
        <f t="shared" si="13"/>
        <v>100</v>
      </c>
      <c r="V34" s="1574" t="s">
        <v>8</v>
      </c>
      <c r="W34" s="1575">
        <f t="shared" si="14"/>
        <v>100</v>
      </c>
      <c r="X34" s="1568"/>
      <c r="Y34" s="345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50"/>
      <c r="Q35" s="1573" t="str">
        <f t="shared" si="11"/>
        <v>公共部分装修</v>
      </c>
      <c r="R35" s="1574" t="s">
        <v>8</v>
      </c>
      <c r="S35" s="1575">
        <f t="shared" si="12"/>
        <v>100</v>
      </c>
      <c r="T35" s="1574" t="s">
        <v>8</v>
      </c>
      <c r="U35" s="1575">
        <f t="shared" si="13"/>
        <v>100</v>
      </c>
      <c r="V35" s="1574" t="s">
        <v>8</v>
      </c>
      <c r="W35" s="1575">
        <f t="shared" si="14"/>
        <v>100</v>
      </c>
      <c r="X35" s="1568"/>
      <c r="Y35" s="345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50"/>
      <c r="Q36" s="1573" t="str">
        <f t="shared" si="11"/>
        <v>成新度</v>
      </c>
      <c r="R36" s="1574" t="s">
        <v>8</v>
      </c>
      <c r="S36" s="1575" t="e">
        <f t="shared" si="12"/>
        <v>#N/A</v>
      </c>
      <c r="T36" s="1574" t="s">
        <v>8</v>
      </c>
      <c r="U36" s="1575" t="e">
        <f t="shared" si="13"/>
        <v>#N/A</v>
      </c>
      <c r="V36" s="1574" t="s">
        <v>8</v>
      </c>
      <c r="W36" s="1575" t="e">
        <f t="shared" si="14"/>
        <v>#N/A</v>
      </c>
      <c r="X36" s="1568"/>
      <c r="Y36" s="3450"/>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50"/>
      <c r="Q37" s="1151" t="str">
        <f t="shared" si="11"/>
        <v>市政基础设施</v>
      </c>
      <c r="R37" s="1569" t="s">
        <v>8</v>
      </c>
      <c r="S37" s="1570">
        <f t="shared" si="12"/>
        <v>100</v>
      </c>
      <c r="T37" s="1569" t="s">
        <v>8</v>
      </c>
      <c r="U37" s="1570">
        <f t="shared" si="13"/>
        <v>100</v>
      </c>
      <c r="V37" s="1569" t="s">
        <v>8</v>
      </c>
      <c r="W37" s="1570">
        <f t="shared" si="14"/>
        <v>100</v>
      </c>
      <c r="X37" s="1571"/>
      <c r="Y37" s="345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50" t="s">
        <v>766</v>
      </c>
      <c r="Q38" s="1573" t="str">
        <f t="shared" si="11"/>
        <v>业态</v>
      </c>
      <c r="R38" s="1574" t="s">
        <v>8</v>
      </c>
      <c r="S38" s="1575">
        <f t="shared" si="12"/>
        <v>100</v>
      </c>
      <c r="T38" s="1574" t="s">
        <v>8</v>
      </c>
      <c r="U38" s="1575">
        <f t="shared" si="13"/>
        <v>100</v>
      </c>
      <c r="V38" s="1574" t="s">
        <v>8</v>
      </c>
      <c r="W38" s="1575">
        <f t="shared" si="14"/>
        <v>100</v>
      </c>
      <c r="X38" s="1568"/>
      <c r="Y38" s="345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50"/>
      <c r="Q39" s="1573" t="str">
        <f t="shared" si="11"/>
        <v>层高</v>
      </c>
      <c r="R39" s="1574" t="s">
        <v>8</v>
      </c>
      <c r="S39" s="1575">
        <f t="shared" si="12"/>
        <v>100</v>
      </c>
      <c r="T39" s="1574" t="s">
        <v>8</v>
      </c>
      <c r="U39" s="1575">
        <f t="shared" si="13"/>
        <v>100</v>
      </c>
      <c r="V39" s="1574" t="s">
        <v>8</v>
      </c>
      <c r="W39" s="1575">
        <f t="shared" si="14"/>
        <v>100</v>
      </c>
      <c r="X39" s="1568"/>
      <c r="Y39" s="345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50"/>
      <c r="Q40" s="1573" t="str">
        <f t="shared" si="11"/>
        <v>单套建筑面积</v>
      </c>
      <c r="R40" s="1574" t="s">
        <v>8</v>
      </c>
      <c r="S40" s="1575">
        <f t="shared" si="12"/>
        <v>100</v>
      </c>
      <c r="T40" s="1574" t="s">
        <v>8</v>
      </c>
      <c r="U40" s="1575">
        <f t="shared" si="13"/>
        <v>100</v>
      </c>
      <c r="V40" s="1574" t="s">
        <v>8</v>
      </c>
      <c r="W40" s="1575">
        <f t="shared" si="14"/>
        <v>100</v>
      </c>
      <c r="X40" s="1568"/>
      <c r="Y40" s="345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50"/>
      <c r="Q41" s="1606" t="str">
        <f t="shared" si="11"/>
        <v>进深比</v>
      </c>
      <c r="R41" s="1578" t="s">
        <v>8</v>
      </c>
      <c r="S41" s="1579">
        <f t="shared" si="12"/>
        <v>100</v>
      </c>
      <c r="T41" s="1578" t="s">
        <v>8</v>
      </c>
      <c r="U41" s="1579">
        <f t="shared" si="13"/>
        <v>100</v>
      </c>
      <c r="V41" s="1578" t="s">
        <v>8</v>
      </c>
      <c r="W41" s="1579">
        <f t="shared" si="14"/>
        <v>100</v>
      </c>
      <c r="X41" s="1580"/>
      <c r="Y41" s="345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50"/>
      <c r="Q42" s="1573" t="str">
        <f t="shared" si="11"/>
        <v>内部装修</v>
      </c>
      <c r="R42" s="1574" t="s">
        <v>8</v>
      </c>
      <c r="S42" s="1575">
        <f t="shared" si="12"/>
        <v>100</v>
      </c>
      <c r="T42" s="1574" t="s">
        <v>8</v>
      </c>
      <c r="U42" s="1575">
        <f t="shared" si="13"/>
        <v>100</v>
      </c>
      <c r="V42" s="1574" t="s">
        <v>8</v>
      </c>
      <c r="W42" s="1575">
        <f t="shared" si="14"/>
        <v>100</v>
      </c>
      <c r="X42" s="1568"/>
      <c r="Y42" s="345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50"/>
      <c r="Q43" s="1573" t="str">
        <f t="shared" si="11"/>
        <v>内部装修维护情况</v>
      </c>
      <c r="R43" s="1574" t="s">
        <v>8</v>
      </c>
      <c r="S43" s="1575">
        <f t="shared" si="12"/>
        <v>100</v>
      </c>
      <c r="T43" s="1574" t="s">
        <v>8</v>
      </c>
      <c r="U43" s="1575">
        <f t="shared" si="13"/>
        <v>100</v>
      </c>
      <c r="V43" s="1574" t="s">
        <v>8</v>
      </c>
      <c r="W43" s="1575">
        <f t="shared" si="14"/>
        <v>100</v>
      </c>
      <c r="X43" s="1568"/>
      <c r="Y43" s="345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50"/>
      <c r="Q44" s="1151">
        <f t="shared" si="11"/>
        <v>111</v>
      </c>
      <c r="R44" s="1569" t="s">
        <v>8</v>
      </c>
      <c r="S44" s="1570">
        <f t="shared" si="12"/>
        <v>100</v>
      </c>
      <c r="T44" s="1569" t="s">
        <v>8</v>
      </c>
      <c r="U44" s="1570">
        <f t="shared" si="13"/>
        <v>100</v>
      </c>
      <c r="V44" s="1569" t="s">
        <v>8</v>
      </c>
      <c r="W44" s="1570">
        <f t="shared" si="14"/>
        <v>100</v>
      </c>
      <c r="X44" s="1571"/>
      <c r="Y44" s="345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50"/>
      <c r="Q45" s="1573">
        <f t="shared" si="11"/>
        <v>111</v>
      </c>
      <c r="R45" s="1574" t="s">
        <v>8</v>
      </c>
      <c r="S45" s="1575">
        <f t="shared" si="12"/>
        <v>100</v>
      </c>
      <c r="T45" s="1574" t="s">
        <v>8</v>
      </c>
      <c r="U45" s="1575">
        <f t="shared" si="13"/>
        <v>100</v>
      </c>
      <c r="V45" s="1574" t="s">
        <v>8</v>
      </c>
      <c r="W45" s="1575">
        <f t="shared" si="14"/>
        <v>100</v>
      </c>
      <c r="X45" s="1568"/>
      <c r="Y45" s="345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30"/>
      <c r="Q46" s="1573">
        <f t="shared" si="11"/>
        <v>111</v>
      </c>
      <c r="R46" s="1574" t="s">
        <v>8</v>
      </c>
      <c r="S46" s="1575">
        <f t="shared" si="12"/>
        <v>100</v>
      </c>
      <c r="T46" s="1574" t="s">
        <v>8</v>
      </c>
      <c r="U46" s="1575">
        <f t="shared" si="13"/>
        <v>100</v>
      </c>
      <c r="V46" s="1574" t="s">
        <v>8</v>
      </c>
      <c r="W46" s="1575">
        <f t="shared" si="14"/>
        <v>100</v>
      </c>
      <c r="X46" s="1568"/>
      <c r="Y46" s="3530"/>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413" t="str">
        <f>A47</f>
        <v>成交单价（元/平方米）</v>
      </c>
      <c r="Q47" s="3413"/>
      <c r="R47" s="3529">
        <f>E47</f>
        <v>0</v>
      </c>
      <c r="S47" s="3529"/>
      <c r="T47" s="3529">
        <f>G47</f>
        <v>0</v>
      </c>
      <c r="U47" s="3529"/>
      <c r="V47" s="3529">
        <f>I47</f>
        <v>0</v>
      </c>
      <c r="W47" s="3529"/>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413" t="str">
        <f>A48</f>
        <v>比较价格（元/平方米）</v>
      </c>
      <c r="Q48" s="3413"/>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60"/>
      <c r="Y48" s="1560"/>
      <c r="Z48" s="1560"/>
      <c r="AA48" s="1560"/>
      <c r="AB48" s="1560"/>
      <c r="AC48" s="1560"/>
    </row>
    <row r="49" spans="1:29" ht="15.75" thickBot="1">
      <c r="A49" s="621" t="s">
        <v>2936</v>
      </c>
      <c r="B49" s="622"/>
      <c r="C49" s="2616" t="e">
        <f>R49</f>
        <v>#DIV/0!</v>
      </c>
      <c r="D49" s="2616"/>
      <c r="E49" s="2616"/>
      <c r="F49" s="2616"/>
      <c r="G49" s="2616"/>
      <c r="H49" s="2616"/>
      <c r="I49" s="2616"/>
      <c r="J49" s="2616"/>
      <c r="K49" s="1614"/>
      <c r="L49" s="2145"/>
      <c r="M49" s="2146"/>
      <c r="N49" s="2135"/>
      <c r="O49" s="2146"/>
      <c r="P49" s="3410" t="str">
        <f>A49</f>
        <v>估价对象XX用房的比较价格（楼面单价，元/平方米）</v>
      </c>
      <c r="Q49" s="3411"/>
      <c r="R49" s="3528" t="e">
        <f>IF(F1="售价",ROUND(AVERAGE(R48:V48),0),ROUND(AVERAGE(R48:V48),1))</f>
        <v>#DIV/0!</v>
      </c>
      <c r="S49" s="3528"/>
      <c r="T49" s="3528"/>
      <c r="U49" s="3528"/>
      <c r="V49" s="3528"/>
      <c r="W49" s="352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19" t="s">
        <v>522</v>
      </c>
      <c r="D4" s="3420"/>
      <c r="E4" s="3453" t="s">
        <v>523</v>
      </c>
      <c r="F4" s="3454"/>
      <c r="G4" s="3419" t="s">
        <v>524</v>
      </c>
      <c r="H4" s="3420"/>
      <c r="I4" s="3419" t="s">
        <v>525</v>
      </c>
      <c r="J4" s="3420"/>
      <c r="K4" s="514" t="s">
        <v>526</v>
      </c>
      <c r="L4" s="2134"/>
      <c r="M4" s="2135"/>
      <c r="N4" s="2135"/>
      <c r="O4" s="2135"/>
      <c r="P4" s="3532" t="s">
        <v>527</v>
      </c>
      <c r="Q4" s="3422"/>
      <c r="R4" s="3427" t="s">
        <v>523</v>
      </c>
      <c r="S4" s="3428"/>
      <c r="T4" s="3427" t="s">
        <v>524</v>
      </c>
      <c r="U4" s="3428"/>
      <c r="V4" s="3414" t="s">
        <v>525</v>
      </c>
      <c r="W4" s="3414"/>
      <c r="X4" s="1568"/>
      <c r="Y4" s="3427" t="s">
        <v>527</v>
      </c>
      <c r="Z4" s="3428"/>
      <c r="AA4" s="3416" t="s">
        <v>523</v>
      </c>
      <c r="AB4" s="3416" t="s">
        <v>524</v>
      </c>
      <c r="AC4" s="3416" t="s">
        <v>525</v>
      </c>
    </row>
    <row r="5" spans="1:29" ht="15">
      <c r="A5" s="515"/>
      <c r="B5" s="516"/>
      <c r="C5" s="3435" t="s">
        <v>2930</v>
      </c>
      <c r="D5" s="3436"/>
      <c r="E5" s="3455" t="s">
        <v>2931</v>
      </c>
      <c r="F5" s="3456"/>
      <c r="G5" s="3435" t="s">
        <v>2932</v>
      </c>
      <c r="H5" s="3436"/>
      <c r="I5" s="3435" t="s">
        <v>2933</v>
      </c>
      <c r="J5" s="3436"/>
      <c r="K5" s="514"/>
      <c r="L5" s="2134"/>
      <c r="M5" s="2135"/>
      <c r="N5" s="2135"/>
      <c r="O5" s="2135"/>
      <c r="P5" s="3533"/>
      <c r="Q5" s="3424"/>
      <c r="R5" s="3429"/>
      <c r="S5" s="3430"/>
      <c r="T5" s="3429"/>
      <c r="U5" s="3430"/>
      <c r="V5" s="3414"/>
      <c r="W5" s="3414"/>
      <c r="X5" s="1568"/>
      <c r="Y5" s="3429"/>
      <c r="Z5" s="3430"/>
      <c r="AA5" s="3417"/>
      <c r="AB5" s="3417"/>
      <c r="AC5" s="3417"/>
    </row>
    <row r="6" spans="1:29" ht="15.75" thickBot="1">
      <c r="A6" s="517"/>
      <c r="B6" s="518"/>
      <c r="C6" s="3433" t="s">
        <v>2934</v>
      </c>
      <c r="D6" s="3434"/>
      <c r="E6" s="3451" t="s">
        <v>2934</v>
      </c>
      <c r="F6" s="3452"/>
      <c r="G6" s="3433" t="s">
        <v>2934</v>
      </c>
      <c r="H6" s="3434"/>
      <c r="I6" s="3433" t="s">
        <v>2934</v>
      </c>
      <c r="J6" s="3434"/>
      <c r="K6" s="514" t="s">
        <v>528</v>
      </c>
      <c r="L6" s="2134"/>
      <c r="M6" s="2135"/>
      <c r="N6" s="2135"/>
      <c r="O6" s="2135"/>
      <c r="P6" s="3534"/>
      <c r="Q6" s="3426"/>
      <c r="R6" s="3429"/>
      <c r="S6" s="3430"/>
      <c r="T6" s="3431"/>
      <c r="U6" s="3432"/>
      <c r="V6" s="3414"/>
      <c r="W6" s="3414"/>
      <c r="X6" s="1568"/>
      <c r="Y6" s="3431"/>
      <c r="Z6" s="3432"/>
      <c r="AA6" s="3418"/>
      <c r="AB6" s="3418"/>
      <c r="AC6" s="3418"/>
    </row>
    <row r="7" spans="1:29" s="1220" customFormat="1" ht="15.75" thickBot="1">
      <c r="A7" s="2891"/>
      <c r="B7" s="2898" t="s">
        <v>529</v>
      </c>
      <c r="C7" s="519">
        <f>'数据-取费表'!B2</f>
        <v>43555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6" t="s">
        <v>530</v>
      </c>
      <c r="Q7" s="3446"/>
      <c r="R7" s="1569" t="s">
        <v>8</v>
      </c>
      <c r="S7" s="1570">
        <f t="shared" ref="S7:S15" si="0">F7</f>
        <v>0</v>
      </c>
      <c r="T7" s="1569" t="s">
        <v>8</v>
      </c>
      <c r="U7" s="1570">
        <f t="shared" ref="U7:U15" si="1">H7</f>
        <v>0</v>
      </c>
      <c r="V7" s="1569" t="s">
        <v>8</v>
      </c>
      <c r="W7" s="1570">
        <f t="shared" ref="W7:W15"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6" t="s">
        <v>533</v>
      </c>
      <c r="Q8" s="3445"/>
      <c r="R8" s="1569" t="s">
        <v>8</v>
      </c>
      <c r="S8" s="1570">
        <f t="shared" si="0"/>
        <v>0</v>
      </c>
      <c r="T8" s="1569" t="s">
        <v>8</v>
      </c>
      <c r="U8" s="1570">
        <f t="shared" si="1"/>
        <v>0</v>
      </c>
      <c r="V8" s="1569" t="s">
        <v>8</v>
      </c>
      <c r="W8" s="1570">
        <f t="shared" si="2"/>
        <v>0</v>
      </c>
      <c r="X8" s="1571"/>
      <c r="Y8" s="3444" t="s">
        <v>533</v>
      </c>
      <c r="Z8" s="344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3"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3"/>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3"/>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3"/>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3"/>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47" t="s">
        <v>540</v>
      </c>
      <c r="Q15" s="1573" t="str">
        <f t="shared" si="6"/>
        <v>办公集聚程度</v>
      </c>
      <c r="R15" s="1574" t="s">
        <v>8</v>
      </c>
      <c r="S15" s="1575">
        <f t="shared" si="0"/>
        <v>100</v>
      </c>
      <c r="T15" s="1574" t="s">
        <v>8</v>
      </c>
      <c r="U15" s="1575">
        <f t="shared" si="1"/>
        <v>100</v>
      </c>
      <c r="V15" s="1574" t="s">
        <v>8</v>
      </c>
      <c r="W15" s="1575">
        <f t="shared" si="2"/>
        <v>100</v>
      </c>
      <c r="X15" s="1568"/>
      <c r="Y15" s="344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48"/>
      <c r="Q16" s="1573"/>
      <c r="R16" s="1574"/>
      <c r="S16" s="1575"/>
      <c r="T16" s="1574"/>
      <c r="U16" s="1575"/>
      <c r="V16" s="1574"/>
      <c r="W16" s="1575"/>
      <c r="X16" s="1568"/>
      <c r="Y16" s="344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48"/>
      <c r="Q17" s="1573" t="str">
        <f>B17</f>
        <v>交通便捷度</v>
      </c>
      <c r="R17" s="1574" t="s">
        <v>8</v>
      </c>
      <c r="S17" s="1575">
        <f>F17</f>
        <v>100</v>
      </c>
      <c r="T17" s="1574" t="s">
        <v>8</v>
      </c>
      <c r="U17" s="1575">
        <f>H17</f>
        <v>100</v>
      </c>
      <c r="V17" s="1574" t="s">
        <v>8</v>
      </c>
      <c r="W17" s="1575">
        <f>J17</f>
        <v>100</v>
      </c>
      <c r="X17" s="1568"/>
      <c r="Y17" s="344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48"/>
      <c r="Q18" s="1573"/>
      <c r="R18" s="1574"/>
      <c r="S18" s="1575"/>
      <c r="T18" s="1574"/>
      <c r="U18" s="1575"/>
      <c r="V18" s="1574"/>
      <c r="W18" s="1575"/>
      <c r="X18" s="1568"/>
      <c r="Y18" s="3448"/>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48"/>
      <c r="Q19" s="1573" t="str">
        <f>B19</f>
        <v>公共配套设施</v>
      </c>
      <c r="R19" s="1574" t="s">
        <v>8</v>
      </c>
      <c r="S19" s="1575">
        <f>F19</f>
        <v>100</v>
      </c>
      <c r="T19" s="1574" t="s">
        <v>8</v>
      </c>
      <c r="U19" s="1575">
        <f>H19</f>
        <v>100</v>
      </c>
      <c r="V19" s="1574" t="s">
        <v>8</v>
      </c>
      <c r="W19" s="1575">
        <f>J19</f>
        <v>100</v>
      </c>
      <c r="X19" s="1568"/>
      <c r="Y19" s="344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48"/>
      <c r="Q20" s="1573"/>
      <c r="R20" s="1574"/>
      <c r="S20" s="1575"/>
      <c r="T20" s="1574"/>
      <c r="U20" s="1575"/>
      <c r="V20" s="1574"/>
      <c r="W20" s="1575"/>
      <c r="X20" s="1568"/>
      <c r="Y20" s="3448"/>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48"/>
      <c r="Q21" s="2559" t="str">
        <f>B21</f>
        <v>基础设施水平</v>
      </c>
      <c r="R21" s="1574" t="s">
        <v>8</v>
      </c>
      <c r="S21" s="1575">
        <f>F21</f>
        <v>100</v>
      </c>
      <c r="T21" s="1574" t="s">
        <v>8</v>
      </c>
      <c r="U21" s="1575">
        <f>H21</f>
        <v>100</v>
      </c>
      <c r="V21" s="1574" t="s">
        <v>8</v>
      </c>
      <c r="W21" s="1575">
        <f>J21</f>
        <v>100</v>
      </c>
      <c r="X21" s="2561"/>
      <c r="Y21" s="3448"/>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48"/>
      <c r="Q22" s="2559"/>
      <c r="R22" s="1574"/>
      <c r="S22" s="1575"/>
      <c r="T22" s="1574"/>
      <c r="U22" s="1575"/>
      <c r="V22" s="1574"/>
      <c r="W22" s="1575"/>
      <c r="X22" s="2561"/>
      <c r="Y22" s="3448"/>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48"/>
      <c r="Q23" s="1573" t="str">
        <f>B23</f>
        <v>环境质量</v>
      </c>
      <c r="R23" s="1574" t="s">
        <v>8</v>
      </c>
      <c r="S23" s="1575">
        <f>F23</f>
        <v>100</v>
      </c>
      <c r="T23" s="1574" t="s">
        <v>8</v>
      </c>
      <c r="U23" s="1575">
        <f>H23</f>
        <v>100</v>
      </c>
      <c r="V23" s="1574" t="s">
        <v>8</v>
      </c>
      <c r="W23" s="1575">
        <f>J23</f>
        <v>100</v>
      </c>
      <c r="X23" s="1568"/>
      <c r="Y23" s="344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48"/>
      <c r="Q24" s="1573"/>
      <c r="R24" s="1574"/>
      <c r="S24" s="1575"/>
      <c r="T24" s="1574"/>
      <c r="U24" s="1575"/>
      <c r="V24" s="1574"/>
      <c r="W24" s="1575"/>
      <c r="X24" s="1568"/>
      <c r="Y24" s="344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48"/>
      <c r="Q25" s="1573" t="str">
        <f>B25</f>
        <v>毗邻道路的类型与等级</v>
      </c>
      <c r="R25" s="1574" t="s">
        <v>8</v>
      </c>
      <c r="S25" s="1575">
        <f>F25</f>
        <v>100</v>
      </c>
      <c r="T25" s="1574" t="s">
        <v>8</v>
      </c>
      <c r="U25" s="1575">
        <f>H25</f>
        <v>100</v>
      </c>
      <c r="V25" s="1574" t="s">
        <v>8</v>
      </c>
      <c r="W25" s="1575">
        <f>J25</f>
        <v>100</v>
      </c>
      <c r="X25" s="1568"/>
      <c r="Y25" s="344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48"/>
      <c r="Q26" s="1573"/>
      <c r="R26" s="1574"/>
      <c r="S26" s="1575"/>
      <c r="T26" s="1574"/>
      <c r="U26" s="1575"/>
      <c r="V26" s="1574"/>
      <c r="W26" s="1575"/>
      <c r="X26" s="1568"/>
      <c r="Y26" s="344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8"/>
      <c r="Q27" s="1573" t="str">
        <f t="shared" ref="Q27:Q47" si="11">B27</f>
        <v>楼层</v>
      </c>
      <c r="R27" s="1574" t="s">
        <v>8</v>
      </c>
      <c r="S27" s="1575">
        <f>F27</f>
        <v>100</v>
      </c>
      <c r="T27" s="1574" t="s">
        <v>8</v>
      </c>
      <c r="U27" s="1575">
        <f>H27</f>
        <v>100</v>
      </c>
      <c r="V27" s="1574" t="s">
        <v>8</v>
      </c>
      <c r="W27" s="1575">
        <f>J27</f>
        <v>100</v>
      </c>
      <c r="X27" s="1568"/>
      <c r="Y27" s="344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48"/>
      <c r="Q28" s="1151" t="str">
        <f t="shared" si="11"/>
        <v>朝向</v>
      </c>
      <c r="R28" s="1569" t="s">
        <v>8</v>
      </c>
      <c r="S28" s="1570">
        <f>F28</f>
        <v>100</v>
      </c>
      <c r="T28" s="1569" t="s">
        <v>8</v>
      </c>
      <c r="U28" s="1570">
        <f>H28</f>
        <v>100</v>
      </c>
      <c r="V28" s="1569" t="s">
        <v>8</v>
      </c>
      <c r="W28" s="1570">
        <f>J28</f>
        <v>100</v>
      </c>
      <c r="X28" s="1571"/>
      <c r="Y28" s="344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48"/>
      <c r="Q29" s="1573">
        <f t="shared" si="11"/>
        <v>111</v>
      </c>
      <c r="R29" s="1574" t="s">
        <v>8</v>
      </c>
      <c r="S29" s="1575">
        <f t="shared" ref="S29:S47" si="12">F29</f>
        <v>100</v>
      </c>
      <c r="T29" s="1574" t="s">
        <v>8</v>
      </c>
      <c r="U29" s="1575">
        <f t="shared" ref="U29:U47" si="13">H29</f>
        <v>100</v>
      </c>
      <c r="V29" s="1574" t="s">
        <v>8</v>
      </c>
      <c r="W29" s="1575">
        <f t="shared" ref="W29:W47" si="14">J29</f>
        <v>100</v>
      </c>
      <c r="X29" s="1568"/>
      <c r="Y29" s="344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48"/>
      <c r="Q30" s="1573">
        <f t="shared" si="11"/>
        <v>111</v>
      </c>
      <c r="R30" s="1574" t="s">
        <v>8</v>
      </c>
      <c r="S30" s="1575">
        <f t="shared" si="12"/>
        <v>100</v>
      </c>
      <c r="T30" s="1574" t="s">
        <v>8</v>
      </c>
      <c r="U30" s="1575">
        <f t="shared" si="13"/>
        <v>100</v>
      </c>
      <c r="V30" s="1574" t="s">
        <v>8</v>
      </c>
      <c r="W30" s="1575">
        <f t="shared" si="14"/>
        <v>100</v>
      </c>
      <c r="X30" s="1568"/>
      <c r="Y30" s="344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48"/>
      <c r="Q31" s="1573">
        <f t="shared" si="11"/>
        <v>111</v>
      </c>
      <c r="R31" s="1574" t="s">
        <v>8</v>
      </c>
      <c r="S31" s="1575">
        <f t="shared" si="12"/>
        <v>100</v>
      </c>
      <c r="T31" s="1574" t="s">
        <v>8</v>
      </c>
      <c r="U31" s="1575">
        <f t="shared" si="13"/>
        <v>100</v>
      </c>
      <c r="V31" s="1574" t="s">
        <v>8</v>
      </c>
      <c r="W31" s="1575">
        <f t="shared" si="14"/>
        <v>100</v>
      </c>
      <c r="X31" s="1568"/>
      <c r="Y31" s="344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48"/>
      <c r="Q32" s="1573">
        <f t="shared" si="11"/>
        <v>111</v>
      </c>
      <c r="R32" s="1574" t="s">
        <v>8</v>
      </c>
      <c r="S32" s="1575">
        <f t="shared" si="12"/>
        <v>100</v>
      </c>
      <c r="T32" s="1574" t="s">
        <v>8</v>
      </c>
      <c r="U32" s="1575">
        <f t="shared" si="13"/>
        <v>100</v>
      </c>
      <c r="V32" s="1574" t="s">
        <v>8</v>
      </c>
      <c r="W32" s="1575">
        <f t="shared" si="14"/>
        <v>100</v>
      </c>
      <c r="X32" s="1568"/>
      <c r="Y32" s="3448"/>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9" t="s">
        <v>550</v>
      </c>
      <c r="Q33" s="1573" t="str">
        <f t="shared" si="11"/>
        <v>建筑类型</v>
      </c>
      <c r="R33" s="1574" t="s">
        <v>8</v>
      </c>
      <c r="S33" s="1575">
        <f t="shared" si="12"/>
        <v>100</v>
      </c>
      <c r="T33" s="1574" t="s">
        <v>8</v>
      </c>
      <c r="U33" s="1575">
        <f t="shared" si="13"/>
        <v>100</v>
      </c>
      <c r="V33" s="1574" t="s">
        <v>8</v>
      </c>
      <c r="W33" s="1575">
        <f t="shared" si="14"/>
        <v>100</v>
      </c>
      <c r="X33" s="1568"/>
      <c r="Y33" s="345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50"/>
      <c r="Q34" s="1606" t="str">
        <f t="shared" si="11"/>
        <v>项目建筑规模</v>
      </c>
      <c r="R34" s="1578" t="s">
        <v>8</v>
      </c>
      <c r="S34" s="1579" t="e">
        <f t="shared" si="12"/>
        <v>#N/A</v>
      </c>
      <c r="T34" s="1578" t="s">
        <v>8</v>
      </c>
      <c r="U34" s="1579" t="e">
        <f t="shared" si="13"/>
        <v>#N/A</v>
      </c>
      <c r="V34" s="1578" t="s">
        <v>8</v>
      </c>
      <c r="W34" s="1579" t="e">
        <f t="shared" si="14"/>
        <v>#N/A</v>
      </c>
      <c r="X34" s="1580"/>
      <c r="Y34" s="345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50"/>
      <c r="Q35" s="1573" t="str">
        <f t="shared" si="11"/>
        <v>建筑结构</v>
      </c>
      <c r="R35" s="1574" t="s">
        <v>8</v>
      </c>
      <c r="S35" s="1575">
        <f t="shared" si="12"/>
        <v>100</v>
      </c>
      <c r="T35" s="1574" t="s">
        <v>8</v>
      </c>
      <c r="U35" s="1575">
        <f t="shared" si="13"/>
        <v>100</v>
      </c>
      <c r="V35" s="1574" t="s">
        <v>8</v>
      </c>
      <c r="W35" s="1575">
        <f t="shared" si="14"/>
        <v>100</v>
      </c>
      <c r="X35" s="1568"/>
      <c r="Y35" s="345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50"/>
      <c r="Q36" s="1573" t="str">
        <f t="shared" si="11"/>
        <v>公共部分装修</v>
      </c>
      <c r="R36" s="1574" t="s">
        <v>8</v>
      </c>
      <c r="S36" s="1575">
        <f t="shared" si="12"/>
        <v>100</v>
      </c>
      <c r="T36" s="1574" t="s">
        <v>8</v>
      </c>
      <c r="U36" s="1575">
        <f t="shared" si="13"/>
        <v>100</v>
      </c>
      <c r="V36" s="1574" t="s">
        <v>8</v>
      </c>
      <c r="W36" s="1575">
        <f t="shared" si="14"/>
        <v>100</v>
      </c>
      <c r="X36" s="1568"/>
      <c r="Y36" s="345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50"/>
      <c r="Q37" s="1573" t="str">
        <f t="shared" si="11"/>
        <v>成新度</v>
      </c>
      <c r="R37" s="1574" t="s">
        <v>8</v>
      </c>
      <c r="S37" s="1575" t="e">
        <f t="shared" si="12"/>
        <v>#N/A</v>
      </c>
      <c r="T37" s="1574" t="s">
        <v>8</v>
      </c>
      <c r="U37" s="1575" t="e">
        <f t="shared" si="13"/>
        <v>#N/A</v>
      </c>
      <c r="V37" s="1574" t="s">
        <v>8</v>
      </c>
      <c r="W37" s="1575" t="e">
        <f t="shared" si="14"/>
        <v>#N/A</v>
      </c>
      <c r="X37" s="1568"/>
      <c r="Y37" s="345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50"/>
      <c r="Q38" s="1151" t="str">
        <f t="shared" si="11"/>
        <v>写字楼等级</v>
      </c>
      <c r="R38" s="1569" t="s">
        <v>8</v>
      </c>
      <c r="S38" s="1570">
        <f t="shared" si="12"/>
        <v>100</v>
      </c>
      <c r="T38" s="1569" t="s">
        <v>8</v>
      </c>
      <c r="U38" s="1570">
        <f t="shared" si="13"/>
        <v>100</v>
      </c>
      <c r="V38" s="1569" t="s">
        <v>8</v>
      </c>
      <c r="W38" s="1570">
        <f t="shared" si="14"/>
        <v>100</v>
      </c>
      <c r="X38" s="1571"/>
      <c r="Y38" s="345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50" t="s">
        <v>550</v>
      </c>
      <c r="Q39" s="1573" t="str">
        <f t="shared" si="11"/>
        <v>物业管理</v>
      </c>
      <c r="R39" s="1574" t="s">
        <v>8</v>
      </c>
      <c r="S39" s="1575">
        <f t="shared" si="12"/>
        <v>100</v>
      </c>
      <c r="T39" s="1574" t="s">
        <v>8</v>
      </c>
      <c r="U39" s="1575">
        <f t="shared" si="13"/>
        <v>100</v>
      </c>
      <c r="V39" s="1574" t="s">
        <v>8</v>
      </c>
      <c r="W39" s="1575">
        <f t="shared" si="14"/>
        <v>100</v>
      </c>
      <c r="X39" s="1568"/>
      <c r="Y39" s="3450"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50"/>
      <c r="Q40" s="1573" t="str">
        <f t="shared" si="11"/>
        <v>市政基础设施</v>
      </c>
      <c r="R40" s="1574" t="s">
        <v>8</v>
      </c>
      <c r="S40" s="1575">
        <f t="shared" si="12"/>
        <v>100</v>
      </c>
      <c r="T40" s="1574" t="s">
        <v>8</v>
      </c>
      <c r="U40" s="1575">
        <f t="shared" si="13"/>
        <v>100</v>
      </c>
      <c r="V40" s="1574" t="s">
        <v>8</v>
      </c>
      <c r="W40" s="1575">
        <f t="shared" si="14"/>
        <v>100</v>
      </c>
      <c r="X40" s="1568"/>
      <c r="Y40" s="345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50"/>
      <c r="Q41" s="1573" t="str">
        <f t="shared" si="11"/>
        <v>层高</v>
      </c>
      <c r="R41" s="1574" t="s">
        <v>8</v>
      </c>
      <c r="S41" s="1575">
        <f t="shared" si="12"/>
        <v>100</v>
      </c>
      <c r="T41" s="1574" t="s">
        <v>8</v>
      </c>
      <c r="U41" s="1575">
        <f t="shared" si="13"/>
        <v>100</v>
      </c>
      <c r="V41" s="1574" t="s">
        <v>8</v>
      </c>
      <c r="W41" s="1575">
        <f t="shared" si="14"/>
        <v>100</v>
      </c>
      <c r="X41" s="1568"/>
      <c r="Y41" s="345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50"/>
      <c r="Q42" s="1606" t="str">
        <f t="shared" si="11"/>
        <v>单套建筑面积</v>
      </c>
      <c r="R42" s="1578" t="s">
        <v>8</v>
      </c>
      <c r="S42" s="1579">
        <f t="shared" si="12"/>
        <v>100</v>
      </c>
      <c r="T42" s="1578" t="s">
        <v>8</v>
      </c>
      <c r="U42" s="1579">
        <f t="shared" si="13"/>
        <v>100</v>
      </c>
      <c r="V42" s="1578" t="s">
        <v>8</v>
      </c>
      <c r="W42" s="1579">
        <f t="shared" si="14"/>
        <v>100</v>
      </c>
      <c r="X42" s="1580"/>
      <c r="Y42" s="345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50"/>
      <c r="Q43" s="1573" t="str">
        <f t="shared" si="11"/>
        <v>内部装修</v>
      </c>
      <c r="R43" s="1574" t="s">
        <v>8</v>
      </c>
      <c r="S43" s="1575">
        <f t="shared" si="12"/>
        <v>100</v>
      </c>
      <c r="T43" s="1574" t="s">
        <v>8</v>
      </c>
      <c r="U43" s="1575">
        <f t="shared" si="13"/>
        <v>100</v>
      </c>
      <c r="V43" s="1574" t="s">
        <v>8</v>
      </c>
      <c r="W43" s="1575">
        <f t="shared" si="14"/>
        <v>100</v>
      </c>
      <c r="X43" s="1568"/>
      <c r="Y43" s="345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50"/>
      <c r="Q44" s="1573" t="str">
        <f t="shared" si="11"/>
        <v>内部装修维护情况</v>
      </c>
      <c r="R44" s="1574" t="s">
        <v>8</v>
      </c>
      <c r="S44" s="1575">
        <f t="shared" si="12"/>
        <v>100</v>
      </c>
      <c r="T44" s="1574" t="s">
        <v>8</v>
      </c>
      <c r="U44" s="1575">
        <f t="shared" si="13"/>
        <v>100</v>
      </c>
      <c r="V44" s="1574" t="s">
        <v>8</v>
      </c>
      <c r="W44" s="1575">
        <f t="shared" si="14"/>
        <v>100</v>
      </c>
      <c r="X44" s="1568"/>
      <c r="Y44" s="345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50"/>
      <c r="Q45" s="1151">
        <f t="shared" si="11"/>
        <v>111</v>
      </c>
      <c r="R45" s="1569" t="s">
        <v>8</v>
      </c>
      <c r="S45" s="1570">
        <f t="shared" si="12"/>
        <v>100</v>
      </c>
      <c r="T45" s="1569" t="s">
        <v>8</v>
      </c>
      <c r="U45" s="1570">
        <f t="shared" si="13"/>
        <v>100</v>
      </c>
      <c r="V45" s="1569" t="s">
        <v>8</v>
      </c>
      <c r="W45" s="1570">
        <f t="shared" si="14"/>
        <v>100</v>
      </c>
      <c r="X45" s="1571"/>
      <c r="Y45" s="345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50"/>
      <c r="Q46" s="1573">
        <f t="shared" si="11"/>
        <v>111</v>
      </c>
      <c r="R46" s="1574" t="s">
        <v>8</v>
      </c>
      <c r="S46" s="1575">
        <f t="shared" si="12"/>
        <v>100</v>
      </c>
      <c r="T46" s="1574" t="s">
        <v>8</v>
      </c>
      <c r="U46" s="1575">
        <f t="shared" si="13"/>
        <v>100</v>
      </c>
      <c r="V46" s="1574" t="s">
        <v>8</v>
      </c>
      <c r="W46" s="1575">
        <f t="shared" si="14"/>
        <v>100</v>
      </c>
      <c r="X46" s="1568"/>
      <c r="Y46" s="345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30"/>
      <c r="Q47" s="1573">
        <f t="shared" si="11"/>
        <v>111</v>
      </c>
      <c r="R47" s="1574" t="s">
        <v>8</v>
      </c>
      <c r="S47" s="1575">
        <f t="shared" si="12"/>
        <v>100</v>
      </c>
      <c r="T47" s="1574" t="s">
        <v>8</v>
      </c>
      <c r="U47" s="1575">
        <f t="shared" si="13"/>
        <v>100</v>
      </c>
      <c r="V47" s="1574" t="s">
        <v>8</v>
      </c>
      <c r="W47" s="1575">
        <f t="shared" si="14"/>
        <v>100</v>
      </c>
      <c r="X47" s="1568"/>
      <c r="Y47" s="3530"/>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1" t="str">
        <f>A48</f>
        <v>成交单价（元/平方米）</v>
      </c>
      <c r="Q48" s="3413"/>
      <c r="R48" s="3529">
        <f>E48</f>
        <v>0</v>
      </c>
      <c r="S48" s="3529"/>
      <c r="T48" s="3529">
        <f>G48</f>
        <v>0</v>
      </c>
      <c r="U48" s="3529"/>
      <c r="V48" s="3529">
        <f>I48</f>
        <v>0</v>
      </c>
      <c r="W48" s="3529"/>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11" t="str">
        <f>A49</f>
        <v>比较价格（元/平方米）</v>
      </c>
      <c r="Q49" s="3413"/>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60"/>
      <c r="Y49" s="1560"/>
      <c r="Z49" s="1560"/>
      <c r="AA49" s="1560"/>
      <c r="AB49" s="1560"/>
      <c r="AC49" s="1560"/>
    </row>
    <row r="50" spans="1:29" ht="15.75" thickBot="1">
      <c r="A50" s="621" t="s">
        <v>2936</v>
      </c>
      <c r="B50" s="622"/>
      <c r="C50" s="2616" t="e">
        <f>R50</f>
        <v>#DIV/0!</v>
      </c>
      <c r="D50" s="2616"/>
      <c r="E50" s="2616"/>
      <c r="F50" s="2616"/>
      <c r="G50" s="2616"/>
      <c r="H50" s="2616"/>
      <c r="I50" s="2616"/>
      <c r="J50" s="2616"/>
      <c r="K50" s="1614"/>
      <c r="L50" s="2145"/>
      <c r="M50" s="2135"/>
      <c r="N50" s="2135"/>
      <c r="O50" s="2135"/>
      <c r="P50" s="3531" t="str">
        <f>A50</f>
        <v>估价对象XX用房的比较价格（楼面单价，元/平方米）</v>
      </c>
      <c r="Q50" s="3411"/>
      <c r="R50" s="3528" t="e">
        <f>IF(F1="售价",ROUND(AVERAGE(R49:V49),0),ROUND(AVERAGE(R49:V49),1))</f>
        <v>#DIV/0!</v>
      </c>
      <c r="S50" s="3528"/>
      <c r="T50" s="3528"/>
      <c r="U50" s="3528"/>
      <c r="V50" s="3528"/>
      <c r="W50" s="3528"/>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19" t="s">
        <v>522</v>
      </c>
      <c r="D4" s="3420"/>
      <c r="E4" s="3453" t="s">
        <v>523</v>
      </c>
      <c r="F4" s="3454"/>
      <c r="G4" s="3419" t="s">
        <v>524</v>
      </c>
      <c r="H4" s="3420"/>
      <c r="I4" s="3419" t="s">
        <v>525</v>
      </c>
      <c r="J4" s="3420"/>
      <c r="K4" s="514" t="s">
        <v>526</v>
      </c>
      <c r="L4" s="2134"/>
      <c r="M4" s="2135"/>
      <c r="N4" s="2135"/>
      <c r="O4" s="2135"/>
      <c r="P4" s="3421" t="s">
        <v>527</v>
      </c>
      <c r="Q4" s="3422"/>
      <c r="R4" s="3427" t="s">
        <v>523</v>
      </c>
      <c r="S4" s="3428"/>
      <c r="T4" s="3427" t="s">
        <v>524</v>
      </c>
      <c r="U4" s="3428"/>
      <c r="V4" s="3414" t="s">
        <v>525</v>
      </c>
      <c r="W4" s="3414"/>
      <c r="X4" s="1568"/>
      <c r="Y4" s="3427" t="s">
        <v>527</v>
      </c>
      <c r="Z4" s="3428"/>
      <c r="AA4" s="3416" t="s">
        <v>523</v>
      </c>
      <c r="AB4" s="3417" t="s">
        <v>524</v>
      </c>
      <c r="AC4" s="3416" t="s">
        <v>525</v>
      </c>
    </row>
    <row r="5" spans="1:29" ht="15">
      <c r="A5" s="515"/>
      <c r="B5" s="516"/>
      <c r="C5" s="3435" t="s">
        <v>2930</v>
      </c>
      <c r="D5" s="3436"/>
      <c r="E5" s="3455" t="s">
        <v>2931</v>
      </c>
      <c r="F5" s="3456"/>
      <c r="G5" s="3435" t="s">
        <v>2932</v>
      </c>
      <c r="H5" s="3436"/>
      <c r="I5" s="3435" t="s">
        <v>2933</v>
      </c>
      <c r="J5" s="3436"/>
      <c r="K5" s="514"/>
      <c r="L5" s="2134"/>
      <c r="M5" s="2135"/>
      <c r="N5" s="2135"/>
      <c r="O5" s="2135"/>
      <c r="P5" s="3423"/>
      <c r="Q5" s="3424"/>
      <c r="R5" s="3429"/>
      <c r="S5" s="3430"/>
      <c r="T5" s="3429"/>
      <c r="U5" s="3430"/>
      <c r="V5" s="3414"/>
      <c r="W5" s="3414"/>
      <c r="X5" s="1568"/>
      <c r="Y5" s="3429"/>
      <c r="Z5" s="3430"/>
      <c r="AA5" s="3417"/>
      <c r="AB5" s="3417"/>
      <c r="AC5" s="3417"/>
    </row>
    <row r="6" spans="1:29" ht="15.75" thickBot="1">
      <c r="A6" s="517"/>
      <c r="B6" s="518"/>
      <c r="C6" s="3433" t="s">
        <v>2934</v>
      </c>
      <c r="D6" s="3434"/>
      <c r="E6" s="3451" t="s">
        <v>2934</v>
      </c>
      <c r="F6" s="3452"/>
      <c r="G6" s="3433" t="s">
        <v>2934</v>
      </c>
      <c r="H6" s="3434"/>
      <c r="I6" s="3433" t="s">
        <v>2934</v>
      </c>
      <c r="J6" s="3434"/>
      <c r="K6" s="514" t="s">
        <v>528</v>
      </c>
      <c r="L6" s="2134"/>
      <c r="M6" s="2135"/>
      <c r="N6" s="2135"/>
      <c r="O6" s="2135"/>
      <c r="P6" s="3425"/>
      <c r="Q6" s="3426"/>
      <c r="R6" s="3429"/>
      <c r="S6" s="3430"/>
      <c r="T6" s="3431"/>
      <c r="U6" s="3432"/>
      <c r="V6" s="3414"/>
      <c r="W6" s="3414"/>
      <c r="X6" s="1568"/>
      <c r="Y6" s="3431"/>
      <c r="Z6" s="3432"/>
      <c r="AA6" s="3418"/>
      <c r="AB6" s="3418"/>
      <c r="AC6" s="3418"/>
    </row>
    <row r="7" spans="1:29" s="1220" customFormat="1" ht="15.75" thickBot="1">
      <c r="A7" s="2891"/>
      <c r="B7" s="2898" t="s">
        <v>529</v>
      </c>
      <c r="C7" s="519">
        <f>'数据-取费表'!B2</f>
        <v>43555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4" t="s">
        <v>530</v>
      </c>
      <c r="Q7" s="3446"/>
      <c r="R7" s="1569" t="s">
        <v>8</v>
      </c>
      <c r="S7" s="1570">
        <f t="shared" ref="S7:S15" si="0">F7</f>
        <v>0</v>
      </c>
      <c r="T7" s="1569" t="s">
        <v>8</v>
      </c>
      <c r="U7" s="1570">
        <f t="shared" ref="U7:U15" si="1">H7</f>
        <v>0</v>
      </c>
      <c r="V7" s="1569" t="s">
        <v>8</v>
      </c>
      <c r="W7" s="1570">
        <f t="shared" ref="W7:W15"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4" t="s">
        <v>533</v>
      </c>
      <c r="Q8" s="3445"/>
      <c r="R8" s="1569" t="s">
        <v>8</v>
      </c>
      <c r="S8" s="1570">
        <f t="shared" si="0"/>
        <v>0</v>
      </c>
      <c r="T8" s="1569" t="s">
        <v>8</v>
      </c>
      <c r="U8" s="1570">
        <f t="shared" si="1"/>
        <v>0</v>
      </c>
      <c r="V8" s="1569" t="s">
        <v>8</v>
      </c>
      <c r="W8" s="1570">
        <f t="shared" si="2"/>
        <v>0</v>
      </c>
      <c r="X8" s="1571"/>
      <c r="Y8" s="3444" t="s">
        <v>533</v>
      </c>
      <c r="Z8" s="344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3"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3"/>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3"/>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3"/>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3"/>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47" t="s">
        <v>540</v>
      </c>
      <c r="Q15" s="1573" t="str">
        <f t="shared" si="6"/>
        <v>产业集聚程度</v>
      </c>
      <c r="R15" s="1574" t="s">
        <v>8</v>
      </c>
      <c r="S15" s="1575">
        <f t="shared" si="0"/>
        <v>100</v>
      </c>
      <c r="T15" s="1574" t="s">
        <v>8</v>
      </c>
      <c r="U15" s="1575">
        <f t="shared" si="1"/>
        <v>100</v>
      </c>
      <c r="V15" s="1574" t="s">
        <v>8</v>
      </c>
      <c r="W15" s="1575">
        <f t="shared" si="2"/>
        <v>100</v>
      </c>
      <c r="X15" s="1568"/>
      <c r="Y15" s="344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8"/>
      <c r="Q16" s="1573"/>
      <c r="R16" s="1574"/>
      <c r="S16" s="1575"/>
      <c r="T16" s="1574"/>
      <c r="U16" s="1575"/>
      <c r="V16" s="1574"/>
      <c r="W16" s="1575"/>
      <c r="X16" s="1568"/>
      <c r="Y16" s="344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48"/>
      <c r="Q17" s="1573" t="str">
        <f>B17</f>
        <v>交通便捷度</v>
      </c>
      <c r="R17" s="1574" t="s">
        <v>8</v>
      </c>
      <c r="S17" s="1575">
        <f>F17</f>
        <v>100</v>
      </c>
      <c r="T17" s="1574" t="s">
        <v>8</v>
      </c>
      <c r="U17" s="1575">
        <f>H17</f>
        <v>100</v>
      </c>
      <c r="V17" s="1574" t="s">
        <v>8</v>
      </c>
      <c r="W17" s="1575">
        <f>J17</f>
        <v>100</v>
      </c>
      <c r="X17" s="1568"/>
      <c r="Y17" s="344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8"/>
      <c r="Q18" s="1573"/>
      <c r="R18" s="1574"/>
      <c r="S18" s="1575"/>
      <c r="T18" s="1574"/>
      <c r="U18" s="1575"/>
      <c r="V18" s="1574"/>
      <c r="W18" s="1575"/>
      <c r="X18" s="1568"/>
      <c r="Y18" s="3448"/>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48"/>
      <c r="Q19" s="1573" t="str">
        <f>B19</f>
        <v>公共配套设施</v>
      </c>
      <c r="R19" s="1574" t="s">
        <v>8</v>
      </c>
      <c r="S19" s="1575">
        <f>F19</f>
        <v>100</v>
      </c>
      <c r="T19" s="1574" t="s">
        <v>8</v>
      </c>
      <c r="U19" s="1575">
        <f>H19</f>
        <v>100</v>
      </c>
      <c r="V19" s="1574" t="s">
        <v>8</v>
      </c>
      <c r="W19" s="1575">
        <f>J19</f>
        <v>100</v>
      </c>
      <c r="X19" s="1568"/>
      <c r="Y19" s="344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48"/>
      <c r="Q20" s="1573"/>
      <c r="R20" s="1574"/>
      <c r="S20" s="1575"/>
      <c r="T20" s="1574"/>
      <c r="U20" s="1575"/>
      <c r="V20" s="1574"/>
      <c r="W20" s="1575"/>
      <c r="X20" s="1568"/>
      <c r="Y20" s="3448"/>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48"/>
      <c r="Q21" s="2559" t="str">
        <f>B21</f>
        <v>基础设施水平</v>
      </c>
      <c r="R21" s="1574" t="s">
        <v>8</v>
      </c>
      <c r="S21" s="1575">
        <f>F21</f>
        <v>100</v>
      </c>
      <c r="T21" s="1574" t="s">
        <v>8</v>
      </c>
      <c r="U21" s="1575">
        <f>H21</f>
        <v>100</v>
      </c>
      <c r="V21" s="1574" t="s">
        <v>8</v>
      </c>
      <c r="W21" s="1575">
        <f>J21</f>
        <v>100</v>
      </c>
      <c r="X21" s="2561"/>
      <c r="Y21" s="3448"/>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48"/>
      <c r="Q22" s="2559"/>
      <c r="R22" s="1574"/>
      <c r="S22" s="1575"/>
      <c r="T22" s="1574"/>
      <c r="U22" s="1575"/>
      <c r="V22" s="1574"/>
      <c r="W22" s="1575"/>
      <c r="X22" s="2561"/>
      <c r="Y22" s="3448"/>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48"/>
      <c r="Q23" s="1573" t="str">
        <f>B23</f>
        <v>环境质量</v>
      </c>
      <c r="R23" s="1574" t="s">
        <v>8</v>
      </c>
      <c r="S23" s="1575">
        <f>F23</f>
        <v>100</v>
      </c>
      <c r="T23" s="1574" t="s">
        <v>8</v>
      </c>
      <c r="U23" s="1575">
        <f>H23</f>
        <v>100</v>
      </c>
      <c r="V23" s="1574" t="s">
        <v>8</v>
      </c>
      <c r="W23" s="1575">
        <f>J23</f>
        <v>100</v>
      </c>
      <c r="X23" s="1568"/>
      <c r="Y23" s="344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48"/>
      <c r="Q24" s="1573"/>
      <c r="R24" s="1574"/>
      <c r="S24" s="1575"/>
      <c r="T24" s="1574"/>
      <c r="U24" s="1575"/>
      <c r="V24" s="1574"/>
      <c r="W24" s="1575"/>
      <c r="X24" s="1568"/>
      <c r="Y24" s="344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8"/>
      <c r="Q25" s="1573">
        <f>B25</f>
        <v>111</v>
      </c>
      <c r="R25" s="1574" t="s">
        <v>8</v>
      </c>
      <c r="S25" s="1575">
        <f>F25</f>
        <v>100</v>
      </c>
      <c r="T25" s="1574" t="s">
        <v>8</v>
      </c>
      <c r="U25" s="1575">
        <f>H25</f>
        <v>100</v>
      </c>
      <c r="V25" s="1574" t="s">
        <v>8</v>
      </c>
      <c r="W25" s="1575">
        <f>J25</f>
        <v>100</v>
      </c>
      <c r="X25" s="1568"/>
      <c r="Y25" s="344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8"/>
      <c r="Q26" s="1573">
        <f t="shared" ref="Q26:Q40" si="11">B26</f>
        <v>111</v>
      </c>
      <c r="R26" s="1574" t="s">
        <v>8</v>
      </c>
      <c r="S26" s="1575">
        <f>F26</f>
        <v>100</v>
      </c>
      <c r="T26" s="1574" t="s">
        <v>8</v>
      </c>
      <c r="U26" s="1575">
        <f>H26</f>
        <v>100</v>
      </c>
      <c r="V26" s="1574" t="s">
        <v>8</v>
      </c>
      <c r="W26" s="1575">
        <f>J26</f>
        <v>100</v>
      </c>
      <c r="X26" s="1568"/>
      <c r="Y26" s="344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8"/>
      <c r="Q27" s="1151">
        <f t="shared" si="11"/>
        <v>111</v>
      </c>
      <c r="R27" s="1569" t="s">
        <v>8</v>
      </c>
      <c r="S27" s="1570">
        <f>F27</f>
        <v>100</v>
      </c>
      <c r="T27" s="1569" t="s">
        <v>8</v>
      </c>
      <c r="U27" s="1570">
        <f>H27</f>
        <v>100</v>
      </c>
      <c r="V27" s="1569" t="s">
        <v>8</v>
      </c>
      <c r="W27" s="1570">
        <f>J27</f>
        <v>100</v>
      </c>
      <c r="X27" s="1571"/>
      <c r="Y27" s="344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48"/>
      <c r="Q28" s="1573">
        <f t="shared" si="11"/>
        <v>111</v>
      </c>
      <c r="R28" s="1574" t="s">
        <v>8</v>
      </c>
      <c r="S28" s="1575">
        <f t="shared" ref="S28:S40" si="12">F28</f>
        <v>100</v>
      </c>
      <c r="T28" s="1574" t="s">
        <v>8</v>
      </c>
      <c r="U28" s="1575">
        <f t="shared" ref="U28:U40" si="13">H28</f>
        <v>100</v>
      </c>
      <c r="V28" s="1574" t="s">
        <v>8</v>
      </c>
      <c r="W28" s="1575">
        <f t="shared" ref="W28:W40" si="14">J28</f>
        <v>100</v>
      </c>
      <c r="X28" s="1568"/>
      <c r="Y28" s="3448"/>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9" t="s">
        <v>550</v>
      </c>
      <c r="Q29" s="1573" t="str">
        <f t="shared" si="11"/>
        <v>建筑类型</v>
      </c>
      <c r="R29" s="1574" t="s">
        <v>8</v>
      </c>
      <c r="S29" s="1575">
        <f t="shared" si="12"/>
        <v>100</v>
      </c>
      <c r="T29" s="1574" t="s">
        <v>8</v>
      </c>
      <c r="U29" s="1575">
        <f t="shared" si="13"/>
        <v>100</v>
      </c>
      <c r="V29" s="1574" t="s">
        <v>8</v>
      </c>
      <c r="W29" s="1575">
        <f t="shared" si="14"/>
        <v>100</v>
      </c>
      <c r="X29" s="1568"/>
      <c r="Y29" s="345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50"/>
      <c r="Q30" s="1606" t="str">
        <f t="shared" si="11"/>
        <v>项目建筑规模</v>
      </c>
      <c r="R30" s="1578" t="s">
        <v>8</v>
      </c>
      <c r="S30" s="1579" t="e">
        <f t="shared" si="12"/>
        <v>#N/A</v>
      </c>
      <c r="T30" s="1578" t="s">
        <v>8</v>
      </c>
      <c r="U30" s="1579" t="e">
        <f t="shared" si="13"/>
        <v>#N/A</v>
      </c>
      <c r="V30" s="1578" t="s">
        <v>8</v>
      </c>
      <c r="W30" s="1579" t="e">
        <f t="shared" si="14"/>
        <v>#N/A</v>
      </c>
      <c r="X30" s="1580"/>
      <c r="Y30" s="345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50"/>
      <c r="Q31" s="1573" t="str">
        <f t="shared" si="11"/>
        <v>建筑结构</v>
      </c>
      <c r="R31" s="1574" t="s">
        <v>8</v>
      </c>
      <c r="S31" s="1575">
        <f t="shared" si="12"/>
        <v>100</v>
      </c>
      <c r="T31" s="1574" t="s">
        <v>8</v>
      </c>
      <c r="U31" s="1575">
        <f t="shared" si="13"/>
        <v>100</v>
      </c>
      <c r="V31" s="1574" t="s">
        <v>8</v>
      </c>
      <c r="W31" s="1575">
        <f t="shared" si="14"/>
        <v>100</v>
      </c>
      <c r="X31" s="1568"/>
      <c r="Y31" s="345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50"/>
      <c r="Q32" s="1573" t="str">
        <f t="shared" si="11"/>
        <v>公共部分装修</v>
      </c>
      <c r="R32" s="1574" t="s">
        <v>8</v>
      </c>
      <c r="S32" s="1575">
        <f t="shared" si="12"/>
        <v>100</v>
      </c>
      <c r="T32" s="1574" t="s">
        <v>8</v>
      </c>
      <c r="U32" s="1575">
        <f t="shared" si="13"/>
        <v>100</v>
      </c>
      <c r="V32" s="1574" t="s">
        <v>8</v>
      </c>
      <c r="W32" s="1575">
        <f t="shared" si="14"/>
        <v>100</v>
      </c>
      <c r="X32" s="1568"/>
      <c r="Y32" s="345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50"/>
      <c r="Q33" s="1573" t="str">
        <f t="shared" si="11"/>
        <v>成新度</v>
      </c>
      <c r="R33" s="1574" t="s">
        <v>8</v>
      </c>
      <c r="S33" s="1575" t="e">
        <f t="shared" si="12"/>
        <v>#N/A</v>
      </c>
      <c r="T33" s="1574" t="s">
        <v>8</v>
      </c>
      <c r="U33" s="1575" t="e">
        <f t="shared" si="13"/>
        <v>#N/A</v>
      </c>
      <c r="V33" s="1574" t="s">
        <v>8</v>
      </c>
      <c r="W33" s="1575" t="e">
        <f t="shared" si="14"/>
        <v>#N/A</v>
      </c>
      <c r="X33" s="1568"/>
      <c r="Y33" s="345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50"/>
      <c r="Q34" s="1151" t="str">
        <f t="shared" si="11"/>
        <v>物业管理</v>
      </c>
      <c r="R34" s="1569" t="s">
        <v>8</v>
      </c>
      <c r="S34" s="1570">
        <f t="shared" si="12"/>
        <v>100</v>
      </c>
      <c r="T34" s="1569" t="s">
        <v>8</v>
      </c>
      <c r="U34" s="1570">
        <f t="shared" si="13"/>
        <v>100</v>
      </c>
      <c r="V34" s="1569" t="s">
        <v>8</v>
      </c>
      <c r="W34" s="1570">
        <f t="shared" si="14"/>
        <v>100</v>
      </c>
      <c r="X34" s="1571"/>
      <c r="Y34" s="3450"/>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50" t="s">
        <v>550</v>
      </c>
      <c r="Q35" s="1573" t="str">
        <f t="shared" si="11"/>
        <v>市政基础设施</v>
      </c>
      <c r="R35" s="1574" t="s">
        <v>8</v>
      </c>
      <c r="S35" s="1575">
        <f t="shared" si="12"/>
        <v>100</v>
      </c>
      <c r="T35" s="1574" t="s">
        <v>8</v>
      </c>
      <c r="U35" s="1575">
        <f t="shared" si="13"/>
        <v>100</v>
      </c>
      <c r="V35" s="1574" t="s">
        <v>8</v>
      </c>
      <c r="W35" s="1575">
        <f t="shared" si="14"/>
        <v>100</v>
      </c>
      <c r="X35" s="1568"/>
      <c r="Y35" s="345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50"/>
      <c r="Q36" s="1573" t="str">
        <f t="shared" si="11"/>
        <v>内部装修</v>
      </c>
      <c r="R36" s="1574" t="s">
        <v>8</v>
      </c>
      <c r="S36" s="1575">
        <f t="shared" si="12"/>
        <v>100</v>
      </c>
      <c r="T36" s="1574" t="s">
        <v>8</v>
      </c>
      <c r="U36" s="1575">
        <f t="shared" si="13"/>
        <v>100</v>
      </c>
      <c r="V36" s="1574" t="s">
        <v>8</v>
      </c>
      <c r="W36" s="1575">
        <f t="shared" si="14"/>
        <v>100</v>
      </c>
      <c r="X36" s="1568"/>
      <c r="Y36" s="345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50"/>
      <c r="Q37" s="1573" t="str">
        <f t="shared" si="11"/>
        <v>内部装修状况</v>
      </c>
      <c r="R37" s="1574" t="s">
        <v>8</v>
      </c>
      <c r="S37" s="1575">
        <f t="shared" si="12"/>
        <v>100</v>
      </c>
      <c r="T37" s="1574" t="s">
        <v>8</v>
      </c>
      <c r="U37" s="1575">
        <f t="shared" si="13"/>
        <v>100</v>
      </c>
      <c r="V37" s="1574" t="s">
        <v>8</v>
      </c>
      <c r="W37" s="1575">
        <f t="shared" si="14"/>
        <v>100</v>
      </c>
      <c r="X37" s="1568"/>
      <c r="Y37" s="345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50"/>
      <c r="Q38" s="1606">
        <f t="shared" si="11"/>
        <v>111</v>
      </c>
      <c r="R38" s="1578" t="s">
        <v>8</v>
      </c>
      <c r="S38" s="1579">
        <f t="shared" si="12"/>
        <v>100</v>
      </c>
      <c r="T38" s="1578" t="s">
        <v>8</v>
      </c>
      <c r="U38" s="1579">
        <f t="shared" si="13"/>
        <v>100</v>
      </c>
      <c r="V38" s="1578" t="s">
        <v>8</v>
      </c>
      <c r="W38" s="1579">
        <f t="shared" si="14"/>
        <v>100</v>
      </c>
      <c r="X38" s="1580"/>
      <c r="Y38" s="345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50"/>
      <c r="Q39" s="1573">
        <f t="shared" si="11"/>
        <v>111</v>
      </c>
      <c r="R39" s="1574" t="s">
        <v>8</v>
      </c>
      <c r="S39" s="1575">
        <f t="shared" si="12"/>
        <v>100</v>
      </c>
      <c r="T39" s="1574" t="s">
        <v>8</v>
      </c>
      <c r="U39" s="1575">
        <f t="shared" si="13"/>
        <v>100</v>
      </c>
      <c r="V39" s="1574" t="s">
        <v>8</v>
      </c>
      <c r="W39" s="1575">
        <f t="shared" si="14"/>
        <v>100</v>
      </c>
      <c r="X39" s="1568"/>
      <c r="Y39" s="345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30"/>
      <c r="Q40" s="1573">
        <f t="shared" si="11"/>
        <v>111</v>
      </c>
      <c r="R40" s="1574" t="s">
        <v>8</v>
      </c>
      <c r="S40" s="1575">
        <f t="shared" si="12"/>
        <v>100</v>
      </c>
      <c r="T40" s="1574" t="s">
        <v>8</v>
      </c>
      <c r="U40" s="1575">
        <f t="shared" si="13"/>
        <v>100</v>
      </c>
      <c r="V40" s="1574" t="s">
        <v>8</v>
      </c>
      <c r="W40" s="1575">
        <f t="shared" si="14"/>
        <v>100</v>
      </c>
      <c r="X40" s="1568"/>
      <c r="Y40" s="3530"/>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413" t="str">
        <f>A41</f>
        <v>成交单价（元/平方米）</v>
      </c>
      <c r="Q41" s="3413"/>
      <c r="R41" s="3529">
        <f>E41</f>
        <v>0</v>
      </c>
      <c r="S41" s="3529"/>
      <c r="T41" s="3529">
        <f>G41</f>
        <v>0</v>
      </c>
      <c r="U41" s="3529"/>
      <c r="V41" s="3529">
        <f>I41</f>
        <v>0</v>
      </c>
      <c r="W41" s="3529"/>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413" t="str">
        <f>A42</f>
        <v>比较价格（元/平方米）</v>
      </c>
      <c r="Q42" s="3413"/>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60"/>
      <c r="Y42" s="1560"/>
      <c r="Z42" s="1560"/>
      <c r="AA42" s="1560"/>
      <c r="AB42" s="1560"/>
      <c r="AC42" s="1560"/>
    </row>
    <row r="43" spans="1:29" ht="15.75" thickBot="1">
      <c r="A43" s="621" t="s">
        <v>2936</v>
      </c>
      <c r="B43" s="622"/>
      <c r="C43" s="2616" t="e">
        <f>R43</f>
        <v>#DIV/0!</v>
      </c>
      <c r="D43" s="2616"/>
      <c r="E43" s="2616"/>
      <c r="F43" s="2616"/>
      <c r="G43" s="2616"/>
      <c r="H43" s="2616"/>
      <c r="I43" s="2616"/>
      <c r="J43" s="2616"/>
      <c r="K43" s="1614"/>
      <c r="L43" s="2145"/>
      <c r="M43" s="2146"/>
      <c r="N43" s="2146"/>
      <c r="O43" s="2146"/>
      <c r="P43" s="3410" t="str">
        <f>A43</f>
        <v>估价对象XX用房的比较价格（楼面单价，元/平方米）</v>
      </c>
      <c r="Q43" s="3411"/>
      <c r="R43" s="3528" t="e">
        <f>IF(F1="售价",ROUND(AVERAGE(R42:V42),0),ROUND(AVERAGE(R42:V42),1))</f>
        <v>#DIV/0!</v>
      </c>
      <c r="S43" s="3528"/>
      <c r="T43" s="3528"/>
      <c r="U43" s="3528"/>
      <c r="V43" s="3528"/>
      <c r="W43" s="3528"/>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9" t="s">
        <v>798</v>
      </c>
      <c r="D4" s="3420"/>
      <c r="E4" s="3419" t="s">
        <v>799</v>
      </c>
      <c r="F4" s="3420"/>
      <c r="G4" s="3419" t="s">
        <v>800</v>
      </c>
      <c r="H4" s="3420"/>
      <c r="I4" s="3419" t="s">
        <v>801</v>
      </c>
      <c r="J4" s="3420"/>
      <c r="K4" s="514" t="s">
        <v>802</v>
      </c>
      <c r="L4" s="2134"/>
      <c r="M4" s="2135"/>
      <c r="N4" s="2135"/>
      <c r="O4" s="2135"/>
      <c r="P4" s="3421" t="s">
        <v>803</v>
      </c>
      <c r="Q4" s="3422"/>
      <c r="R4" s="3427" t="s">
        <v>799</v>
      </c>
      <c r="S4" s="3428"/>
      <c r="T4" s="3427" t="s">
        <v>800</v>
      </c>
      <c r="U4" s="3428"/>
      <c r="V4" s="3414" t="s">
        <v>801</v>
      </c>
      <c r="W4" s="3414"/>
      <c r="X4" s="1568"/>
      <c r="Y4" s="3427" t="s">
        <v>803</v>
      </c>
      <c r="Z4" s="3428"/>
      <c r="AA4" s="3416" t="s">
        <v>799</v>
      </c>
      <c r="AB4" s="3417" t="s">
        <v>800</v>
      </c>
      <c r="AC4" s="3416" t="s">
        <v>801</v>
      </c>
    </row>
    <row r="5" spans="1:29" ht="15">
      <c r="A5" s="515"/>
      <c r="B5" s="516"/>
      <c r="C5" s="3435" t="s">
        <v>2930</v>
      </c>
      <c r="D5" s="3436"/>
      <c r="E5" s="3435" t="s">
        <v>2931</v>
      </c>
      <c r="F5" s="3436"/>
      <c r="G5" s="3435" t="s">
        <v>2932</v>
      </c>
      <c r="H5" s="3436"/>
      <c r="I5" s="3435" t="s">
        <v>2933</v>
      </c>
      <c r="J5" s="3436"/>
      <c r="K5" s="514"/>
      <c r="L5" s="2134"/>
      <c r="M5" s="2135"/>
      <c r="N5" s="2135"/>
      <c r="O5" s="2135"/>
      <c r="P5" s="3423"/>
      <c r="Q5" s="3424"/>
      <c r="R5" s="3429"/>
      <c r="S5" s="3430"/>
      <c r="T5" s="3429"/>
      <c r="U5" s="3430"/>
      <c r="V5" s="3414"/>
      <c r="W5" s="3414"/>
      <c r="X5" s="1568"/>
      <c r="Y5" s="3429"/>
      <c r="Z5" s="3430"/>
      <c r="AA5" s="3417"/>
      <c r="AB5" s="3417"/>
      <c r="AC5" s="3417"/>
    </row>
    <row r="6" spans="1:29" ht="15.75" thickBot="1">
      <c r="A6" s="517"/>
      <c r="B6" s="518"/>
      <c r="C6" s="3433" t="s">
        <v>2934</v>
      </c>
      <c r="D6" s="3434"/>
      <c r="E6" s="3437" t="s">
        <v>2934</v>
      </c>
      <c r="F6" s="3438"/>
      <c r="G6" s="3433" t="s">
        <v>2934</v>
      </c>
      <c r="H6" s="3434"/>
      <c r="I6" s="3433" t="s">
        <v>2934</v>
      </c>
      <c r="J6" s="3434"/>
      <c r="K6" s="514" t="s">
        <v>528</v>
      </c>
      <c r="L6" s="2134"/>
      <c r="M6" s="2135"/>
      <c r="N6" s="2135"/>
      <c r="O6" s="2135"/>
      <c r="P6" s="3425"/>
      <c r="Q6" s="3426"/>
      <c r="R6" s="3429"/>
      <c r="S6" s="3430"/>
      <c r="T6" s="3431"/>
      <c r="U6" s="3432"/>
      <c r="V6" s="3414"/>
      <c r="W6" s="3414"/>
      <c r="X6" s="1568"/>
      <c r="Y6" s="3431"/>
      <c r="Z6" s="3432"/>
      <c r="AA6" s="3418"/>
      <c r="AB6" s="3418"/>
      <c r="AC6" s="3418"/>
    </row>
    <row r="7" spans="1:29" s="1220" customFormat="1" ht="15.75" thickBot="1">
      <c r="A7" s="2891"/>
      <c r="B7" s="2898" t="s">
        <v>529</v>
      </c>
      <c r="C7" s="519">
        <f>'数据-取费表'!B2</f>
        <v>43555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4" t="s">
        <v>530</v>
      </c>
      <c r="Q7" s="3446"/>
      <c r="R7" s="1569" t="s">
        <v>8</v>
      </c>
      <c r="S7" s="1570">
        <f t="shared" ref="S7:S14" si="0">F7</f>
        <v>0</v>
      </c>
      <c r="T7" s="1569" t="s">
        <v>8</v>
      </c>
      <c r="U7" s="1570">
        <f t="shared" ref="U7:U14" si="1">H7</f>
        <v>0</v>
      </c>
      <c r="V7" s="1569" t="s">
        <v>8</v>
      </c>
      <c r="W7" s="1570">
        <f t="shared" ref="W7:W14"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4" t="s">
        <v>533</v>
      </c>
      <c r="Q8" s="3445"/>
      <c r="R8" s="1569" t="s">
        <v>8</v>
      </c>
      <c r="S8" s="1570">
        <f t="shared" si="0"/>
        <v>0</v>
      </c>
      <c r="T8" s="1569" t="s">
        <v>8</v>
      </c>
      <c r="U8" s="1570">
        <f t="shared" si="1"/>
        <v>0</v>
      </c>
      <c r="V8" s="1569" t="s">
        <v>8</v>
      </c>
      <c r="W8" s="1570">
        <f t="shared" si="2"/>
        <v>0</v>
      </c>
      <c r="X8" s="1571"/>
      <c r="Y8" s="3444" t="s">
        <v>533</v>
      </c>
      <c r="Z8" s="344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3"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3"/>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3"/>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3"/>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47" t="s">
        <v>540</v>
      </c>
      <c r="Q14" s="1573" t="str">
        <f t="shared" si="6"/>
        <v>交通便捷度</v>
      </c>
      <c r="R14" s="1574" t="s">
        <v>8</v>
      </c>
      <c r="S14" s="1575">
        <f t="shared" si="0"/>
        <v>100</v>
      </c>
      <c r="T14" s="1574" t="s">
        <v>8</v>
      </c>
      <c r="U14" s="1575">
        <f t="shared" si="1"/>
        <v>100</v>
      </c>
      <c r="V14" s="1574" t="s">
        <v>8</v>
      </c>
      <c r="W14" s="1575">
        <f t="shared" si="2"/>
        <v>100</v>
      </c>
      <c r="X14" s="1568"/>
      <c r="Y14" s="344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48"/>
      <c r="Q15" s="1573"/>
      <c r="R15" s="1574"/>
      <c r="S15" s="1575"/>
      <c r="T15" s="1574"/>
      <c r="U15" s="1575"/>
      <c r="V15" s="1574"/>
      <c r="W15" s="1575"/>
      <c r="X15" s="1568"/>
      <c r="Y15" s="3448"/>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48"/>
      <c r="Q16" s="1573" t="str">
        <f>B16</f>
        <v>公共配套设施</v>
      </c>
      <c r="R16" s="1574" t="s">
        <v>8</v>
      </c>
      <c r="S16" s="1575">
        <f>F16</f>
        <v>100</v>
      </c>
      <c r="T16" s="1574" t="s">
        <v>8</v>
      </c>
      <c r="U16" s="1575">
        <f>H16</f>
        <v>100</v>
      </c>
      <c r="V16" s="1574" t="s">
        <v>8</v>
      </c>
      <c r="W16" s="1575">
        <f>J16</f>
        <v>100</v>
      </c>
      <c r="X16" s="1568"/>
      <c r="Y16" s="344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48"/>
      <c r="Q17" s="1573"/>
      <c r="R17" s="1574"/>
      <c r="S17" s="1575"/>
      <c r="T17" s="1574"/>
      <c r="U17" s="1575"/>
      <c r="V17" s="1574"/>
      <c r="W17" s="1575"/>
      <c r="X17" s="1568"/>
      <c r="Y17" s="3448"/>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48"/>
      <c r="Q18" s="2559" t="str">
        <f>B18</f>
        <v>基础设施水平</v>
      </c>
      <c r="R18" s="1574" t="s">
        <v>8</v>
      </c>
      <c r="S18" s="1575">
        <f>F18</f>
        <v>100</v>
      </c>
      <c r="T18" s="1574" t="s">
        <v>8</v>
      </c>
      <c r="U18" s="1575">
        <f>H18</f>
        <v>100</v>
      </c>
      <c r="V18" s="1574" t="s">
        <v>8</v>
      </c>
      <c r="W18" s="1575">
        <f>J18</f>
        <v>100</v>
      </c>
      <c r="X18" s="2561"/>
      <c r="Y18" s="3448"/>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48"/>
      <c r="Q19" s="2559"/>
      <c r="R19" s="1574"/>
      <c r="S19" s="1575"/>
      <c r="T19" s="1574"/>
      <c r="U19" s="1575"/>
      <c r="V19" s="1574"/>
      <c r="W19" s="1575"/>
      <c r="X19" s="2561"/>
      <c r="Y19" s="3448"/>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48"/>
      <c r="Q20" s="1573" t="str">
        <f>B20</f>
        <v>自然及人文环境</v>
      </c>
      <c r="R20" s="1574" t="s">
        <v>8</v>
      </c>
      <c r="S20" s="1575">
        <f>F20</f>
        <v>100</v>
      </c>
      <c r="T20" s="1574" t="s">
        <v>8</v>
      </c>
      <c r="U20" s="1575">
        <f>H20</f>
        <v>100</v>
      </c>
      <c r="V20" s="1574" t="s">
        <v>8</v>
      </c>
      <c r="W20" s="1575">
        <f>J20</f>
        <v>100</v>
      </c>
      <c r="X20" s="1568"/>
      <c r="Y20" s="344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48"/>
      <c r="Q21" s="1573"/>
      <c r="R21" s="1574"/>
      <c r="S21" s="1575"/>
      <c r="T21" s="1574"/>
      <c r="U21" s="1575"/>
      <c r="V21" s="1574"/>
      <c r="W21" s="1575"/>
      <c r="X21" s="1568"/>
      <c r="Y21" s="344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8"/>
      <c r="Q22" s="1573" t="str">
        <f>B22</f>
        <v>楼层</v>
      </c>
      <c r="R22" s="1574" t="s">
        <v>8</v>
      </c>
      <c r="S22" s="1575">
        <f>F22</f>
        <v>100</v>
      </c>
      <c r="T22" s="1574" t="s">
        <v>8</v>
      </c>
      <c r="U22" s="1575">
        <f>H22</f>
        <v>100</v>
      </c>
      <c r="V22" s="1574" t="s">
        <v>8</v>
      </c>
      <c r="W22" s="1575">
        <f>J22</f>
        <v>100</v>
      </c>
      <c r="X22" s="1568"/>
      <c r="Y22" s="344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8"/>
      <c r="Q23" s="1573">
        <f>B23</f>
        <v>111</v>
      </c>
      <c r="R23" s="1574" t="s">
        <v>8</v>
      </c>
      <c r="S23" s="1575">
        <f>F23</f>
        <v>100</v>
      </c>
      <c r="T23" s="1574" t="s">
        <v>8</v>
      </c>
      <c r="U23" s="1575">
        <f>H23</f>
        <v>100</v>
      </c>
      <c r="V23" s="1574" t="s">
        <v>8</v>
      </c>
      <c r="W23" s="1575">
        <f>J23</f>
        <v>100</v>
      </c>
      <c r="X23" s="1568"/>
      <c r="Y23" s="344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8"/>
      <c r="Q24" s="1573">
        <f t="shared" ref="Q24:Q36" si="11">B24</f>
        <v>111</v>
      </c>
      <c r="R24" s="1574" t="s">
        <v>8</v>
      </c>
      <c r="S24" s="1575">
        <f>F24</f>
        <v>100</v>
      </c>
      <c r="T24" s="1574" t="s">
        <v>8</v>
      </c>
      <c r="U24" s="1575">
        <f>H24</f>
        <v>100</v>
      </c>
      <c r="V24" s="1574" t="s">
        <v>8</v>
      </c>
      <c r="W24" s="1575">
        <f>J24</f>
        <v>100</v>
      </c>
      <c r="X24" s="1568"/>
      <c r="Y24" s="344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48"/>
      <c r="Q25" s="1151">
        <f t="shared" si="11"/>
        <v>111</v>
      </c>
      <c r="R25" s="1569" t="s">
        <v>8</v>
      </c>
      <c r="S25" s="1570">
        <f>F25</f>
        <v>100</v>
      </c>
      <c r="T25" s="1569" t="s">
        <v>8</v>
      </c>
      <c r="U25" s="1570">
        <f>H25</f>
        <v>100</v>
      </c>
      <c r="V25" s="1569" t="s">
        <v>8</v>
      </c>
      <c r="W25" s="1570">
        <f>J25</f>
        <v>100</v>
      </c>
      <c r="X25" s="1571"/>
      <c r="Y25" s="3448"/>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5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50"/>
      <c r="Q27" s="1606" t="str">
        <f t="shared" si="11"/>
        <v>项目停车位配比</v>
      </c>
      <c r="R27" s="1578" t="s">
        <v>8</v>
      </c>
      <c r="S27" s="1579">
        <f t="shared" si="12"/>
        <v>100</v>
      </c>
      <c r="T27" s="1578" t="s">
        <v>8</v>
      </c>
      <c r="U27" s="1579">
        <f t="shared" si="13"/>
        <v>100</v>
      </c>
      <c r="V27" s="1578" t="s">
        <v>8</v>
      </c>
      <c r="W27" s="1579">
        <f t="shared" si="14"/>
        <v>100</v>
      </c>
      <c r="X27" s="1580"/>
      <c r="Y27" s="345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50"/>
      <c r="Q28" s="1573" t="str">
        <f t="shared" si="11"/>
        <v>公共部分装修</v>
      </c>
      <c r="R28" s="1574" t="s">
        <v>8</v>
      </c>
      <c r="S28" s="1575">
        <f t="shared" si="12"/>
        <v>100</v>
      </c>
      <c r="T28" s="1574" t="s">
        <v>8</v>
      </c>
      <c r="U28" s="1575">
        <f t="shared" si="13"/>
        <v>100</v>
      </c>
      <c r="V28" s="1574" t="s">
        <v>8</v>
      </c>
      <c r="W28" s="1575">
        <f t="shared" si="14"/>
        <v>100</v>
      </c>
      <c r="X28" s="1568"/>
      <c r="Y28" s="345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50"/>
      <c r="Q29" s="1573" t="str">
        <f t="shared" si="11"/>
        <v>成新率</v>
      </c>
      <c r="R29" s="1574" t="s">
        <v>8</v>
      </c>
      <c r="S29" s="1575" t="e">
        <f t="shared" si="12"/>
        <v>#N/A</v>
      </c>
      <c r="T29" s="1574" t="s">
        <v>8</v>
      </c>
      <c r="U29" s="1575" t="e">
        <f t="shared" si="13"/>
        <v>#N/A</v>
      </c>
      <c r="V29" s="1574" t="s">
        <v>8</v>
      </c>
      <c r="W29" s="1575" t="e">
        <f t="shared" si="14"/>
        <v>#N/A</v>
      </c>
      <c r="X29" s="1568"/>
      <c r="Y29" s="345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50"/>
      <c r="Q30" s="1573" t="str">
        <f t="shared" si="11"/>
        <v>物业等级</v>
      </c>
      <c r="R30" s="1574" t="s">
        <v>8</v>
      </c>
      <c r="S30" s="1575">
        <f t="shared" si="12"/>
        <v>100</v>
      </c>
      <c r="T30" s="1574" t="s">
        <v>8</v>
      </c>
      <c r="U30" s="1575">
        <f t="shared" si="13"/>
        <v>100</v>
      </c>
      <c r="V30" s="1574" t="s">
        <v>8</v>
      </c>
      <c r="W30" s="1575">
        <f t="shared" si="14"/>
        <v>100</v>
      </c>
      <c r="X30" s="1568"/>
      <c r="Y30" s="345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50"/>
      <c r="Q31" s="1151" t="str">
        <f t="shared" si="11"/>
        <v>停车位面积</v>
      </c>
      <c r="R31" s="1569" t="s">
        <v>8</v>
      </c>
      <c r="S31" s="1570" t="e">
        <f t="shared" si="12"/>
        <v>#N/A</v>
      </c>
      <c r="T31" s="1569" t="s">
        <v>8</v>
      </c>
      <c r="U31" s="1570" t="e">
        <f t="shared" si="13"/>
        <v>#N/A</v>
      </c>
      <c r="V31" s="1569" t="s">
        <v>8</v>
      </c>
      <c r="W31" s="1570" t="e">
        <f t="shared" si="14"/>
        <v>#N/A</v>
      </c>
      <c r="X31" s="1571"/>
      <c r="Y31" s="345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50" t="s">
        <v>550</v>
      </c>
      <c r="Q32" s="1573" t="str">
        <f t="shared" si="11"/>
        <v>车位类型</v>
      </c>
      <c r="R32" s="1574" t="s">
        <v>8</v>
      </c>
      <c r="S32" s="1575">
        <f t="shared" si="12"/>
        <v>100</v>
      </c>
      <c r="T32" s="1574" t="s">
        <v>8</v>
      </c>
      <c r="U32" s="1575">
        <f t="shared" si="13"/>
        <v>100</v>
      </c>
      <c r="V32" s="1574" t="s">
        <v>8</v>
      </c>
      <c r="W32" s="1575">
        <f t="shared" si="14"/>
        <v>100</v>
      </c>
      <c r="X32" s="1568"/>
      <c r="Y32" s="345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50"/>
      <c r="Q33" s="1573" t="str">
        <f t="shared" si="11"/>
        <v>是否直接入户</v>
      </c>
      <c r="R33" s="1574" t="s">
        <v>8</v>
      </c>
      <c r="S33" s="1575">
        <f t="shared" si="12"/>
        <v>100</v>
      </c>
      <c r="T33" s="1574" t="s">
        <v>8</v>
      </c>
      <c r="U33" s="1575">
        <f t="shared" si="13"/>
        <v>100</v>
      </c>
      <c r="V33" s="1574" t="s">
        <v>8</v>
      </c>
      <c r="W33" s="1575">
        <f t="shared" si="14"/>
        <v>100</v>
      </c>
      <c r="X33" s="1568"/>
      <c r="Y33" s="345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50"/>
      <c r="Q34" s="1573">
        <f t="shared" si="11"/>
        <v>111</v>
      </c>
      <c r="R34" s="1574" t="s">
        <v>8</v>
      </c>
      <c r="S34" s="1575">
        <f t="shared" si="12"/>
        <v>100</v>
      </c>
      <c r="T34" s="1574" t="s">
        <v>8</v>
      </c>
      <c r="U34" s="1575">
        <f t="shared" si="13"/>
        <v>100</v>
      </c>
      <c r="V34" s="1574" t="s">
        <v>8</v>
      </c>
      <c r="W34" s="1575">
        <f t="shared" si="14"/>
        <v>100</v>
      </c>
      <c r="X34" s="1568"/>
      <c r="Y34" s="345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50"/>
      <c r="Q35" s="1606">
        <f t="shared" si="11"/>
        <v>111</v>
      </c>
      <c r="R35" s="1578" t="s">
        <v>8</v>
      </c>
      <c r="S35" s="1579">
        <f t="shared" si="12"/>
        <v>100</v>
      </c>
      <c r="T35" s="1578" t="s">
        <v>8</v>
      </c>
      <c r="U35" s="1579">
        <f t="shared" si="13"/>
        <v>100</v>
      </c>
      <c r="V35" s="1578" t="s">
        <v>8</v>
      </c>
      <c r="W35" s="1579">
        <f t="shared" si="14"/>
        <v>100</v>
      </c>
      <c r="X35" s="1580"/>
      <c r="Y35" s="345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50"/>
      <c r="Q36" s="1573">
        <f t="shared" si="11"/>
        <v>111</v>
      </c>
      <c r="R36" s="1574" t="s">
        <v>8</v>
      </c>
      <c r="S36" s="1575">
        <f t="shared" si="12"/>
        <v>100</v>
      </c>
      <c r="T36" s="1574" t="s">
        <v>8</v>
      </c>
      <c r="U36" s="1575">
        <f t="shared" si="13"/>
        <v>100</v>
      </c>
      <c r="V36" s="1574" t="s">
        <v>8</v>
      </c>
      <c r="W36" s="1575">
        <f t="shared" si="14"/>
        <v>100</v>
      </c>
      <c r="X36" s="1568"/>
      <c r="Y36" s="3450"/>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413" t="str">
        <f>A37</f>
        <v>成交单价</v>
      </c>
      <c r="Q37" s="3413"/>
      <c r="R37" s="3529">
        <f>E37</f>
        <v>0</v>
      </c>
      <c r="S37" s="3529"/>
      <c r="T37" s="3529">
        <f>G37</f>
        <v>0</v>
      </c>
      <c r="U37" s="3529"/>
      <c r="V37" s="3529">
        <f>I37</f>
        <v>0</v>
      </c>
      <c r="W37" s="3529"/>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413" t="str">
        <f>A38</f>
        <v>比较价格（元/平方米）</v>
      </c>
      <c r="Q38" s="3413"/>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60"/>
      <c r="Y38" s="1560"/>
      <c r="Z38" s="1560"/>
      <c r="AA38" s="1560"/>
      <c r="AB38" s="1560"/>
      <c r="AC38" s="1560"/>
    </row>
    <row r="39" spans="1:29" ht="15.75" thickBot="1">
      <c r="A39" s="621" t="s">
        <v>2936</v>
      </c>
      <c r="B39" s="622"/>
      <c r="C39" s="2616" t="e">
        <f>R39</f>
        <v>#DIV/0!</v>
      </c>
      <c r="D39" s="2616"/>
      <c r="E39" s="2616"/>
      <c r="F39" s="2616"/>
      <c r="G39" s="2616"/>
      <c r="H39" s="2616"/>
      <c r="I39" s="2616"/>
      <c r="J39" s="2616"/>
      <c r="K39" s="1614"/>
      <c r="L39" s="2145"/>
      <c r="M39" s="2146"/>
      <c r="N39" s="2146"/>
      <c r="O39" s="2146"/>
      <c r="P39" s="3410" t="str">
        <f>A39</f>
        <v>估价对象XX用房的比较价格（楼面单价，元/平方米）</v>
      </c>
      <c r="Q39" s="3411"/>
      <c r="R39" s="3528" t="e">
        <f>IF(F1="售价",ROUND(AVERAGE(R38:V38),0),ROUND(AVERAGE(R38:V38),1))</f>
        <v>#DIV/0!</v>
      </c>
      <c r="S39" s="3528"/>
      <c r="T39" s="3528"/>
      <c r="U39" s="3528"/>
      <c r="V39" s="3528"/>
      <c r="W39" s="3528"/>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9" t="s">
        <v>798</v>
      </c>
      <c r="D4" s="3420"/>
      <c r="E4" s="3453" t="s">
        <v>799</v>
      </c>
      <c r="F4" s="3454"/>
      <c r="G4" s="3419" t="s">
        <v>800</v>
      </c>
      <c r="H4" s="3420"/>
      <c r="I4" s="3419" t="s">
        <v>801</v>
      </c>
      <c r="J4" s="3420"/>
      <c r="K4" s="514" t="s">
        <v>802</v>
      </c>
      <c r="L4" s="2134"/>
      <c r="M4" s="2135"/>
      <c r="N4" s="2135"/>
      <c r="O4" s="2135"/>
      <c r="P4" s="3421" t="s">
        <v>803</v>
      </c>
      <c r="Q4" s="3422"/>
      <c r="R4" s="3427" t="s">
        <v>799</v>
      </c>
      <c r="S4" s="3428"/>
      <c r="T4" s="3427" t="s">
        <v>800</v>
      </c>
      <c r="U4" s="3428"/>
      <c r="V4" s="3414" t="s">
        <v>801</v>
      </c>
      <c r="W4" s="3414"/>
      <c r="X4" s="1568"/>
      <c r="Y4" s="3427" t="s">
        <v>803</v>
      </c>
      <c r="Z4" s="3428"/>
      <c r="AA4" s="3416" t="s">
        <v>799</v>
      </c>
      <c r="AB4" s="3417" t="s">
        <v>800</v>
      </c>
      <c r="AC4" s="3416" t="s">
        <v>801</v>
      </c>
    </row>
    <row r="5" spans="1:29" ht="15">
      <c r="A5" s="515"/>
      <c r="B5" s="516"/>
      <c r="C5" s="3435" t="s">
        <v>2930</v>
      </c>
      <c r="D5" s="3436"/>
      <c r="E5" s="3455" t="s">
        <v>2931</v>
      </c>
      <c r="F5" s="3456"/>
      <c r="G5" s="3435" t="s">
        <v>2932</v>
      </c>
      <c r="H5" s="3436"/>
      <c r="I5" s="3435" t="s">
        <v>2933</v>
      </c>
      <c r="J5" s="3436"/>
      <c r="K5" s="514"/>
      <c r="L5" s="2134"/>
      <c r="M5" s="2135"/>
      <c r="N5" s="2135"/>
      <c r="O5" s="2135"/>
      <c r="P5" s="3423"/>
      <c r="Q5" s="3424"/>
      <c r="R5" s="3429"/>
      <c r="S5" s="3430"/>
      <c r="T5" s="3429"/>
      <c r="U5" s="3430"/>
      <c r="V5" s="3414"/>
      <c r="W5" s="3414"/>
      <c r="X5" s="1568"/>
      <c r="Y5" s="3429"/>
      <c r="Z5" s="3430"/>
      <c r="AA5" s="3417"/>
      <c r="AB5" s="3417"/>
      <c r="AC5" s="3417"/>
    </row>
    <row r="6" spans="1:29" ht="15.75" thickBot="1">
      <c r="A6" s="517"/>
      <c r="B6" s="518"/>
      <c r="C6" s="3433" t="s">
        <v>2934</v>
      </c>
      <c r="D6" s="3434"/>
      <c r="E6" s="3451" t="s">
        <v>2934</v>
      </c>
      <c r="F6" s="3452"/>
      <c r="G6" s="3433" t="s">
        <v>2934</v>
      </c>
      <c r="H6" s="3434"/>
      <c r="I6" s="3433" t="s">
        <v>2934</v>
      </c>
      <c r="J6" s="3434"/>
      <c r="K6" s="514" t="s">
        <v>528</v>
      </c>
      <c r="L6" s="2134"/>
      <c r="M6" s="2135"/>
      <c r="N6" s="2135"/>
      <c r="O6" s="2135"/>
      <c r="P6" s="3425"/>
      <c r="Q6" s="3426"/>
      <c r="R6" s="3429"/>
      <c r="S6" s="3430"/>
      <c r="T6" s="3431"/>
      <c r="U6" s="3432"/>
      <c r="V6" s="3414"/>
      <c r="W6" s="3414"/>
      <c r="X6" s="1568"/>
      <c r="Y6" s="3431"/>
      <c r="Z6" s="3432"/>
      <c r="AA6" s="3418"/>
      <c r="AB6" s="3418"/>
      <c r="AC6" s="3418"/>
    </row>
    <row r="7" spans="1:29" s="1220" customFormat="1" ht="15.75" thickBot="1">
      <c r="A7" s="2891"/>
      <c r="B7" s="2898" t="s">
        <v>529</v>
      </c>
      <c r="C7" s="519">
        <f>'数据-取费表'!B2</f>
        <v>43555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4" t="s">
        <v>530</v>
      </c>
      <c r="Q7" s="3446"/>
      <c r="R7" s="1569" t="s">
        <v>8</v>
      </c>
      <c r="S7" s="1570">
        <f t="shared" ref="S7:S14" si="0">F7</f>
        <v>0</v>
      </c>
      <c r="T7" s="1569" t="s">
        <v>8</v>
      </c>
      <c r="U7" s="1570">
        <f t="shared" ref="U7:U14" si="1">H7</f>
        <v>0</v>
      </c>
      <c r="V7" s="1569" t="s">
        <v>8</v>
      </c>
      <c r="W7" s="1570">
        <f t="shared" ref="W7:W14" si="2">J7</f>
        <v>0</v>
      </c>
      <c r="X7" s="1571"/>
      <c r="Y7" s="3444" t="s">
        <v>530</v>
      </c>
      <c r="Z7" s="344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4" t="s">
        <v>533</v>
      </c>
      <c r="Q8" s="3445"/>
      <c r="R8" s="1569" t="s">
        <v>8</v>
      </c>
      <c r="S8" s="1570">
        <f t="shared" si="0"/>
        <v>0</v>
      </c>
      <c r="T8" s="1569" t="s">
        <v>8</v>
      </c>
      <c r="U8" s="1570">
        <f t="shared" si="1"/>
        <v>0</v>
      </c>
      <c r="V8" s="1569" t="s">
        <v>8</v>
      </c>
      <c r="W8" s="1570">
        <f t="shared" si="2"/>
        <v>0</v>
      </c>
      <c r="X8" s="1571"/>
      <c r="Y8" s="3444" t="s">
        <v>533</v>
      </c>
      <c r="Z8" s="344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3"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3"/>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3"/>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3"/>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3"/>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47" t="s">
        <v>540</v>
      </c>
      <c r="Q14" s="1573" t="str">
        <f t="shared" si="6"/>
        <v>交通便捷度</v>
      </c>
      <c r="R14" s="1574" t="s">
        <v>8</v>
      </c>
      <c r="S14" s="1575">
        <f t="shared" si="0"/>
        <v>100</v>
      </c>
      <c r="T14" s="1574" t="s">
        <v>8</v>
      </c>
      <c r="U14" s="1575">
        <f t="shared" si="1"/>
        <v>100</v>
      </c>
      <c r="V14" s="1574" t="s">
        <v>8</v>
      </c>
      <c r="W14" s="1575">
        <f t="shared" si="2"/>
        <v>100</v>
      </c>
      <c r="X14" s="1568"/>
      <c r="Y14" s="344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48"/>
      <c r="Q15" s="1573"/>
      <c r="R15" s="1574"/>
      <c r="S15" s="1575"/>
      <c r="T15" s="1574"/>
      <c r="U15" s="1575"/>
      <c r="V15" s="1574"/>
      <c r="W15" s="1575"/>
      <c r="X15" s="1568"/>
      <c r="Y15" s="3448"/>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48"/>
      <c r="Q16" s="1573" t="str">
        <f>B16</f>
        <v>公共配套设施</v>
      </c>
      <c r="R16" s="1574" t="s">
        <v>8</v>
      </c>
      <c r="S16" s="1575">
        <f>F16</f>
        <v>100</v>
      </c>
      <c r="T16" s="1574" t="s">
        <v>8</v>
      </c>
      <c r="U16" s="1575">
        <f>H16</f>
        <v>100</v>
      </c>
      <c r="V16" s="1574" t="s">
        <v>8</v>
      </c>
      <c r="W16" s="1575">
        <f>J16</f>
        <v>100</v>
      </c>
      <c r="X16" s="1568"/>
      <c r="Y16" s="344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48"/>
      <c r="Q17" s="1573"/>
      <c r="R17" s="1574"/>
      <c r="S17" s="1575"/>
      <c r="T17" s="1574"/>
      <c r="U17" s="1575"/>
      <c r="V17" s="1574"/>
      <c r="W17" s="1575"/>
      <c r="X17" s="1568"/>
      <c r="Y17" s="3448"/>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48"/>
      <c r="Q18" s="2559" t="str">
        <f>B18</f>
        <v>基础设施水平</v>
      </c>
      <c r="R18" s="1574" t="s">
        <v>8</v>
      </c>
      <c r="S18" s="1575">
        <f>F18</f>
        <v>100</v>
      </c>
      <c r="T18" s="1574" t="s">
        <v>8</v>
      </c>
      <c r="U18" s="1575">
        <f>H18</f>
        <v>100</v>
      </c>
      <c r="V18" s="1574" t="s">
        <v>8</v>
      </c>
      <c r="W18" s="1575">
        <f>J18</f>
        <v>100</v>
      </c>
      <c r="X18" s="2561"/>
      <c r="Y18" s="3448"/>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48"/>
      <c r="Q19" s="2559"/>
      <c r="R19" s="1574"/>
      <c r="S19" s="1575"/>
      <c r="T19" s="1574"/>
      <c r="U19" s="1575"/>
      <c r="V19" s="1574"/>
      <c r="W19" s="1575"/>
      <c r="X19" s="2561"/>
      <c r="Y19" s="3448"/>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48"/>
      <c r="Q20" s="1573" t="str">
        <f>B20</f>
        <v>自然及人文环境</v>
      </c>
      <c r="R20" s="1574" t="s">
        <v>8</v>
      </c>
      <c r="S20" s="1575">
        <f>F20</f>
        <v>100</v>
      </c>
      <c r="T20" s="1574" t="s">
        <v>8</v>
      </c>
      <c r="U20" s="1575">
        <f>H20</f>
        <v>100</v>
      </c>
      <c r="V20" s="1574" t="s">
        <v>8</v>
      </c>
      <c r="W20" s="1575">
        <f>J20</f>
        <v>100</v>
      </c>
      <c r="X20" s="1568"/>
      <c r="Y20" s="344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48"/>
      <c r="Q21" s="1573"/>
      <c r="R21" s="1574"/>
      <c r="S21" s="1575"/>
      <c r="T21" s="1574"/>
      <c r="U21" s="1575"/>
      <c r="V21" s="1574"/>
      <c r="W21" s="1575"/>
      <c r="X21" s="1568"/>
      <c r="Y21" s="344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8"/>
      <c r="Q22" s="1573" t="str">
        <f>B22</f>
        <v>楼层</v>
      </c>
      <c r="R22" s="1574" t="s">
        <v>8</v>
      </c>
      <c r="S22" s="1575">
        <f>F22</f>
        <v>100</v>
      </c>
      <c r="T22" s="1574" t="s">
        <v>8</v>
      </c>
      <c r="U22" s="1575">
        <f>H22</f>
        <v>100</v>
      </c>
      <c r="V22" s="1574" t="s">
        <v>8</v>
      </c>
      <c r="W22" s="1575">
        <f>J22</f>
        <v>100</v>
      </c>
      <c r="X22" s="1568"/>
      <c r="Y22" s="344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8"/>
      <c r="Q23" s="1573">
        <f>B23</f>
        <v>111</v>
      </c>
      <c r="R23" s="1574" t="s">
        <v>8</v>
      </c>
      <c r="S23" s="1575">
        <f>F23</f>
        <v>100</v>
      </c>
      <c r="T23" s="1574" t="s">
        <v>8</v>
      </c>
      <c r="U23" s="1575">
        <f>H23</f>
        <v>100</v>
      </c>
      <c r="V23" s="1574" t="s">
        <v>8</v>
      </c>
      <c r="W23" s="1575">
        <f>J23</f>
        <v>100</v>
      </c>
      <c r="X23" s="1568"/>
      <c r="Y23" s="344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8"/>
      <c r="Q24" s="1573">
        <f t="shared" ref="Q24:Q34" si="11">B24</f>
        <v>111</v>
      </c>
      <c r="R24" s="1574" t="s">
        <v>8</v>
      </c>
      <c r="S24" s="1575">
        <f>F24</f>
        <v>100</v>
      </c>
      <c r="T24" s="1574" t="s">
        <v>8</v>
      </c>
      <c r="U24" s="1575">
        <f>H24</f>
        <v>100</v>
      </c>
      <c r="V24" s="1574" t="s">
        <v>8</v>
      </c>
      <c r="W24" s="1575">
        <f>J24</f>
        <v>100</v>
      </c>
      <c r="X24" s="1568"/>
      <c r="Y24" s="344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48"/>
      <c r="Q25" s="1151">
        <f t="shared" si="11"/>
        <v>111</v>
      </c>
      <c r="R25" s="1569" t="s">
        <v>8</v>
      </c>
      <c r="S25" s="1570">
        <f>F25</f>
        <v>100</v>
      </c>
      <c r="T25" s="1569" t="s">
        <v>8</v>
      </c>
      <c r="U25" s="1570">
        <f>H25</f>
        <v>100</v>
      </c>
      <c r="V25" s="1569" t="s">
        <v>8</v>
      </c>
      <c r="W25" s="1570">
        <f>J25</f>
        <v>100</v>
      </c>
      <c r="X25" s="1571"/>
      <c r="Y25" s="3448"/>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5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50"/>
      <c r="Q27" s="1606" t="str">
        <f t="shared" si="11"/>
        <v>成新率</v>
      </c>
      <c r="R27" s="1578" t="s">
        <v>8</v>
      </c>
      <c r="S27" s="1579" t="e">
        <f t="shared" si="12"/>
        <v>#N/A</v>
      </c>
      <c r="T27" s="1578" t="s">
        <v>8</v>
      </c>
      <c r="U27" s="1579" t="e">
        <f t="shared" si="13"/>
        <v>#N/A</v>
      </c>
      <c r="V27" s="1578" t="s">
        <v>8</v>
      </c>
      <c r="W27" s="1579" t="e">
        <f t="shared" si="14"/>
        <v>#N/A</v>
      </c>
      <c r="X27" s="1580"/>
      <c r="Y27" s="345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50"/>
      <c r="Q28" s="1573" t="str">
        <f t="shared" si="11"/>
        <v>物业等级</v>
      </c>
      <c r="R28" s="1574" t="s">
        <v>8</v>
      </c>
      <c r="S28" s="1575">
        <f t="shared" si="12"/>
        <v>100</v>
      </c>
      <c r="T28" s="1574" t="s">
        <v>8</v>
      </c>
      <c r="U28" s="1575">
        <f t="shared" si="13"/>
        <v>100</v>
      </c>
      <c r="V28" s="1574" t="s">
        <v>8</v>
      </c>
      <c r="W28" s="1575">
        <f t="shared" si="14"/>
        <v>100</v>
      </c>
      <c r="X28" s="1568"/>
      <c r="Y28" s="345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50"/>
      <c r="Q29" s="1573" t="str">
        <f t="shared" si="11"/>
        <v>有无电梯</v>
      </c>
      <c r="R29" s="1574" t="s">
        <v>8</v>
      </c>
      <c r="S29" s="1575">
        <f t="shared" si="12"/>
        <v>100</v>
      </c>
      <c r="T29" s="1574" t="s">
        <v>8</v>
      </c>
      <c r="U29" s="1575">
        <f t="shared" si="13"/>
        <v>100</v>
      </c>
      <c r="V29" s="1574" t="s">
        <v>8</v>
      </c>
      <c r="W29" s="1575">
        <f t="shared" si="14"/>
        <v>100</v>
      </c>
      <c r="X29" s="1568"/>
      <c r="Y29" s="345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50"/>
      <c r="Q30" s="1573" t="str">
        <f t="shared" si="11"/>
        <v>建筑面积</v>
      </c>
      <c r="R30" s="1574" t="s">
        <v>8</v>
      </c>
      <c r="S30" s="1575" t="e">
        <f t="shared" si="12"/>
        <v>#N/A</v>
      </c>
      <c r="T30" s="1574" t="s">
        <v>8</v>
      </c>
      <c r="U30" s="1575" t="e">
        <f t="shared" si="13"/>
        <v>#N/A</v>
      </c>
      <c r="V30" s="1574" t="s">
        <v>8</v>
      </c>
      <c r="W30" s="1575" t="e">
        <f t="shared" si="14"/>
        <v>#N/A</v>
      </c>
      <c r="X30" s="1568"/>
      <c r="Y30" s="345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50"/>
      <c r="Q31" s="1151" t="str">
        <f t="shared" si="11"/>
        <v>是否封闭</v>
      </c>
      <c r="R31" s="1569" t="s">
        <v>8</v>
      </c>
      <c r="S31" s="1570">
        <f t="shared" si="12"/>
        <v>100</v>
      </c>
      <c r="T31" s="1569" t="s">
        <v>8</v>
      </c>
      <c r="U31" s="1570">
        <f t="shared" si="13"/>
        <v>100</v>
      </c>
      <c r="V31" s="1569" t="s">
        <v>8</v>
      </c>
      <c r="W31" s="1570">
        <f t="shared" si="14"/>
        <v>100</v>
      </c>
      <c r="X31" s="1571"/>
      <c r="Y31" s="345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50" t="s">
        <v>550</v>
      </c>
      <c r="Q32" s="1573">
        <f t="shared" si="11"/>
        <v>111</v>
      </c>
      <c r="R32" s="1574" t="s">
        <v>8</v>
      </c>
      <c r="S32" s="1575">
        <f t="shared" si="12"/>
        <v>100</v>
      </c>
      <c r="T32" s="1574" t="s">
        <v>8</v>
      </c>
      <c r="U32" s="1575">
        <f t="shared" si="13"/>
        <v>100</v>
      </c>
      <c r="V32" s="1574" t="s">
        <v>8</v>
      </c>
      <c r="W32" s="1575">
        <f t="shared" si="14"/>
        <v>100</v>
      </c>
      <c r="X32" s="1568"/>
      <c r="Y32" s="345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50"/>
      <c r="Q33" s="1573">
        <f t="shared" si="11"/>
        <v>111</v>
      </c>
      <c r="R33" s="1574" t="s">
        <v>8</v>
      </c>
      <c r="S33" s="1575">
        <f t="shared" si="12"/>
        <v>100</v>
      </c>
      <c r="T33" s="1574" t="s">
        <v>8</v>
      </c>
      <c r="U33" s="1575">
        <f t="shared" si="13"/>
        <v>100</v>
      </c>
      <c r="V33" s="1574" t="s">
        <v>8</v>
      </c>
      <c r="W33" s="1575">
        <f t="shared" si="14"/>
        <v>100</v>
      </c>
      <c r="X33" s="1568"/>
      <c r="Y33" s="345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50"/>
      <c r="Q34" s="1573">
        <f t="shared" si="11"/>
        <v>111</v>
      </c>
      <c r="R34" s="1574" t="s">
        <v>8</v>
      </c>
      <c r="S34" s="1575">
        <f t="shared" si="12"/>
        <v>100</v>
      </c>
      <c r="T34" s="1574" t="s">
        <v>8</v>
      </c>
      <c r="U34" s="1575">
        <f t="shared" si="13"/>
        <v>100</v>
      </c>
      <c r="V34" s="1574" t="s">
        <v>8</v>
      </c>
      <c r="W34" s="1575">
        <f t="shared" si="14"/>
        <v>100</v>
      </c>
      <c r="X34" s="1568"/>
      <c r="Y34" s="3450"/>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413" t="str">
        <f>A35</f>
        <v>成交单价（元/平方米）</v>
      </c>
      <c r="Q35" s="3413"/>
      <c r="R35" s="3529">
        <f>E35</f>
        <v>0</v>
      </c>
      <c r="S35" s="3529"/>
      <c r="T35" s="3529">
        <f>G35</f>
        <v>0</v>
      </c>
      <c r="U35" s="3529"/>
      <c r="V35" s="3529">
        <f>I35</f>
        <v>0</v>
      </c>
      <c r="W35" s="3529"/>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413" t="str">
        <f>A36</f>
        <v>比较价格（元/平方米）</v>
      </c>
      <c r="Q36" s="3413"/>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60"/>
      <c r="Y36" s="1560"/>
      <c r="Z36" s="1560"/>
      <c r="AA36" s="1560"/>
      <c r="AB36" s="1560"/>
      <c r="AC36" s="1560"/>
    </row>
    <row r="37" spans="1:29" ht="15.75" thickBot="1">
      <c r="A37" s="621" t="s">
        <v>2936</v>
      </c>
      <c r="B37" s="622"/>
      <c r="C37" s="2616" t="e">
        <f>R37</f>
        <v>#DIV/0!</v>
      </c>
      <c r="D37" s="2616"/>
      <c r="E37" s="2616"/>
      <c r="F37" s="2616"/>
      <c r="G37" s="2616"/>
      <c r="H37" s="2616"/>
      <c r="I37" s="2616"/>
      <c r="J37" s="2616"/>
      <c r="K37" s="1614"/>
      <c r="L37" s="2145"/>
      <c r="M37" s="2146"/>
      <c r="N37" s="2146"/>
      <c r="O37" s="2146"/>
      <c r="P37" s="3410" t="str">
        <f>A37</f>
        <v>估价对象XX用房的比较价格（楼面单价，元/平方米）</v>
      </c>
      <c r="Q37" s="3411"/>
      <c r="R37" s="3528" t="e">
        <f>IF(F1="售价",ROUND(AVERAGE(R36:V36),0),ROUND(AVERAGE(R36:V36),1))</f>
        <v>#DIV/0!</v>
      </c>
      <c r="S37" s="3528"/>
      <c r="T37" s="3528"/>
      <c r="U37" s="3528"/>
      <c r="V37" s="3528"/>
      <c r="W37" s="3528"/>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北京兴发水泥有限公司：</v>
      </c>
    </row>
    <row r="4" spans="1:4" ht="37.5">
      <c r="A4" s="1792" t="str">
        <f>"受贵公司委托，我公司对"&amp;项目基本情况!K2&amp;项目基本情况!B9&amp;"进行了预评估。"</f>
        <v>受贵公司委托，我公司对北京市划拨国有建设用地使用权市场价格进行了预评估。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出让国有建设用地使用权面积为585007平方米。根据《建设工程规划许可证》[]、《出让合同》[]，估价对象规划建筑面积为73383.9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8" t="s">
        <v>2027</v>
      </c>
    </row>
    <row r="11" spans="1:4" ht="18.75">
      <c r="A11" s="1781" t="str">
        <f>TEXT(项目基本情况!D3,"yyyy年m月d日;;")&amp;IF(项目基本情况!B3=项目基本情况!D3,"（评估专业人员勘察现场之日）","")</f>
        <v>2019年3月31日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根据《国有土地使用证》[]，估价对象（分摊）出让国有建设用地使用权面积为585007平方米。根据《建设工程规划许可证》[]、《出让合同》[]，估价对象规划建筑面积为73383.9平方米。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93.75">
      <c r="A26" s="1792"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38" t="s">
        <v>2305</v>
      </c>
      <c r="D1" s="3539"/>
      <c r="E1" s="3539"/>
      <c r="F1" s="3539"/>
      <c r="G1" s="3539"/>
      <c r="H1" s="3539"/>
      <c r="I1" s="3539"/>
      <c r="J1" s="3539"/>
      <c r="K1" s="3539"/>
      <c r="L1" s="3539"/>
      <c r="M1" s="3539"/>
      <c r="N1" s="3539"/>
      <c r="O1" s="3539"/>
      <c r="P1" s="3539"/>
      <c r="Q1" s="3539"/>
      <c r="R1" s="3539"/>
      <c r="S1" s="3540"/>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35" t="s">
        <v>20</v>
      </c>
      <c r="D22" s="3536"/>
      <c r="E22" s="3536"/>
      <c r="F22" s="3536"/>
      <c r="G22" s="3536"/>
      <c r="H22" s="3536"/>
      <c r="I22" s="3536"/>
      <c r="J22" s="3536"/>
      <c r="K22" s="3536"/>
      <c r="L22" s="3536"/>
      <c r="M22" s="3536"/>
      <c r="N22" s="3536"/>
      <c r="O22" s="3536"/>
      <c r="P22" s="3536"/>
      <c r="Q22" s="353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43555</v>
      </c>
      <c r="H1" s="2917">
        <f>IF(C1&gt;C13,0,MATCH(C1,C$13:C$100,-1))+IF(SUMIF(C13:C100,C1,D13:D100)=0,13,12)</f>
        <v>13</v>
      </c>
      <c r="I1" s="2917">
        <f ca="1">MATCH(C2,H3:H7,1)+IF(SUMIF(H3:H7,C2,I3:I7)=0,2,1)</f>
        <v>5</v>
      </c>
      <c r="J1" s="2976">
        <f>MATCH(C3,H3:H7,1)+IF(SUMIF(H3:H7,C3,J3:J7)=0,2,1)</f>
        <v>5</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3</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2</v>
      </c>
      <c r="D3" s="2979" t="s">
        <v>2789</v>
      </c>
      <c r="E3" s="2982">
        <f ca="1">INDIRECT("J"&amp;$J$1)/100</f>
        <v>4.7500000000000001E-2</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230"/>
    <col min="3" max="3" width="13.375" style="3230" customWidth="1"/>
    <col min="4" max="16384" width="9" style="3230"/>
  </cols>
  <sheetData>
    <row r="2" spans="2:5" ht="27" customHeight="1">
      <c r="B2" s="3544" t="s">
        <v>3206</v>
      </c>
      <c r="C2" s="3544"/>
      <c r="D2" s="3544"/>
      <c r="E2" s="3544"/>
    </row>
    <row r="3" spans="2:5">
      <c r="B3" s="3545" t="s">
        <v>3207</v>
      </c>
      <c r="C3" s="3545"/>
      <c r="D3" s="3546">
        <f>'数据-基础表'!B3-'数据-基础表'!I14</f>
        <v>68509.799999999988</v>
      </c>
      <c r="E3" s="3546"/>
    </row>
    <row r="4" spans="2:5">
      <c r="B4" s="3545" t="s">
        <v>3208</v>
      </c>
      <c r="C4" s="3545"/>
      <c r="D4" s="3546">
        <v>50</v>
      </c>
      <c r="E4" s="3546"/>
    </row>
    <row r="5" spans="2:5">
      <c r="B5" s="3541" t="s">
        <v>3188</v>
      </c>
      <c r="C5" s="3542"/>
      <c r="D5" s="3543">
        <f>ROUND(D3*D4/10000,2)</f>
        <v>342.55</v>
      </c>
      <c r="E5" s="3543"/>
    </row>
  </sheetData>
  <mergeCells count="7">
    <mergeCell ref="B5:C5"/>
    <mergeCell ref="D5:E5"/>
    <mergeCell ref="B2:E2"/>
    <mergeCell ref="B3:C3"/>
    <mergeCell ref="D3:E3"/>
    <mergeCell ref="B4:C4"/>
    <mergeCell ref="D4:E4"/>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D6" sqref="D6:E6"/>
    </sheetView>
  </sheetViews>
  <sheetFormatPr defaultColWidth="9" defaultRowHeight="13.5"/>
  <cols>
    <col min="1" max="1" width="9" style="3230"/>
    <col min="2" max="2" width="18.875" style="3230" customWidth="1"/>
    <col min="3" max="3" width="13.125" style="3230" customWidth="1"/>
    <col min="4" max="4" width="12.75" style="3230" bestFit="1" customWidth="1"/>
    <col min="5" max="5" width="11.25" style="3230" customWidth="1"/>
    <col min="6" max="6" width="11.75" style="3230" customWidth="1"/>
    <col min="7" max="7" width="9" style="3230"/>
    <col min="8" max="8" width="9.5" style="3230" bestFit="1" customWidth="1"/>
    <col min="9" max="16384" width="9" style="3230"/>
  </cols>
  <sheetData>
    <row r="2" spans="2:7" ht="27" customHeight="1">
      <c r="B2" s="3544" t="s">
        <v>3184</v>
      </c>
      <c r="C2" s="3544"/>
      <c r="D2" s="3544"/>
      <c r="E2" s="3544"/>
    </row>
    <row r="3" spans="2:7">
      <c r="B3" s="3545" t="s">
        <v>3185</v>
      </c>
      <c r="C3" s="3545"/>
      <c r="D3" s="3546">
        <v>0.4</v>
      </c>
      <c r="E3" s="3546"/>
    </row>
    <row r="4" spans="2:7">
      <c r="B4" s="3545" t="s">
        <v>3186</v>
      </c>
      <c r="C4" s="3545"/>
      <c r="D4" s="3546">
        <v>30</v>
      </c>
      <c r="E4" s="3546"/>
    </row>
    <row r="5" spans="2:7">
      <c r="B5" s="3545" t="s">
        <v>3187</v>
      </c>
      <c r="C5" s="3545"/>
      <c r="D5" s="3546">
        <f>'数据-基础表'!B3-'数据-基础表'!I14</f>
        <v>68509.799999999988</v>
      </c>
      <c r="E5" s="3546"/>
    </row>
    <row r="6" spans="2:7">
      <c r="B6" s="3545" t="s">
        <v>3188</v>
      </c>
      <c r="C6" s="3545"/>
      <c r="D6" s="3546">
        <f>ROUND(D3*D4*D5/10000,2)</f>
        <v>82.21</v>
      </c>
      <c r="E6" s="3546"/>
    </row>
    <row r="8" spans="2:7" ht="27" customHeight="1">
      <c r="B8" s="3544" t="s">
        <v>3189</v>
      </c>
      <c r="C8" s="3544"/>
      <c r="D8" s="3544"/>
      <c r="E8" s="3544"/>
      <c r="G8" s="3231" t="s">
        <v>3190</v>
      </c>
    </row>
    <row r="9" spans="2:7">
      <c r="B9" s="3232"/>
      <c r="C9" s="3233" t="s">
        <v>3191</v>
      </c>
      <c r="D9" s="3234" t="s">
        <v>3192</v>
      </c>
      <c r="E9" s="3234" t="s">
        <v>3193</v>
      </c>
      <c r="G9" s="3235">
        <f>ROUND((D6+C14+D19)*D24,2)</f>
        <v>767.84</v>
      </c>
    </row>
    <row r="10" spans="2:7">
      <c r="B10" s="3232" t="s">
        <v>3204</v>
      </c>
      <c r="C10" s="3236"/>
      <c r="D10" s="3234" t="s">
        <v>3194</v>
      </c>
      <c r="E10" s="3237">
        <f>ROUND(C10/12,2)</f>
        <v>0</v>
      </c>
    </row>
    <row r="11" spans="2:7">
      <c r="B11" s="3232" t="s">
        <v>3205</v>
      </c>
      <c r="C11" s="3233" t="s">
        <v>3194</v>
      </c>
      <c r="D11" s="3236"/>
      <c r="E11" s="3237">
        <f>ROUND(D11/5,2)</f>
        <v>0</v>
      </c>
    </row>
    <row r="12" spans="2:7">
      <c r="B12" s="3232" t="s">
        <v>3195</v>
      </c>
      <c r="C12" s="3543">
        <f>ROUND((E10*7+E11*5)/12,2)</f>
        <v>0</v>
      </c>
      <c r="D12" s="3543"/>
      <c r="E12" s="3543"/>
      <c r="G12" s="3231"/>
    </row>
    <row r="13" spans="2:7">
      <c r="B13" s="3232" t="s">
        <v>3196</v>
      </c>
      <c r="C13" s="3546">
        <v>1.2</v>
      </c>
      <c r="D13" s="3546"/>
      <c r="E13" s="3546"/>
    </row>
    <row r="14" spans="2:7">
      <c r="B14" s="3232" t="s">
        <v>3188</v>
      </c>
      <c r="C14" s="3546">
        <f>ROUND(C12*C13/10000,2)</f>
        <v>0</v>
      </c>
      <c r="D14" s="3546"/>
      <c r="E14" s="3546"/>
    </row>
    <row r="16" spans="2:7" ht="27" customHeight="1">
      <c r="B16" s="3544" t="s">
        <v>3197</v>
      </c>
      <c r="C16" s="3544"/>
      <c r="D16" s="3544"/>
      <c r="E16" s="3544"/>
    </row>
    <row r="17" spans="2:5">
      <c r="B17" s="3545" t="s">
        <v>3198</v>
      </c>
      <c r="C17" s="3545"/>
      <c r="D17" s="3546">
        <v>46</v>
      </c>
      <c r="E17" s="3546"/>
    </row>
    <row r="18" spans="2:5">
      <c r="B18" s="3547" t="s">
        <v>3199</v>
      </c>
      <c r="C18" s="3547"/>
      <c r="D18" s="3546">
        <v>2000</v>
      </c>
      <c r="E18" s="3546"/>
    </row>
    <row r="19" spans="2:5">
      <c r="B19" s="3547" t="s">
        <v>3188</v>
      </c>
      <c r="C19" s="3547"/>
      <c r="D19" s="3548">
        <f>ROUND(D17*D18/10000,2)</f>
        <v>9.1999999999999993</v>
      </c>
      <c r="E19" s="3548"/>
    </row>
    <row r="21" spans="2:5" ht="27" customHeight="1">
      <c r="B21" s="3544" t="s">
        <v>3200</v>
      </c>
      <c r="C21" s="3544"/>
      <c r="D21" s="3544"/>
      <c r="E21" s="3544"/>
    </row>
    <row r="22" spans="2:5">
      <c r="B22" s="3545" t="s">
        <v>3201</v>
      </c>
      <c r="C22" s="3545"/>
      <c r="D22" s="3546">
        <v>7</v>
      </c>
      <c r="E22" s="3546"/>
    </row>
    <row r="23" spans="2:5">
      <c r="B23" s="3545" t="s">
        <v>3202</v>
      </c>
      <c r="C23" s="3545"/>
      <c r="D23" s="3546">
        <v>1.2</v>
      </c>
      <c r="E23" s="3546"/>
    </row>
    <row r="24" spans="2:5">
      <c r="B24" s="3545" t="s">
        <v>3203</v>
      </c>
      <c r="C24" s="3545"/>
      <c r="D24" s="3546">
        <f>D22*D23</f>
        <v>8.4</v>
      </c>
      <c r="E24" s="3546"/>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
  <sheetViews>
    <sheetView workbookViewId="0">
      <selection activeCell="C4" sqref="C4"/>
    </sheetView>
  </sheetViews>
  <sheetFormatPr defaultRowHeight="13.5"/>
  <cols>
    <col min="2" max="2" width="33" customWidth="1"/>
    <col min="3" max="3" width="13.25" customWidth="1"/>
    <col min="5" max="5" width="15.125" customWidth="1"/>
  </cols>
  <sheetData>
    <row r="1" spans="2:5" ht="18.75" customHeight="1">
      <c r="B1" s="3180" t="s">
        <v>3001</v>
      </c>
      <c r="C1" s="3180" t="s">
        <v>3002</v>
      </c>
      <c r="D1" s="3180" t="s">
        <v>2998</v>
      </c>
      <c r="E1" s="3181" t="s">
        <v>3003</v>
      </c>
    </row>
    <row r="2" spans="2:5" ht="18.75" customHeight="1">
      <c r="B2" s="3178" t="s">
        <v>2993</v>
      </c>
      <c r="C2" s="3179">
        <v>585007</v>
      </c>
      <c r="D2" s="3178" t="s">
        <v>2994</v>
      </c>
      <c r="E2" s="3179"/>
    </row>
    <row r="3" spans="2:5" ht="18.75" customHeight="1">
      <c r="B3" s="3178" t="s">
        <v>2992</v>
      </c>
      <c r="C3" s="3179">
        <v>1000</v>
      </c>
      <c r="D3" s="3178" t="s">
        <v>2995</v>
      </c>
      <c r="E3" s="3179"/>
    </row>
    <row r="4" spans="2:5" ht="18.75" customHeight="1">
      <c r="B4" s="3178" t="s">
        <v>2996</v>
      </c>
      <c r="C4" s="3179">
        <f>C2*C3/10000</f>
        <v>58500.7</v>
      </c>
      <c r="D4" s="3178" t="s">
        <v>2997</v>
      </c>
      <c r="E4" s="3179">
        <v>130501</v>
      </c>
    </row>
    <row r="5" spans="2:5" ht="18.75" customHeight="1">
      <c r="B5" s="3178" t="s">
        <v>2999</v>
      </c>
      <c r="C5" s="3179">
        <f>C4*(1-40%)</f>
        <v>35100.42</v>
      </c>
      <c r="D5" s="3178" t="s">
        <v>2997</v>
      </c>
      <c r="E5" s="3179"/>
    </row>
    <row r="6" spans="2:5" ht="18.75" customHeight="1">
      <c r="B6" s="3178" t="s">
        <v>3000</v>
      </c>
      <c r="C6" s="3179">
        <f>C4*1.5</f>
        <v>87751.049999999988</v>
      </c>
      <c r="D6" s="3178" t="s">
        <v>2997</v>
      </c>
      <c r="E6" s="3179">
        <v>159751</v>
      </c>
    </row>
  </sheetData>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85" zoomScaleNormal="85" workbookViewId="0">
      <pane xSplit="6" ySplit="3" topLeftCell="I4" activePane="bottomRight" state="frozen"/>
      <selection pane="topRight" activeCell="H1" sqref="H1"/>
      <selection pane="bottomLeft" activeCell="A4" sqref="A4"/>
      <selection pane="bottomRight" activeCell="J11" sqref="J11"/>
    </sheetView>
  </sheetViews>
  <sheetFormatPr defaultRowHeight="11.25"/>
  <cols>
    <col min="1" max="1" width="5.5" style="3228" customWidth="1"/>
    <col min="2" max="2" width="7.25" style="3228" bestFit="1" customWidth="1"/>
    <col min="3" max="3" width="4.875" style="3228" bestFit="1" customWidth="1"/>
    <col min="4" max="4" width="7.125" style="3182" customWidth="1"/>
    <col min="5" max="5" width="8.25" style="3182" customWidth="1"/>
    <col min="6" max="6" width="18.125" style="3182" customWidth="1"/>
    <col min="7" max="7" width="13.75" style="3182" customWidth="1"/>
    <col min="8" max="8" width="8" style="3182" bestFit="1" customWidth="1"/>
    <col min="9" max="9" width="13.375" style="3182" bestFit="1" customWidth="1"/>
    <col min="10" max="10" width="36.625" style="3182" bestFit="1" customWidth="1"/>
    <col min="11" max="11" width="14.375" style="3182" customWidth="1"/>
    <col min="12" max="13" width="17.75" style="3228" customWidth="1"/>
    <col min="14" max="16384" width="9" style="3182"/>
  </cols>
  <sheetData>
    <row r="1" spans="1:14" ht="39.75" customHeight="1">
      <c r="A1" s="3553" t="s">
        <v>3004</v>
      </c>
      <c r="B1" s="3554"/>
      <c r="C1" s="3554"/>
      <c r="D1" s="3554"/>
      <c r="E1" s="3554"/>
      <c r="F1" s="3554"/>
      <c r="G1" s="3554"/>
      <c r="H1" s="3554"/>
      <c r="I1" s="3554"/>
      <c r="J1" s="3554"/>
      <c r="K1" s="3554"/>
      <c r="L1" s="3554"/>
      <c r="M1" s="3554"/>
    </row>
    <row r="2" spans="1:14" ht="23.25" customHeight="1">
      <c r="A2" s="3549" t="s">
        <v>3005</v>
      </c>
      <c r="B2" s="3549" t="s">
        <v>3006</v>
      </c>
      <c r="C2" s="3549" t="s">
        <v>3007</v>
      </c>
      <c r="D2" s="3555" t="s">
        <v>3008</v>
      </c>
      <c r="E2" s="3555" t="s">
        <v>3009</v>
      </c>
      <c r="F2" s="3549" t="s">
        <v>3010</v>
      </c>
      <c r="G2" s="3549" t="s">
        <v>3011</v>
      </c>
      <c r="H2" s="3549" t="s">
        <v>3012</v>
      </c>
      <c r="I2" s="3549" t="s">
        <v>3013</v>
      </c>
      <c r="J2" s="3549" t="s">
        <v>3014</v>
      </c>
      <c r="K2" s="3551" t="s">
        <v>3015</v>
      </c>
      <c r="L2" s="3552" t="s">
        <v>3016</v>
      </c>
      <c r="M2" s="3552"/>
    </row>
    <row r="3" spans="1:14" s="3184" customFormat="1" ht="23.25" customHeight="1">
      <c r="A3" s="3550"/>
      <c r="B3" s="3550"/>
      <c r="C3" s="3550"/>
      <c r="D3" s="3556"/>
      <c r="E3" s="3556"/>
      <c r="F3" s="3550"/>
      <c r="G3" s="3550"/>
      <c r="H3" s="3550"/>
      <c r="I3" s="3550"/>
      <c r="J3" s="3550"/>
      <c r="K3" s="3551"/>
      <c r="L3" s="3183" t="s">
        <v>3017</v>
      </c>
      <c r="M3" s="3183" t="s">
        <v>3018</v>
      </c>
    </row>
    <row r="4" spans="1:14" s="3190" customFormat="1" ht="95.25" hidden="1" customHeight="1">
      <c r="A4" s="3185">
        <v>2016</v>
      </c>
      <c r="B4" s="3186" t="s">
        <v>3019</v>
      </c>
      <c r="C4" s="3186" t="s">
        <v>3020</v>
      </c>
      <c r="D4" s="3187" t="s">
        <v>3021</v>
      </c>
      <c r="E4" s="3187" t="s">
        <v>3022</v>
      </c>
      <c r="F4" s="3188" t="s">
        <v>3023</v>
      </c>
      <c r="G4" s="3187" t="s">
        <v>3024</v>
      </c>
      <c r="H4" s="3187" t="s">
        <v>3025</v>
      </c>
      <c r="I4" s="3187" t="s">
        <v>3026</v>
      </c>
      <c r="J4" s="3187" t="s">
        <v>3027</v>
      </c>
      <c r="K4" s="3189">
        <v>16.73</v>
      </c>
      <c r="L4" s="3187">
        <v>15586.51</v>
      </c>
      <c r="M4" s="3187">
        <v>24154.36</v>
      </c>
      <c r="N4" s="3198">
        <f t="shared" ref="N4:N9" si="0">(L4+M4)/K4</f>
        <v>2375.4255827854154</v>
      </c>
    </row>
    <row r="5" spans="1:14" s="3190" customFormat="1" ht="95.25" hidden="1" customHeight="1">
      <c r="A5" s="3185">
        <v>2016</v>
      </c>
      <c r="B5" s="3186" t="s">
        <v>3019</v>
      </c>
      <c r="C5" s="3186" t="s">
        <v>3020</v>
      </c>
      <c r="D5" s="3187" t="s">
        <v>3021</v>
      </c>
      <c r="E5" s="3187" t="s">
        <v>3022</v>
      </c>
      <c r="F5" s="3188" t="s">
        <v>3028</v>
      </c>
      <c r="G5" s="3187" t="s">
        <v>3024</v>
      </c>
      <c r="H5" s="3187" t="s">
        <v>3025</v>
      </c>
      <c r="I5" s="3187" t="s">
        <v>3029</v>
      </c>
      <c r="J5" s="3187" t="s">
        <v>3027</v>
      </c>
      <c r="K5" s="3191">
        <v>39.770000000000003</v>
      </c>
      <c r="L5" s="3187">
        <v>17716.41</v>
      </c>
      <c r="M5" s="3187">
        <v>2390.64</v>
      </c>
      <c r="N5" s="3198">
        <f t="shared" si="0"/>
        <v>505.58335428715105</v>
      </c>
    </row>
    <row r="6" spans="1:14" s="3190" customFormat="1" ht="95.25" hidden="1" customHeight="1">
      <c r="A6" s="3185">
        <v>2016</v>
      </c>
      <c r="B6" s="3186" t="s">
        <v>3019</v>
      </c>
      <c r="C6" s="3186" t="s">
        <v>3020</v>
      </c>
      <c r="D6" s="3187" t="s">
        <v>3021</v>
      </c>
      <c r="E6" s="3192" t="s">
        <v>3030</v>
      </c>
      <c r="F6" s="3188" t="s">
        <v>3031</v>
      </c>
      <c r="G6" s="3192" t="s">
        <v>3032</v>
      </c>
      <c r="H6" s="3192" t="s">
        <v>3025</v>
      </c>
      <c r="I6" s="3192" t="s">
        <v>3033</v>
      </c>
      <c r="J6" s="3187" t="s">
        <v>3034</v>
      </c>
      <c r="K6" s="3191">
        <v>663.6</v>
      </c>
      <c r="L6" s="3187">
        <v>191909.86</v>
      </c>
      <c r="M6" s="3187">
        <v>204137.8</v>
      </c>
      <c r="N6" s="3198">
        <f t="shared" si="0"/>
        <v>596.81684749849296</v>
      </c>
    </row>
    <row r="7" spans="1:14" s="3190" customFormat="1" ht="95.25" hidden="1" customHeight="1">
      <c r="A7" s="3185">
        <v>2016</v>
      </c>
      <c r="B7" s="3186" t="s">
        <v>3035</v>
      </c>
      <c r="C7" s="3186" t="s">
        <v>3036</v>
      </c>
      <c r="D7" s="3193" t="s">
        <v>3021</v>
      </c>
      <c r="E7" s="3193" t="s">
        <v>3030</v>
      </c>
      <c r="F7" s="3188" t="s">
        <v>3037</v>
      </c>
      <c r="G7" s="3194" t="s">
        <v>3038</v>
      </c>
      <c r="H7" s="3193" t="s">
        <v>3039</v>
      </c>
      <c r="I7" s="3193" t="s">
        <v>3040</v>
      </c>
      <c r="J7" s="3193" t="s">
        <v>3041</v>
      </c>
      <c r="K7" s="3191">
        <v>129.57</v>
      </c>
      <c r="L7" s="3187">
        <v>122822.85</v>
      </c>
      <c r="M7" s="3187">
        <v>403475</v>
      </c>
      <c r="N7" s="3198">
        <f t="shared" si="0"/>
        <v>4061.8804507216178</v>
      </c>
    </row>
    <row r="8" spans="1:14" s="3198" customFormat="1" ht="95.25" hidden="1" customHeight="1">
      <c r="A8" s="3185">
        <v>2017</v>
      </c>
      <c r="B8" s="3195" t="s">
        <v>3042</v>
      </c>
      <c r="C8" s="3195" t="s">
        <v>3043</v>
      </c>
      <c r="D8" s="3193" t="s">
        <v>3021</v>
      </c>
      <c r="E8" s="3196" t="s">
        <v>3030</v>
      </c>
      <c r="F8" s="3188" t="s">
        <v>3044</v>
      </c>
      <c r="G8" s="3194" t="s">
        <v>3038</v>
      </c>
      <c r="H8" s="3196" t="s">
        <v>3039</v>
      </c>
      <c r="I8" s="3196" t="s">
        <v>3045</v>
      </c>
      <c r="J8" s="3197" t="s">
        <v>3046</v>
      </c>
      <c r="K8" s="3191">
        <v>34.26</v>
      </c>
      <c r="L8" s="3187">
        <v>38931.19</v>
      </c>
      <c r="M8" s="3187">
        <v>64775.53</v>
      </c>
      <c r="N8" s="3198">
        <f t="shared" si="0"/>
        <v>3027.0496205487452</v>
      </c>
    </row>
    <row r="9" spans="1:14" s="3198" customFormat="1" ht="95.25" hidden="1" customHeight="1">
      <c r="A9" s="3185">
        <v>2017</v>
      </c>
      <c r="B9" s="3195" t="s">
        <v>3042</v>
      </c>
      <c r="C9" s="3195" t="s">
        <v>3043</v>
      </c>
      <c r="D9" s="3193" t="s">
        <v>3021</v>
      </c>
      <c r="E9" s="3193" t="s">
        <v>3030</v>
      </c>
      <c r="F9" s="3188" t="s">
        <v>3047</v>
      </c>
      <c r="G9" s="3193" t="s">
        <v>3038</v>
      </c>
      <c r="H9" s="3193" t="s">
        <v>3039</v>
      </c>
      <c r="I9" s="3193" t="s">
        <v>3026</v>
      </c>
      <c r="J9" s="3193" t="s">
        <v>3048</v>
      </c>
      <c r="K9" s="3191">
        <v>51.07</v>
      </c>
      <c r="L9" s="3187">
        <v>33012.44</v>
      </c>
      <c r="M9" s="3187">
        <v>46402.36</v>
      </c>
      <c r="N9" s="3198">
        <f t="shared" si="0"/>
        <v>1555.0186019189348</v>
      </c>
    </row>
    <row r="10" spans="1:14" s="3198" customFormat="1" ht="95.25" customHeight="1">
      <c r="A10" s="3185">
        <v>2017</v>
      </c>
      <c r="B10" s="3195" t="s">
        <v>3042</v>
      </c>
      <c r="C10" s="3195" t="s">
        <v>3043</v>
      </c>
      <c r="D10" s="3194" t="s">
        <v>3049</v>
      </c>
      <c r="E10" s="3194" t="s">
        <v>3030</v>
      </c>
      <c r="F10" s="3188" t="s">
        <v>3050</v>
      </c>
      <c r="G10" s="3194" t="s">
        <v>3051</v>
      </c>
      <c r="H10" s="3194" t="s">
        <v>3025</v>
      </c>
      <c r="I10" s="3199" t="s">
        <v>3052</v>
      </c>
      <c r="J10" s="3199" t="s">
        <v>3053</v>
      </c>
      <c r="K10" s="3187">
        <v>96.99</v>
      </c>
      <c r="L10" s="3187">
        <v>51676.39</v>
      </c>
      <c r="M10" s="3187">
        <v>172115.08</v>
      </c>
      <c r="N10" s="3198">
        <f>(L10+M10)/K10</f>
        <v>2307.3664295288172</v>
      </c>
    </row>
    <row r="11" spans="1:14" s="3198" customFormat="1" ht="95.25" customHeight="1">
      <c r="A11" s="3185">
        <v>2017</v>
      </c>
      <c r="B11" s="3195" t="s">
        <v>3042</v>
      </c>
      <c r="C11" s="3195" t="s">
        <v>3043</v>
      </c>
      <c r="D11" s="3194" t="s">
        <v>3049</v>
      </c>
      <c r="E11" s="3194" t="s">
        <v>3030</v>
      </c>
      <c r="F11" s="3188" t="s">
        <v>3054</v>
      </c>
      <c r="G11" s="3194" t="s">
        <v>3055</v>
      </c>
      <c r="H11" s="3194" t="s">
        <v>3025</v>
      </c>
      <c r="I11" s="3199" t="s">
        <v>3056</v>
      </c>
      <c r="J11" s="3200" t="s">
        <v>3057</v>
      </c>
      <c r="K11" s="3201">
        <v>49.52</v>
      </c>
      <c r="L11" s="3187">
        <v>25737.439999999999</v>
      </c>
      <c r="M11" s="3187">
        <v>180122.23999999999</v>
      </c>
      <c r="N11" s="3198">
        <f t="shared" ref="N11:N32" si="1">(L11+M11)/K11</f>
        <v>4157.1017770597737</v>
      </c>
    </row>
    <row r="12" spans="1:14" s="3198" customFormat="1" ht="95.25" customHeight="1">
      <c r="A12" s="3185">
        <v>2017</v>
      </c>
      <c r="B12" s="3195" t="s">
        <v>3042</v>
      </c>
      <c r="C12" s="3195" t="s">
        <v>3043</v>
      </c>
      <c r="D12" s="3194" t="s">
        <v>3058</v>
      </c>
      <c r="E12" s="3194" t="s">
        <v>3030</v>
      </c>
      <c r="F12" s="3188" t="s">
        <v>3059</v>
      </c>
      <c r="G12" s="3194" t="s">
        <v>3060</v>
      </c>
      <c r="H12" s="3196" t="s">
        <v>3039</v>
      </c>
      <c r="I12" s="3199" t="s">
        <v>3061</v>
      </c>
      <c r="J12" s="3187" t="s">
        <v>3062</v>
      </c>
      <c r="K12" s="3191">
        <v>116.6</v>
      </c>
      <c r="L12" s="3187">
        <v>138739.75</v>
      </c>
      <c r="M12" s="3187">
        <v>441601.69</v>
      </c>
      <c r="N12" s="3198">
        <f t="shared" si="1"/>
        <v>4977.1993138936532</v>
      </c>
    </row>
    <row r="13" spans="1:14" s="3202" customFormat="1" ht="96" hidden="1">
      <c r="A13" s="3185">
        <v>2017</v>
      </c>
      <c r="B13" s="3196" t="s">
        <v>3063</v>
      </c>
      <c r="C13" s="3196" t="s">
        <v>3064</v>
      </c>
      <c r="D13" s="3196" t="s">
        <v>3065</v>
      </c>
      <c r="E13" s="3196" t="s">
        <v>3066</v>
      </c>
      <c r="F13" s="3194" t="s">
        <v>3067</v>
      </c>
      <c r="G13" s="3194" t="s">
        <v>3068</v>
      </c>
      <c r="H13" s="3194" t="s">
        <v>3069</v>
      </c>
      <c r="I13" s="3199" t="s">
        <v>3070</v>
      </c>
      <c r="J13" s="3200" t="s">
        <v>3071</v>
      </c>
      <c r="K13" s="3189">
        <v>33.36</v>
      </c>
      <c r="L13" s="3187">
        <v>16588.11</v>
      </c>
      <c r="M13" s="3187">
        <v>13953.2</v>
      </c>
      <c r="N13" s="3198">
        <f t="shared" si="1"/>
        <v>915.50689448441256</v>
      </c>
    </row>
    <row r="14" spans="1:14" s="3204" customFormat="1" ht="95.25" customHeight="1">
      <c r="A14" s="3185">
        <v>2017</v>
      </c>
      <c r="B14" s="3203" t="s">
        <v>3072</v>
      </c>
      <c r="C14" s="3203" t="s">
        <v>3073</v>
      </c>
      <c r="D14" s="3194" t="s">
        <v>3074</v>
      </c>
      <c r="E14" s="3194" t="s">
        <v>3030</v>
      </c>
      <c r="F14" s="3196" t="s">
        <v>3075</v>
      </c>
      <c r="G14" s="3194" t="s">
        <v>3076</v>
      </c>
      <c r="H14" s="3194" t="s">
        <v>3069</v>
      </c>
      <c r="I14" s="3199" t="s">
        <v>3077</v>
      </c>
      <c r="J14" s="3199" t="s">
        <v>3078</v>
      </c>
      <c r="K14" s="3187">
        <v>19.994820000000001</v>
      </c>
      <c r="L14" s="3187">
        <v>4110.28</v>
      </c>
      <c r="M14" s="3187">
        <v>1634.87</v>
      </c>
      <c r="N14" s="3198">
        <f t="shared" si="1"/>
        <v>287.33191896701243</v>
      </c>
    </row>
    <row r="15" spans="1:14" s="3202" customFormat="1" ht="95.25" hidden="1" customHeight="1">
      <c r="A15" s="3185">
        <v>2017</v>
      </c>
      <c r="B15" s="3195" t="s">
        <v>3079</v>
      </c>
      <c r="C15" s="3195" t="s">
        <v>3080</v>
      </c>
      <c r="D15" s="3194" t="s">
        <v>3081</v>
      </c>
      <c r="E15" s="3194" t="s">
        <v>3030</v>
      </c>
      <c r="F15" s="3194" t="s">
        <v>3082</v>
      </c>
      <c r="G15" s="3194" t="s">
        <v>3083</v>
      </c>
      <c r="H15" s="3194" t="s">
        <v>3039</v>
      </c>
      <c r="I15" s="3199" t="s">
        <v>3084</v>
      </c>
      <c r="J15" s="3200" t="s">
        <v>3085</v>
      </c>
      <c r="K15" s="3205">
        <v>72.180000000000007</v>
      </c>
      <c r="L15" s="3187">
        <v>20148.59</v>
      </c>
      <c r="M15" s="3187">
        <v>195592.13</v>
      </c>
      <c r="N15" s="3198">
        <f t="shared" si="1"/>
        <v>2988.9265724577444</v>
      </c>
    </row>
    <row r="16" spans="1:14" s="3202" customFormat="1" ht="95.25" hidden="1" customHeight="1">
      <c r="A16" s="3185">
        <v>2017</v>
      </c>
      <c r="B16" s="3195" t="s">
        <v>3079</v>
      </c>
      <c r="C16" s="3195" t="s">
        <v>3080</v>
      </c>
      <c r="D16" s="3194" t="s">
        <v>3081</v>
      </c>
      <c r="E16" s="3194" t="s">
        <v>3030</v>
      </c>
      <c r="F16" s="3194" t="s">
        <v>3086</v>
      </c>
      <c r="G16" s="3194" t="s">
        <v>3087</v>
      </c>
      <c r="H16" s="3194" t="s">
        <v>3039</v>
      </c>
      <c r="I16" s="3199" t="s">
        <v>3088</v>
      </c>
      <c r="J16" s="3206" t="s">
        <v>3089</v>
      </c>
      <c r="K16" s="3191">
        <v>148.19999999999999</v>
      </c>
      <c r="L16" s="3187">
        <v>46469.07</v>
      </c>
      <c r="M16" s="3187">
        <v>462882.97</v>
      </c>
      <c r="N16" s="3198">
        <f t="shared" si="1"/>
        <v>3436.9233468286102</v>
      </c>
    </row>
    <row r="17" spans="1:14" s="3207" customFormat="1" ht="95.25" hidden="1" customHeight="1">
      <c r="A17" s="3185">
        <v>2017</v>
      </c>
      <c r="B17" s="3203" t="s">
        <v>3090</v>
      </c>
      <c r="C17" s="3203" t="s">
        <v>3091</v>
      </c>
      <c r="D17" s="3194" t="s">
        <v>3092</v>
      </c>
      <c r="E17" s="3194" t="s">
        <v>3030</v>
      </c>
      <c r="F17" s="3194" t="s">
        <v>3093</v>
      </c>
      <c r="G17" s="3194" t="s">
        <v>3094</v>
      </c>
      <c r="H17" s="3194" t="s">
        <v>3039</v>
      </c>
      <c r="I17" s="3199" t="s">
        <v>3095</v>
      </c>
      <c r="J17" s="3199" t="s">
        <v>3096</v>
      </c>
      <c r="K17" s="3191">
        <v>89.78</v>
      </c>
      <c r="L17" s="3187">
        <v>52725.51</v>
      </c>
      <c r="M17" s="3187">
        <v>150160.9</v>
      </c>
      <c r="N17" s="3198">
        <f t="shared" si="1"/>
        <v>2259.8174426375585</v>
      </c>
    </row>
    <row r="18" spans="1:14" s="3202" customFormat="1" ht="95.25" hidden="1" customHeight="1">
      <c r="A18" s="3185">
        <v>2017</v>
      </c>
      <c r="B18" s="3203" t="s">
        <v>3090</v>
      </c>
      <c r="C18" s="3203" t="s">
        <v>3091</v>
      </c>
      <c r="D18" s="3194" t="s">
        <v>3092</v>
      </c>
      <c r="E18" s="3194" t="s">
        <v>3030</v>
      </c>
      <c r="F18" s="3194" t="s">
        <v>3097</v>
      </c>
      <c r="G18" s="3194" t="s">
        <v>3098</v>
      </c>
      <c r="H18" s="3194" t="s">
        <v>3039</v>
      </c>
      <c r="I18" s="3199" t="s">
        <v>3099</v>
      </c>
      <c r="J18" s="3208" t="s">
        <v>3100</v>
      </c>
      <c r="K18" s="3191">
        <v>146.24</v>
      </c>
      <c r="L18" s="3187">
        <v>73331.179999999993</v>
      </c>
      <c r="M18" s="3187">
        <v>459399.64</v>
      </c>
      <c r="N18" s="3198">
        <f t="shared" si="1"/>
        <v>3642.8529814004378</v>
      </c>
    </row>
    <row r="19" spans="1:14" s="3202" customFormat="1" ht="95.25" customHeight="1">
      <c r="A19" s="3185">
        <v>2017</v>
      </c>
      <c r="B19" s="3203" t="s">
        <v>3101</v>
      </c>
      <c r="C19" s="3203" t="s">
        <v>3091</v>
      </c>
      <c r="D19" s="3194" t="s">
        <v>3074</v>
      </c>
      <c r="E19" s="3194" t="s">
        <v>3030</v>
      </c>
      <c r="F19" s="3194" t="s">
        <v>3102</v>
      </c>
      <c r="G19" s="3194" t="s">
        <v>3103</v>
      </c>
      <c r="H19" s="3194" t="s">
        <v>3069</v>
      </c>
      <c r="I19" s="3199" t="s">
        <v>3104</v>
      </c>
      <c r="J19" s="3199" t="s">
        <v>3105</v>
      </c>
      <c r="K19" s="3187">
        <v>132.25</v>
      </c>
      <c r="L19" s="3187">
        <v>24298.5</v>
      </c>
      <c r="M19" s="3187">
        <v>107594.55</v>
      </c>
      <c r="N19" s="3198">
        <f t="shared" si="1"/>
        <v>997.30094517958401</v>
      </c>
    </row>
    <row r="20" spans="1:14" s="3213" customFormat="1" ht="95.25" hidden="1" customHeight="1">
      <c r="A20" s="3185">
        <v>2017</v>
      </c>
      <c r="B20" s="3203" t="s">
        <v>3101</v>
      </c>
      <c r="C20" s="3209" t="s">
        <v>3091</v>
      </c>
      <c r="D20" s="3210" t="s">
        <v>3106</v>
      </c>
      <c r="E20" s="3194" t="s">
        <v>3066</v>
      </c>
      <c r="F20" s="3211" t="s">
        <v>3107</v>
      </c>
      <c r="G20" s="3194" t="s">
        <v>3083</v>
      </c>
      <c r="H20" s="3194" t="s">
        <v>3039</v>
      </c>
      <c r="I20" s="3212" t="s">
        <v>3108</v>
      </c>
      <c r="J20" s="3212" t="s">
        <v>3109</v>
      </c>
      <c r="K20" s="3191">
        <v>217.58</v>
      </c>
      <c r="L20" s="3187">
        <v>106922.18</v>
      </c>
      <c r="M20" s="3187">
        <v>1002860.16</v>
      </c>
      <c r="N20" s="3198">
        <f t="shared" si="1"/>
        <v>5100.5714679658058</v>
      </c>
    </row>
    <row r="21" spans="1:14" s="3190" customFormat="1" ht="95.25" hidden="1" customHeight="1">
      <c r="A21" s="3214">
        <v>2018</v>
      </c>
      <c r="B21" s="3203" t="s">
        <v>3110</v>
      </c>
      <c r="C21" s="3203" t="s">
        <v>3073</v>
      </c>
      <c r="D21" s="3215" t="s">
        <v>3065</v>
      </c>
      <c r="E21" s="3215" t="s">
        <v>3066</v>
      </c>
      <c r="F21" s="3215" t="s">
        <v>3111</v>
      </c>
      <c r="G21" s="3215" t="s">
        <v>3112</v>
      </c>
      <c r="H21" s="3215" t="s">
        <v>3025</v>
      </c>
      <c r="I21" s="3216" t="s">
        <v>3113</v>
      </c>
      <c r="J21" s="3217" t="s">
        <v>3114</v>
      </c>
      <c r="K21" s="3218">
        <v>726.3</v>
      </c>
      <c r="L21" s="3187">
        <v>281939.06</v>
      </c>
      <c r="M21" s="3187">
        <v>704305.38</v>
      </c>
      <c r="N21" s="3198">
        <f t="shared" si="1"/>
        <v>1357.9022993253477</v>
      </c>
    </row>
    <row r="22" spans="1:14" s="3220" customFormat="1" ht="95.25" hidden="1" customHeight="1">
      <c r="A22" s="3215">
        <v>2018</v>
      </c>
      <c r="B22" s="3203" t="s">
        <v>3115</v>
      </c>
      <c r="C22" s="3219" t="s">
        <v>3020</v>
      </c>
      <c r="D22" s="3196" t="s">
        <v>3106</v>
      </c>
      <c r="E22" s="3196" t="s">
        <v>3030</v>
      </c>
      <c r="F22" s="3196" t="s">
        <v>3116</v>
      </c>
      <c r="G22" s="3196" t="s">
        <v>3083</v>
      </c>
      <c r="H22" s="3196" t="s">
        <v>3039</v>
      </c>
      <c r="I22" s="3216" t="s">
        <v>3117</v>
      </c>
      <c r="J22" s="3217" t="s">
        <v>3118</v>
      </c>
      <c r="K22" s="3191">
        <v>193.55</v>
      </c>
      <c r="L22" s="3187">
        <v>230654.05</v>
      </c>
      <c r="M22" s="3187">
        <v>598903.21</v>
      </c>
      <c r="N22" s="3198">
        <f t="shared" si="1"/>
        <v>4286.0101265822786</v>
      </c>
    </row>
    <row r="23" spans="1:14" s="3220" customFormat="1" ht="95.25" hidden="1" customHeight="1">
      <c r="A23" s="3215">
        <v>2018</v>
      </c>
      <c r="B23" s="3203" t="s">
        <v>3115</v>
      </c>
      <c r="C23" s="3219" t="s">
        <v>3020</v>
      </c>
      <c r="D23" s="3196" t="s">
        <v>3106</v>
      </c>
      <c r="E23" s="3196" t="s">
        <v>3030</v>
      </c>
      <c r="F23" s="3196" t="s">
        <v>3119</v>
      </c>
      <c r="G23" s="3196" t="s">
        <v>3120</v>
      </c>
      <c r="H23" s="3196" t="s">
        <v>3039</v>
      </c>
      <c r="I23" s="3216" t="s">
        <v>3121</v>
      </c>
      <c r="J23" s="3217" t="s">
        <v>3122</v>
      </c>
      <c r="K23" s="3221">
        <v>210.43</v>
      </c>
      <c r="L23" s="3187">
        <v>23862.83</v>
      </c>
      <c r="M23" s="3187">
        <v>602931.53</v>
      </c>
      <c r="N23" s="3198">
        <f t="shared" si="1"/>
        <v>2978.6359359406929</v>
      </c>
    </row>
    <row r="24" spans="1:14" s="3220" customFormat="1" ht="95.25" hidden="1" customHeight="1">
      <c r="A24" s="3215">
        <v>2018</v>
      </c>
      <c r="B24" s="3203" t="s">
        <v>3115</v>
      </c>
      <c r="C24" s="3219" t="s">
        <v>3020</v>
      </c>
      <c r="D24" s="3196" t="s">
        <v>3106</v>
      </c>
      <c r="E24" s="3196" t="s">
        <v>3030</v>
      </c>
      <c r="F24" s="3196" t="s">
        <v>3123</v>
      </c>
      <c r="G24" s="3196" t="s">
        <v>3083</v>
      </c>
      <c r="H24" s="3196" t="s">
        <v>3039</v>
      </c>
      <c r="I24" s="3216" t="s">
        <v>3124</v>
      </c>
      <c r="J24" s="3217" t="s">
        <v>3125</v>
      </c>
      <c r="K24" s="3221">
        <v>74.25</v>
      </c>
      <c r="L24" s="3187">
        <v>13520.67</v>
      </c>
      <c r="M24" s="3187">
        <v>291651.92</v>
      </c>
      <c r="N24" s="3198">
        <f t="shared" si="1"/>
        <v>4110.0685521885516</v>
      </c>
    </row>
    <row r="25" spans="1:14" s="3220" customFormat="1" ht="95.25" customHeight="1">
      <c r="A25" s="3215">
        <v>2018</v>
      </c>
      <c r="B25" s="3203" t="s">
        <v>3115</v>
      </c>
      <c r="C25" s="3219" t="s">
        <v>3020</v>
      </c>
      <c r="D25" s="3196" t="s">
        <v>3126</v>
      </c>
      <c r="E25" s="3196" t="s">
        <v>3030</v>
      </c>
      <c r="F25" s="3196" t="s">
        <v>3127</v>
      </c>
      <c r="G25" s="3196" t="s">
        <v>3128</v>
      </c>
      <c r="H25" s="3196" t="s">
        <v>3039</v>
      </c>
      <c r="I25" s="3216" t="s">
        <v>3129</v>
      </c>
      <c r="J25" s="3188" t="s">
        <v>3130</v>
      </c>
      <c r="K25" s="3221">
        <v>29.09</v>
      </c>
      <c r="L25" s="3187">
        <v>12773.36</v>
      </c>
      <c r="M25" s="3187">
        <v>231746.85</v>
      </c>
      <c r="N25" s="3198">
        <f t="shared" si="1"/>
        <v>8405.6448951529746</v>
      </c>
    </row>
    <row r="26" spans="1:14" s="3220" customFormat="1" ht="95.25" hidden="1" customHeight="1">
      <c r="A26" s="3215">
        <v>2018</v>
      </c>
      <c r="B26" s="3203" t="s">
        <v>3131</v>
      </c>
      <c r="C26" s="3222" t="s">
        <v>3132</v>
      </c>
      <c r="D26" s="3221" t="s">
        <v>3106</v>
      </c>
      <c r="E26" s="3221" t="s">
        <v>3030</v>
      </c>
      <c r="F26" s="3221" t="s">
        <v>3133</v>
      </c>
      <c r="G26" s="3221" t="s">
        <v>3083</v>
      </c>
      <c r="H26" s="3221" t="s">
        <v>3039</v>
      </c>
      <c r="I26" s="3221" t="s">
        <v>3134</v>
      </c>
      <c r="J26" s="3221" t="s">
        <v>3135</v>
      </c>
      <c r="K26" s="3221">
        <v>165.53</v>
      </c>
      <c r="L26" s="3187">
        <v>55495.91</v>
      </c>
      <c r="M26" s="3187">
        <v>418159.92</v>
      </c>
      <c r="N26" s="3198">
        <f t="shared" si="1"/>
        <v>2861.4500694738113</v>
      </c>
    </row>
    <row r="27" spans="1:14" s="3220" customFormat="1" ht="72" hidden="1">
      <c r="A27" s="3215">
        <v>2018</v>
      </c>
      <c r="B27" s="3203" t="s">
        <v>3136</v>
      </c>
      <c r="C27" s="3222" t="s">
        <v>3132</v>
      </c>
      <c r="D27" s="3221" t="s">
        <v>3106</v>
      </c>
      <c r="E27" s="3221" t="s">
        <v>3030</v>
      </c>
      <c r="F27" s="3221" t="s">
        <v>3137</v>
      </c>
      <c r="G27" s="3221" t="s">
        <v>3138</v>
      </c>
      <c r="H27" s="3221" t="s">
        <v>3039</v>
      </c>
      <c r="I27" s="3221" t="s">
        <v>3139</v>
      </c>
      <c r="J27" s="3221" t="s">
        <v>3140</v>
      </c>
      <c r="K27" s="3223">
        <v>175.57</v>
      </c>
      <c r="L27" s="3187">
        <v>157294.39999999999</v>
      </c>
      <c r="M27" s="3187">
        <v>394653.43</v>
      </c>
      <c r="N27" s="3198">
        <f t="shared" si="1"/>
        <v>3143.7479637751321</v>
      </c>
    </row>
    <row r="28" spans="1:14" s="3190" customFormat="1" ht="95.25" customHeight="1">
      <c r="A28" s="3215">
        <v>2018</v>
      </c>
      <c r="B28" s="3203" t="s">
        <v>3141</v>
      </c>
      <c r="C28" s="3224" t="s">
        <v>3142</v>
      </c>
      <c r="D28" s="3225" t="s">
        <v>3058</v>
      </c>
      <c r="E28" s="3225" t="s">
        <v>3030</v>
      </c>
      <c r="F28" s="3225" t="s">
        <v>3143</v>
      </c>
      <c r="G28" s="3225" t="s">
        <v>3144</v>
      </c>
      <c r="H28" s="3225" t="s">
        <v>3039</v>
      </c>
      <c r="I28" s="3225" t="s">
        <v>3145</v>
      </c>
      <c r="J28" s="3225" t="s">
        <v>3146</v>
      </c>
      <c r="K28" s="3221">
        <v>49.58</v>
      </c>
      <c r="L28" s="3187">
        <v>61873.95</v>
      </c>
      <c r="M28" s="3187">
        <v>240341.82</v>
      </c>
      <c r="N28" s="3198">
        <f t="shared" si="1"/>
        <v>6095.5177490923761</v>
      </c>
    </row>
    <row r="29" spans="1:14" s="3190" customFormat="1" ht="95.25" hidden="1" customHeight="1">
      <c r="A29" s="3215">
        <v>2018</v>
      </c>
      <c r="B29" s="3203" t="s">
        <v>3141</v>
      </c>
      <c r="C29" s="3224" t="s">
        <v>3142</v>
      </c>
      <c r="D29" s="3225" t="s">
        <v>3147</v>
      </c>
      <c r="E29" s="3225" t="s">
        <v>3030</v>
      </c>
      <c r="F29" s="3225" t="s">
        <v>3148</v>
      </c>
      <c r="G29" s="3225" t="s">
        <v>3149</v>
      </c>
      <c r="H29" s="3225" t="s">
        <v>3039</v>
      </c>
      <c r="I29" s="3225" t="s">
        <v>3150</v>
      </c>
      <c r="J29" s="3225" t="s">
        <v>3151</v>
      </c>
      <c r="K29" s="3226">
        <v>113.32</v>
      </c>
      <c r="L29" s="3187">
        <v>84598.35</v>
      </c>
      <c r="M29" s="3187">
        <v>378467.53</v>
      </c>
      <c r="N29" s="3198">
        <f t="shared" si="1"/>
        <v>4086.3561595481824</v>
      </c>
    </row>
    <row r="30" spans="1:14" s="3190" customFormat="1" ht="95.25" hidden="1" customHeight="1">
      <c r="A30" s="3215">
        <v>2018</v>
      </c>
      <c r="B30" s="3203" t="s">
        <v>3141</v>
      </c>
      <c r="C30" s="3191">
        <v>12</v>
      </c>
      <c r="D30" s="3225" t="s">
        <v>3106</v>
      </c>
      <c r="E30" s="3225" t="s">
        <v>3030</v>
      </c>
      <c r="F30" s="3225" t="s">
        <v>3152</v>
      </c>
      <c r="G30" s="3225" t="s">
        <v>3083</v>
      </c>
      <c r="H30" s="3225" t="s">
        <v>3039</v>
      </c>
      <c r="I30" s="3225" t="s">
        <v>3153</v>
      </c>
      <c r="J30" s="3225" t="s">
        <v>3154</v>
      </c>
      <c r="K30" s="3221">
        <v>239.14</v>
      </c>
      <c r="L30" s="3187">
        <v>61695.44</v>
      </c>
      <c r="M30" s="3187">
        <v>859650.5</v>
      </c>
      <c r="N30" s="3198">
        <f t="shared" si="1"/>
        <v>3852.7470937526136</v>
      </c>
    </row>
    <row r="31" spans="1:14" s="3190" customFormat="1" ht="120" hidden="1" customHeight="1">
      <c r="A31" s="3215">
        <v>2018</v>
      </c>
      <c r="B31" s="3203" t="s">
        <v>3141</v>
      </c>
      <c r="C31" s="3191" t="s">
        <v>3142</v>
      </c>
      <c r="D31" s="3225" t="s">
        <v>3092</v>
      </c>
      <c r="E31" s="3225" t="s">
        <v>3030</v>
      </c>
      <c r="F31" s="3225" t="s">
        <v>3155</v>
      </c>
      <c r="G31" s="3225" t="s">
        <v>3156</v>
      </c>
      <c r="H31" s="3225" t="s">
        <v>3039</v>
      </c>
      <c r="I31" s="3225" t="s">
        <v>3157</v>
      </c>
      <c r="J31" s="3225" t="s">
        <v>3158</v>
      </c>
      <c r="K31" s="3221">
        <v>129.57</v>
      </c>
      <c r="L31" s="3187">
        <v>164075.88</v>
      </c>
      <c r="M31" s="3187">
        <v>363152.48</v>
      </c>
      <c r="N31" s="3198">
        <f t="shared" si="1"/>
        <v>4069.061974222428</v>
      </c>
    </row>
    <row r="32" spans="1:14" s="3190" customFormat="1" ht="72" hidden="1">
      <c r="A32" s="3215">
        <v>2018</v>
      </c>
      <c r="B32" s="3203" t="s">
        <v>3136</v>
      </c>
      <c r="C32" s="3191" t="s">
        <v>3142</v>
      </c>
      <c r="D32" s="3225" t="s">
        <v>3106</v>
      </c>
      <c r="E32" s="3225" t="s">
        <v>3030</v>
      </c>
      <c r="F32" s="3225" t="s">
        <v>3159</v>
      </c>
      <c r="G32" s="3225" t="s">
        <v>3083</v>
      </c>
      <c r="H32" s="3225" t="s">
        <v>3039</v>
      </c>
      <c r="I32" s="3225" t="s">
        <v>3160</v>
      </c>
      <c r="J32" s="3225" t="s">
        <v>3161</v>
      </c>
      <c r="K32" s="3221">
        <v>55.01</v>
      </c>
      <c r="L32" s="3187">
        <v>61454.45</v>
      </c>
      <c r="M32" s="3187">
        <v>558371.41</v>
      </c>
      <c r="N32" s="3198">
        <f t="shared" si="1"/>
        <v>11267.512452281404</v>
      </c>
    </row>
    <row r="33" spans="11:14">
      <c r="K33" s="3227">
        <f>SUBTOTAL(9,K10:K32)</f>
        <v>494.02481999999998</v>
      </c>
      <c r="L33" s="3228">
        <f>SUBTOTAL(9,L10:L32)</f>
        <v>319209.67000000004</v>
      </c>
      <c r="M33" s="3228">
        <f>SUBTOTAL(9,M10:M32)</f>
        <v>1375157.1</v>
      </c>
      <c r="N33" s="3182">
        <f>(L33+M33)/K33</f>
        <v>3429.7199278368244</v>
      </c>
    </row>
    <row r="34" spans="11:14">
      <c r="K34" s="3227"/>
    </row>
    <row r="35" spans="11:14">
      <c r="K35" s="3227"/>
    </row>
    <row r="36" spans="11:14">
      <c r="K36" s="3227"/>
    </row>
    <row r="37" spans="11:14">
      <c r="K37" s="3227"/>
    </row>
    <row r="38" spans="11:14">
      <c r="K38" s="3227"/>
    </row>
    <row r="39" spans="11:14">
      <c r="K39" s="3227"/>
    </row>
    <row r="40" spans="11:14">
      <c r="K40" s="3227"/>
    </row>
    <row r="41" spans="11:14">
      <c r="K41" s="3227"/>
    </row>
    <row r="42" spans="11:14">
      <c r="K42" s="3227"/>
    </row>
    <row r="43" spans="11:14">
      <c r="K43" s="3227"/>
    </row>
    <row r="44" spans="11:14">
      <c r="K44" s="3227"/>
    </row>
    <row r="45" spans="11:14">
      <c r="K45" s="3227"/>
    </row>
    <row r="46" spans="11:14">
      <c r="K46" s="3227"/>
    </row>
    <row r="47" spans="11:14">
      <c r="K47" s="3227"/>
    </row>
    <row r="48" spans="11:14">
      <c r="K48" s="3227"/>
    </row>
    <row r="49" spans="11:11">
      <c r="K49" s="3227"/>
    </row>
    <row r="50" spans="11:11">
      <c r="K50" s="3227"/>
    </row>
    <row r="51" spans="11:11">
      <c r="K51" s="3227"/>
    </row>
    <row r="52" spans="11:11">
      <c r="K52" s="3227"/>
    </row>
    <row r="53" spans="11:11">
      <c r="K53" s="3227"/>
    </row>
    <row r="54" spans="11:11">
      <c r="K54" s="3227"/>
    </row>
    <row r="55" spans="11:11">
      <c r="K55" s="3227"/>
    </row>
    <row r="56" spans="11:11">
      <c r="K56" s="3227"/>
    </row>
    <row r="57" spans="11:11">
      <c r="K57" s="3227"/>
    </row>
    <row r="58" spans="11:11">
      <c r="K58" s="3227"/>
    </row>
    <row r="59" spans="11:11">
      <c r="K59" s="3227"/>
    </row>
    <row r="60" spans="11:11">
      <c r="K60" s="3227"/>
    </row>
    <row r="61" spans="11:11">
      <c r="K61" s="3227"/>
    </row>
    <row r="62" spans="11:11">
      <c r="K62" s="3227"/>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{D2AA3A8C-ADDA-4244-AC79-20D6501DD413}</x14:id>
        </ext>
      </extLst>
    </cfRule>
  </conditionalFormatting>
  <conditionalFormatting sqref="B27">
    <cfRule type="dataBar" priority="6">
      <dataBar>
        <cfvo type="min"/>
        <cfvo type="max"/>
        <color rgb="FF638EC6"/>
      </dataBar>
      <extLst>
        <ext xmlns:x14="http://schemas.microsoft.com/office/spreadsheetml/2009/9/main" uri="{B025F937-C7B1-47D3-B67F-A62EFF666E3E}">
          <x14:id>{30D0DA6E-71A7-4779-9805-7A540CFBE29A}</x14:id>
        </ext>
      </extLst>
    </cfRule>
  </conditionalFormatting>
  <conditionalFormatting sqref="B28">
    <cfRule type="dataBar" priority="5">
      <dataBar>
        <cfvo type="min"/>
        <cfvo type="max"/>
        <color rgb="FF638EC6"/>
      </dataBar>
      <extLst>
        <ext xmlns:x14="http://schemas.microsoft.com/office/spreadsheetml/2009/9/main" uri="{B025F937-C7B1-47D3-B67F-A62EFF666E3E}">
          <x14:id>{75DAAB84-8988-4326-89CD-0B17D1A15ECD}</x14:id>
        </ext>
      </extLst>
    </cfRule>
  </conditionalFormatting>
  <conditionalFormatting sqref="B29">
    <cfRule type="dataBar" priority="4">
      <dataBar>
        <cfvo type="min"/>
        <cfvo type="max"/>
        <color rgb="FF638EC6"/>
      </dataBar>
      <extLst>
        <ext xmlns:x14="http://schemas.microsoft.com/office/spreadsheetml/2009/9/main" uri="{B025F937-C7B1-47D3-B67F-A62EFF666E3E}">
          <x14:id>{A10B85E7-FE61-4EF5-BBD0-948859E78725}</x14:id>
        </ext>
      </extLst>
    </cfRule>
  </conditionalFormatting>
  <conditionalFormatting sqref="B30">
    <cfRule type="dataBar" priority="3">
      <dataBar>
        <cfvo type="min"/>
        <cfvo type="max"/>
        <color rgb="FF638EC6"/>
      </dataBar>
      <extLst>
        <ext xmlns:x14="http://schemas.microsoft.com/office/spreadsheetml/2009/9/main" uri="{B025F937-C7B1-47D3-B67F-A62EFF666E3E}">
          <x14:id>{796456DE-0BE5-4768-9FB8-9F75DBD800C0}</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{814FEAC1-2FAC-4953-859F-06023121C3FD}</x14:id>
        </ext>
      </extLst>
    </cfRule>
  </conditionalFormatting>
  <conditionalFormatting sqref="B32">
    <cfRule type="dataBar" priority="1">
      <dataBar>
        <cfvo type="min"/>
        <cfvo type="max"/>
        <color rgb="FF638EC6"/>
      </dataBar>
      <extLst>
        <ext xmlns:x14="http://schemas.microsoft.com/office/spreadsheetml/2009/9/main" uri="{B025F937-C7B1-47D3-B67F-A62EFF666E3E}">
          <x14:id>{A73C42E4-D548-41A5-9D5E-6CC38FD5B7C3}</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2AA3A8C-ADDA-4244-AC79-20D6501DD41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30D0DA6E-71A7-4779-9805-7A540CFBE29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75DAAB84-8988-4326-89CD-0B17D1A15EC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10B85E7-FE61-4EF5-BBD0-948859E78725}">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96456DE-0BE5-4768-9FB8-9F75DBD800C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4FEAC1-2FAC-4953-859F-06023121C3F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A73C42E4-D548-41A5-9D5E-6CC38FD5B7C3}">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2039</v>
      </c>
      <c r="B1" s="3249"/>
      <c r="C1" s="3249"/>
      <c r="D1" s="3249"/>
      <c r="E1" s="3249"/>
      <c r="F1" s="3249"/>
      <c r="G1" s="3249"/>
      <c r="H1" s="3249"/>
      <c r="I1" s="3249"/>
      <c r="J1" s="3249"/>
      <c r="K1" s="3249"/>
      <c r="L1" s="3249"/>
      <c r="M1" s="3249"/>
      <c r="N1" s="3249"/>
      <c r="O1" s="3249"/>
      <c r="P1" s="3249"/>
      <c r="Q1" s="3249"/>
      <c r="R1" s="3249"/>
    </row>
    <row r="2" spans="1:18">
      <c r="A2" s="1808" t="s">
        <v>2041</v>
      </c>
      <c r="B2" s="1808"/>
      <c r="C2" s="1808"/>
      <c r="D2" s="1808"/>
      <c r="E2" s="1808"/>
      <c r="F2" s="1808"/>
      <c r="G2" s="1808"/>
      <c r="H2" s="1808"/>
      <c r="I2" s="1809"/>
      <c r="J2" s="1809"/>
      <c r="K2" s="1810" t="str">
        <f>"估价期日："&amp;TEXT(项目基本情况!D3,"yyyy年m月d日;;")</f>
        <v>估价期日：2019年3月31日</v>
      </c>
      <c r="L2" s="1808"/>
      <c r="M2" s="1808"/>
      <c r="N2" s="1808"/>
      <c r="O2" s="1808"/>
      <c r="P2" s="1808"/>
      <c r="Q2" s="1808"/>
      <c r="R2" s="1810" t="str">
        <f>"估价期日的国有建设用地使用权性质："&amp;项目基本情况!B16</f>
        <v>估价期日的国有建设用地使用权性质：划拨</v>
      </c>
    </row>
    <row r="3" spans="1:18" ht="23.25" customHeight="1">
      <c r="A3" s="3250" t="s">
        <v>2030</v>
      </c>
      <c r="B3" s="3250" t="s">
        <v>2732</v>
      </c>
      <c r="C3" s="3251" t="s">
        <v>2031</v>
      </c>
      <c r="D3" s="3250" t="s">
        <v>2736</v>
      </c>
      <c r="E3" s="3253" t="s">
        <v>2032</v>
      </c>
      <c r="F3" s="3253"/>
      <c r="G3" s="3253"/>
      <c r="H3" s="3253" t="s">
        <v>2033</v>
      </c>
      <c r="I3" s="3253"/>
      <c r="J3" s="3253"/>
      <c r="K3" s="3251" t="s">
        <v>2034</v>
      </c>
      <c r="L3" s="3251" t="s">
        <v>2035</v>
      </c>
      <c r="M3" s="3250" t="s">
        <v>2733</v>
      </c>
      <c r="N3" s="3252" t="str">
        <f>"（分摊）"&amp;项目基本情况!B16&amp;"国有建设用地使用权面积/㎡"</f>
        <v>（分摊）划拨国有建设用地使用权面积/㎡</v>
      </c>
      <c r="O3" s="3250" t="s">
        <v>2064</v>
      </c>
      <c r="P3" s="3251" t="s">
        <v>2044</v>
      </c>
      <c r="Q3" s="3251" t="s">
        <v>2065</v>
      </c>
      <c r="R3" s="3251" t="s">
        <v>2036</v>
      </c>
    </row>
    <row r="4" spans="1:18" ht="36.75" customHeight="1">
      <c r="A4" s="3250"/>
      <c r="B4" s="3250"/>
      <c r="C4" s="3251"/>
      <c r="D4" s="3250"/>
      <c r="E4" s="2629" t="s">
        <v>2043</v>
      </c>
      <c r="F4" s="2629" t="s">
        <v>2745</v>
      </c>
      <c r="G4" s="2629" t="s">
        <v>2037</v>
      </c>
      <c r="H4" s="2629" t="s">
        <v>2038</v>
      </c>
      <c r="I4" s="2629" t="s">
        <v>2746</v>
      </c>
      <c r="J4" s="2629" t="s">
        <v>2037</v>
      </c>
      <c r="K4" s="3251"/>
      <c r="L4" s="3251"/>
      <c r="M4" s="3250"/>
      <c r="N4" s="3252"/>
      <c r="O4" s="3250"/>
      <c r="P4" s="3251"/>
      <c r="Q4" s="3251"/>
      <c r="R4" s="3251"/>
    </row>
    <row r="5" spans="1:18" ht="135" customHeight="1">
      <c r="A5" s="1944" t="s">
        <v>2656</v>
      </c>
      <c r="B5" s="2846" t="s">
        <v>2654</v>
      </c>
      <c r="C5" s="2628">
        <v>22</v>
      </c>
      <c r="D5" s="2627" t="s">
        <v>2655</v>
      </c>
      <c r="E5" s="1811" t="str">
        <f>项目基本情况!B12</f>
        <v>工业</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585007</v>
      </c>
      <c r="O5" s="1811">
        <f>项目基本情况!C21</f>
        <v>73383.899999999994</v>
      </c>
      <c r="P5" s="1811">
        <f ca="1">结果表!E42</f>
        <v>3216</v>
      </c>
      <c r="Q5" s="1811">
        <f ca="1">结果表!D42</f>
        <v>25635</v>
      </c>
      <c r="R5" s="1812">
        <f ca="1">结果表!C42</f>
        <v>188123</v>
      </c>
    </row>
    <row r="6" spans="1:18">
      <c r="A6" s="3246" t="str">
        <f>IF(项目基本情况!B9="市场价格","——","抵押价格")</f>
        <v>——</v>
      </c>
      <c r="B6" s="3247"/>
      <c r="C6" s="3247"/>
      <c r="D6" s="3247"/>
      <c r="E6" s="3247"/>
      <c r="F6" s="3247"/>
      <c r="G6" s="3247"/>
      <c r="H6" s="3247"/>
      <c r="I6" s="3247"/>
      <c r="J6" s="3247"/>
      <c r="K6" s="3247"/>
      <c r="L6" s="3247"/>
      <c r="M6" s="3247"/>
      <c r="N6" s="3247"/>
      <c r="O6" s="3247"/>
      <c r="P6" s="3247"/>
      <c r="Q6" s="3248"/>
      <c r="R6" s="1813" t="str">
        <f>结果表!O39</f>
        <v>——</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813" t="str">
        <f>结果表!O40</f>
        <v>——</v>
      </c>
    </row>
    <row r="8" spans="1:18">
      <c r="A8" s="3246" t="str">
        <f>IF(项目基本情况!B9="市场价格","——",项目基本情况!E9)</f>
        <v>——</v>
      </c>
      <c r="B8" s="3247"/>
      <c r="C8" s="3247"/>
      <c r="D8" s="3247"/>
      <c r="E8" s="3247"/>
      <c r="F8" s="3247"/>
      <c r="G8" s="3247"/>
      <c r="H8" s="3247"/>
      <c r="I8" s="3247"/>
      <c r="J8" s="3247"/>
      <c r="K8" s="3247"/>
      <c r="L8" s="3247"/>
      <c r="M8" s="3247"/>
      <c r="N8" s="3247"/>
      <c r="O8" s="3247"/>
      <c r="P8" s="3247"/>
      <c r="Q8" s="324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55" t="s">
        <v>2066</v>
      </c>
      <c r="B1" s="3255"/>
      <c r="C1" s="3255"/>
      <c r="D1" s="3255"/>
    </row>
    <row r="2" spans="1:4" ht="47.25" customHeight="1">
      <c r="A2" s="3256" t="str">
        <f>"1.权利限制："&amp;项目基本情况!L24&amp;"未设定租赁等其他他项权利。"</f>
        <v>1.权利限制：根据估价对象《不动产权证书》原件、《国有土地使用权》复印件，截至估价期日，估价对象抵押权未见登记。未设定租赁等其他他项权利。</v>
      </c>
      <c r="B2" s="3256"/>
      <c r="C2" s="3256"/>
      <c r="D2" s="3256"/>
    </row>
    <row r="3" spans="1:4" ht="48" customHeight="1">
      <c r="A3" s="32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5"/>
      <c r="C3" s="3255"/>
      <c r="D3" s="3255"/>
    </row>
    <row r="4" spans="1:4" ht="36.75" customHeight="1">
      <c r="A4" s="3255" t="str">
        <f>"3.估价规划限制条件：详见"&amp;项目基本情况!E21&amp;"。"</f>
        <v>3.估价规划限制条件：详见《建设工程规划许可证》[]、《出让合同》[]。</v>
      </c>
      <c r="B4" s="3255"/>
      <c r="C4" s="3255"/>
      <c r="D4" s="3255"/>
    </row>
    <row r="5" spans="1:4">
      <c r="A5" s="3254" t="s">
        <v>2067</v>
      </c>
      <c r="B5" s="3254"/>
      <c r="C5" s="3254"/>
      <c r="D5" s="3254"/>
    </row>
    <row r="6" spans="1:4">
      <c r="A6" s="3255" t="s">
        <v>2045</v>
      </c>
      <c r="B6" s="3255"/>
      <c r="C6" s="3255"/>
      <c r="D6" s="3255"/>
    </row>
    <row r="7" spans="1:4" ht="33" customHeight="1">
      <c r="A7" s="3255" t="s">
        <v>2576</v>
      </c>
      <c r="B7" s="3255"/>
      <c r="C7" s="3255"/>
      <c r="D7" s="3255"/>
    </row>
    <row r="8" spans="1:4" ht="32.25" customHeight="1">
      <c r="A8" s="32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5"/>
      <c r="C8" s="3255"/>
      <c r="D8" s="3255"/>
    </row>
    <row r="9" spans="1:4" ht="33.75" customHeight="1">
      <c r="A9" s="3255" t="str">
        <f>IF(项目基本情况!B8="抵押","3.抵押双方在办理抵押登记手续时，应使用本公司出具的正式《土地估价报告》，特提请报告使用者注意。","——")</f>
        <v>——</v>
      </c>
      <c r="B9" s="3255"/>
      <c r="C9" s="3255"/>
      <c r="D9" s="3255"/>
    </row>
    <row r="10" spans="1:4">
      <c r="A10" s="3255" t="str">
        <f>IF(项目基本情况!B8="抵押","4.估价师所知悉的法定优先受偿款情况为：","——")</f>
        <v>——</v>
      </c>
      <c r="B10" s="3255"/>
      <c r="C10" s="3255"/>
      <c r="D10" s="3255"/>
    </row>
    <row r="11" spans="1:4" ht="37.5" customHeight="1">
      <c r="A11" s="3257" t="str">
        <f>IF(项目基本情况!B8="抵押","（1）"&amp;CONCATENATE(项目基本情况!L24,项目基本情况!L25,项目基本情况!L26),"——")</f>
        <v>——</v>
      </c>
      <c r="B11" s="3257"/>
      <c r="C11" s="3257"/>
      <c r="D11" s="3257"/>
    </row>
    <row r="12" spans="1:4" ht="168" customHeight="1">
      <c r="A12" s="3254" t="s">
        <v>2069</v>
      </c>
      <c r="B12" s="3254"/>
      <c r="C12" s="3254"/>
      <c r="D12" s="3254"/>
    </row>
    <row r="13" spans="1:4">
      <c r="A13" s="3258" t="s">
        <v>2747</v>
      </c>
      <c r="B13" s="3258"/>
      <c r="C13" s="3258"/>
      <c r="D13" s="3258"/>
    </row>
    <row r="14" spans="1:4">
      <c r="A14" s="3257" t="str">
        <f>IF(项目基本情况!B8="抵押","综上，"&amp;结果表!K47,"——")</f>
        <v>——</v>
      </c>
      <c r="B14" s="3257"/>
      <c r="C14" s="3257"/>
      <c r="D14" s="3257"/>
    </row>
    <row r="15" spans="1:4" ht="58.5" customHeight="1">
      <c r="A15" s="32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5"/>
      <c r="C15" s="3255"/>
      <c r="D15" s="3255"/>
    </row>
    <row r="16" spans="1:4" ht="70.5" customHeight="1">
      <c r="A16" s="32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5"/>
      <c r="C16" s="3255"/>
      <c r="D16" s="3255"/>
    </row>
    <row r="17" spans="1:4">
      <c r="A17" s="3255" t="s">
        <v>2703</v>
      </c>
      <c r="B17" s="3255"/>
      <c r="C17" s="3255"/>
      <c r="D17" s="3255"/>
    </row>
    <row r="18" spans="1:4">
      <c r="A18" s="3255" t="s">
        <v>2695</v>
      </c>
      <c r="B18" s="3255"/>
      <c r="C18" s="3255"/>
      <c r="D18" s="3255"/>
    </row>
    <row r="19" spans="1:4">
      <c r="A19" s="2847" t="s">
        <v>2696</v>
      </c>
      <c r="B19" s="2847" t="s">
        <v>2697</v>
      </c>
      <c r="C19" s="2847" t="s">
        <v>2698</v>
      </c>
      <c r="D19" s="2847" t="s">
        <v>2699</v>
      </c>
    </row>
    <row r="20" spans="1:4">
      <c r="A20" s="2847" t="str">
        <f>项目基本情况!B4</f>
        <v>陈颖</v>
      </c>
      <c r="B20" s="2847">
        <f ca="1">项目基本情况!C4</f>
        <v>2004110096</v>
      </c>
      <c r="C20" s="2849"/>
      <c r="D20" s="1801" t="s">
        <v>2704</v>
      </c>
    </row>
    <row r="21" spans="1:4">
      <c r="A21" s="2847" t="str">
        <f>项目基本情况!D4</f>
        <v>叶凌</v>
      </c>
      <c r="B21" s="2847">
        <f ca="1">项目基本情况!E4</f>
        <v>94010078</v>
      </c>
      <c r="C21" s="2849"/>
      <c r="D21" s="1801" t="s">
        <v>2705</v>
      </c>
    </row>
    <row r="23" spans="1:4">
      <c r="A23" s="3255" t="s">
        <v>2700</v>
      </c>
      <c r="B23" s="3255"/>
      <c r="C23" s="3255"/>
      <c r="D23" s="3255"/>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6" t="s">
        <v>53</v>
      </c>
      <c r="B15" s="3267" t="s">
        <v>846</v>
      </c>
      <c r="C15" s="3263"/>
    </row>
    <row r="16" spans="1:7" ht="14.25">
      <c r="A16" s="3266"/>
      <c r="B16" s="3264" t="s">
        <v>54</v>
      </c>
      <c r="C16" s="1172" t="s">
        <v>53</v>
      </c>
    </row>
    <row r="17" spans="1:3" ht="14.25">
      <c r="A17" s="3266"/>
      <c r="B17" s="3264"/>
      <c r="C17" s="1172" t="s">
        <v>55</v>
      </c>
    </row>
    <row r="18" spans="1:3" ht="14.25">
      <c r="A18" s="3266"/>
      <c r="B18" s="3264"/>
      <c r="C18" s="1172" t="s">
        <v>56</v>
      </c>
    </row>
    <row r="19" spans="1:3" ht="14.25">
      <c r="A19" s="3266"/>
      <c r="B19" s="3262" t="s">
        <v>57</v>
      </c>
      <c r="C19" s="3263"/>
    </row>
    <row r="20" spans="1:3" ht="14.25">
      <c r="A20" s="1173" t="s">
        <v>58</v>
      </c>
      <c r="B20" s="1174"/>
      <c r="C20" s="1175"/>
    </row>
    <row r="21" spans="1:3" ht="14.25">
      <c r="A21" s="3265" t="s">
        <v>59</v>
      </c>
      <c r="B21" s="3262" t="s">
        <v>60</v>
      </c>
      <c r="C21" s="3263"/>
    </row>
    <row r="22" spans="1:3" ht="14.25">
      <c r="A22" s="3265"/>
      <c r="B22" s="3262" t="s">
        <v>61</v>
      </c>
      <c r="C22" s="3263"/>
    </row>
    <row r="23" spans="1:3" ht="14.25">
      <c r="A23" s="3265"/>
      <c r="B23" s="3262" t="s">
        <v>62</v>
      </c>
      <c r="C23" s="3263"/>
    </row>
    <row r="24" spans="1:3" ht="14.25">
      <c r="A24" s="3265"/>
      <c r="B24" s="3268" t="s">
        <v>63</v>
      </c>
      <c r="C24" s="1176" t="s">
        <v>837</v>
      </c>
    </row>
    <row r="25" spans="1:3" ht="14.25">
      <c r="A25" s="3265"/>
      <c r="B25" s="3269"/>
      <c r="C25" s="1176" t="s">
        <v>838</v>
      </c>
    </row>
    <row r="26" spans="1:3" ht="14.25">
      <c r="A26" s="3265"/>
      <c r="B26" s="3269"/>
      <c r="C26" s="1176" t="s">
        <v>839</v>
      </c>
    </row>
    <row r="27" spans="1:3" ht="14.25">
      <c r="A27" s="3265"/>
      <c r="B27" s="3269"/>
      <c r="C27" s="1176" t="s">
        <v>840</v>
      </c>
    </row>
    <row r="28" spans="1:3" ht="14.25">
      <c r="A28" s="3265"/>
      <c r="B28" s="3269"/>
      <c r="C28" s="1176" t="s">
        <v>841</v>
      </c>
    </row>
    <row r="29" spans="1:3" ht="14.25">
      <c r="A29" s="3265"/>
      <c r="B29" s="3269"/>
      <c r="C29" s="1176" t="s">
        <v>842</v>
      </c>
    </row>
    <row r="30" spans="1:3" ht="14.25">
      <c r="A30" s="3265"/>
      <c r="B30" s="3269"/>
      <c r="C30" s="1176" t="s">
        <v>843</v>
      </c>
    </row>
    <row r="31" spans="1:3" ht="14.25">
      <c r="A31" s="3265"/>
      <c r="B31" s="3269"/>
      <c r="C31" s="1176" t="s">
        <v>844</v>
      </c>
    </row>
    <row r="32" spans="1:3" ht="14.25">
      <c r="A32" s="3265"/>
      <c r="B32" s="3269"/>
      <c r="C32" s="1176" t="s">
        <v>1647</v>
      </c>
    </row>
    <row r="33" spans="1:3" ht="14.25">
      <c r="A33" s="3265"/>
      <c r="B33" s="3259" t="s">
        <v>1653</v>
      </c>
      <c r="C33" s="1176" t="s">
        <v>1648</v>
      </c>
    </row>
    <row r="34" spans="1:3" ht="14.25">
      <c r="A34" s="3265"/>
      <c r="B34" s="3260"/>
      <c r="C34" s="1181" t="s">
        <v>1649</v>
      </c>
    </row>
    <row r="35" spans="1:3" ht="14.25">
      <c r="A35" s="3265"/>
      <c r="B35" s="3260"/>
      <c r="C35" s="1182" t="s">
        <v>1650</v>
      </c>
    </row>
    <row r="36" spans="1:3" ht="14.25">
      <c r="A36" s="3265"/>
      <c r="B36" s="3260"/>
      <c r="C36" s="1182" t="s">
        <v>1651</v>
      </c>
    </row>
    <row r="37" spans="1:3" ht="14.25">
      <c r="A37" s="3265"/>
      <c r="B37" s="326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43601</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2982</v>
      </c>
      <c r="B14" s="3157">
        <f ca="1">IF(C14&lt;B2,"已过期",1120040230)</f>
        <v>1120040230</v>
      </c>
      <c r="C14" s="3161">
        <v>43835</v>
      </c>
      <c r="D14" s="3162" t="s">
        <v>2983</v>
      </c>
      <c r="E14" s="3157">
        <f ca="1">IF(F14&lt;B2,"已过期",98030020)</f>
        <v>98030020</v>
      </c>
      <c r="F14" s="3160">
        <v>47118</v>
      </c>
    </row>
    <row r="15" spans="1:6" ht="20.25" customHeight="1">
      <c r="A15" s="3157" t="s">
        <v>2575</v>
      </c>
      <c r="B15" s="3157">
        <f ca="1">IF(C15&lt;B2,"已过期",1120070085)</f>
        <v>1120070085</v>
      </c>
      <c r="C15" s="3161">
        <v>43814</v>
      </c>
      <c r="D15" s="3157" t="s">
        <v>2984</v>
      </c>
      <c r="E15" s="3157">
        <f ca="1">IF(F15&lt;B2,"已过期",2004110128)</f>
        <v>2004110128</v>
      </c>
      <c r="F15" s="3163">
        <v>47118</v>
      </c>
    </row>
    <row r="16" spans="1:6" ht="20.25" customHeight="1">
      <c r="A16" s="3157" t="s">
        <v>1924</v>
      </c>
      <c r="B16" s="3157">
        <f ca="1">IF(C16&lt;B2,"已过期",1120140022)</f>
        <v>1120140022</v>
      </c>
      <c r="C16" s="3159">
        <v>44029</v>
      </c>
      <c r="D16" s="3157" t="s">
        <v>2985</v>
      </c>
      <c r="E16" s="3157">
        <f ca="1">IF(F16&lt;B2,"已过期",2008110059)</f>
        <v>2008110059</v>
      </c>
      <c r="F16" s="3160">
        <v>47177</v>
      </c>
    </row>
    <row r="17" spans="1:7" ht="20.25" customHeight="1">
      <c r="A17" s="3157"/>
      <c r="B17" s="3157"/>
      <c r="C17" s="3159"/>
      <c r="D17" s="3162" t="s">
        <v>2986</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70" t="s">
        <v>1927</v>
      </c>
      <c r="B25" s="3270"/>
      <c r="C25" s="3270"/>
      <c r="D25" s="3270"/>
      <c r="E25" s="3270"/>
      <c r="F25" s="3270"/>
      <c r="G25" s="3270"/>
    </row>
    <row r="26" spans="1:7" ht="20.25" customHeight="1">
      <c r="A26" s="3271" t="s">
        <v>1928</v>
      </c>
      <c r="B26" s="3271"/>
      <c r="C26" s="3271"/>
      <c r="D26" s="3271" t="s">
        <v>1929</v>
      </c>
      <c r="E26" s="3271"/>
      <c r="F26" s="3271"/>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2944</v>
      </c>
      <c r="F29" s="3172">
        <v>43281</v>
      </c>
    </row>
    <row r="30" spans="1:7" ht="20.25" customHeight="1">
      <c r="C30" s="3173"/>
      <c r="D30" s="3173"/>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2956</v>
      </c>
      <c r="C18" s="1555"/>
    </row>
    <row r="19" spans="1:3">
      <c r="A19" s="8" t="s">
        <v>120</v>
      </c>
      <c r="B19" s="3089"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68"/>
    </row>
    <row r="52" spans="1:5">
      <c r="A52" s="1766" t="s">
        <v>1987</v>
      </c>
      <c r="B52" s="1769" t="s">
        <v>1988</v>
      </c>
      <c r="C52" s="1767" t="s">
        <v>1989</v>
      </c>
      <c r="D52" s="1767" t="s">
        <v>1990</v>
      </c>
      <c r="E52" s="1768"/>
    </row>
    <row r="53" spans="1:5">
      <c r="A53" s="327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c r="D53" s="1768"/>
      <c r="E53" s="1768"/>
    </row>
    <row r="54" spans="1:5">
      <c r="A54" s="327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68"/>
      <c r="E54" s="1768"/>
    </row>
    <row r="55" spans="1:5">
      <c r="A55" s="327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68"/>
      <c r="E55" s="1768"/>
    </row>
    <row r="56" spans="1:5">
      <c r="A56" s="327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68"/>
      <c r="E56" s="1768"/>
    </row>
    <row r="57" spans="1:5">
      <c r="A57" s="327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搬迁费</vt:lpstr>
      <vt:lpstr>停产停业损失补偿</vt:lpstr>
      <vt:lpstr>Sheet1</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2019-05-15T08:37:44Z</cp:lastPrinted>
  <dcterms:created xsi:type="dcterms:W3CDTF">2015-07-13T07:17:23Z</dcterms:created>
  <dcterms:modified xsi:type="dcterms:W3CDTF">2019-05-16T09:00:15Z</dcterms:modified>
</cp:coreProperties>
</file>