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6"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不动产收益法" sheetId="15" r:id="rId38"/>
    <sheet name="典型户型修正" sheetId="31" state="hidden"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F23" i="68"/>
  <c r="E23"/>
  <c r="E22"/>
  <c r="E21"/>
  <c r="E20"/>
  <c r="E19"/>
  <c r="E18"/>
  <c r="E17"/>
  <c r="E16"/>
  <c r="E15"/>
  <c r="F19" i="6"/>
  <c r="K13" i="3"/>
  <c r="E47" i="21" l="1"/>
  <c r="J9" i="68"/>
  <c r="K9" s="1"/>
  <c r="D9"/>
  <c r="E9" s="1"/>
  <c r="C40" i="39"/>
  <c r="C12"/>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E13" i="67"/>
  <c r="B8"/>
  <c r="E9"/>
  <c r="B12"/>
  <c r="F12"/>
  <c r="B9"/>
  <c r="F9"/>
  <c r="B13"/>
  <c r="E14"/>
  <c r="F10"/>
  <c r="F11"/>
  <c r="E8"/>
  <c r="E10"/>
  <c r="F14"/>
  <c r="B10"/>
  <c r="E11"/>
  <c r="F8"/>
  <c r="E12"/>
  <c r="F13"/>
  <c r="B14"/>
  <c r="B11"/>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J6" i="65"/>
  <c r="N6"/>
  <c r="N3"/>
  <c r="N4"/>
  <c r="N5"/>
  <c r="C4" l="1"/>
  <c r="B39" i="1" s="1"/>
  <c r="I4" i="65"/>
  <c r="J7"/>
  <c r="I3"/>
  <c r="I5"/>
  <c r="J3"/>
  <c r="J4"/>
  <c r="J5"/>
  <c r="I6"/>
  <c r="I7"/>
  <c r="J1" l="1"/>
  <c r="E20" i="46"/>
  <c r="M5" i="54"/>
  <c r="A23" i="51"/>
  <c r="E3" i="65"/>
  <c r="F17" i="11" l="1"/>
  <c r="Y12" i="46"/>
  <c r="AA9"/>
  <c r="AB9"/>
  <c r="AB10" s="1"/>
  <c r="AC9"/>
  <c r="AD9"/>
  <c r="AE9"/>
  <c r="AF9"/>
  <c r="AF10" s="1"/>
  <c r="AG9"/>
  <c r="AH9"/>
  <c r="AI9"/>
  <c r="AJ9"/>
  <c r="AJ10" s="1"/>
  <c r="Z9"/>
  <c r="Z10" s="1"/>
  <c r="AI10"/>
  <c r="AH10"/>
  <c r="AG10"/>
  <c r="AE10"/>
  <c r="AD10"/>
  <c r="AC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Q15"/>
  <c r="AB15" s="1"/>
  <c r="P15"/>
  <c r="AA15" s="1"/>
  <c r="O15"/>
  <c r="Y15" s="1"/>
  <c r="Z15" s="1"/>
  <c r="N15"/>
  <c r="Q14"/>
  <c r="AB14" s="1"/>
  <c r="P14"/>
  <c r="AA14" s="1"/>
  <c r="O14"/>
  <c r="Y14" s="1"/>
  <c r="Z14" s="1"/>
  <c r="N14"/>
  <c r="Q13"/>
  <c r="P13"/>
  <c r="O13"/>
  <c r="N13"/>
  <c r="D13"/>
  <c r="Q12"/>
  <c r="P12"/>
  <c r="AA12" s="1"/>
  <c r="O12"/>
  <c r="N12"/>
  <c r="Q11"/>
  <c r="AB11" s="1"/>
  <c r="P11"/>
  <c r="AA11" s="1"/>
  <c r="O11"/>
  <c r="N11"/>
  <c r="Q10"/>
  <c r="AB10" s="1"/>
  <c r="P10"/>
  <c r="AA10" s="1"/>
  <c r="O10"/>
  <c r="N10"/>
  <c r="Q9"/>
  <c r="P9"/>
  <c r="AA9" s="1"/>
  <c r="O9"/>
  <c r="N9"/>
  <c r="D9"/>
  <c r="C14" l="1"/>
  <c r="Y13"/>
  <c r="Z13" s="1"/>
  <c r="F59"/>
  <c r="F58" s="1"/>
  <c r="S8"/>
  <c r="B7"/>
  <c r="B6" s="1"/>
  <c r="B5" s="1"/>
  <c r="B4" s="1"/>
  <c r="F10"/>
  <c r="AB9"/>
  <c r="AB12"/>
  <c r="E14"/>
  <c r="E15" s="1"/>
  <c r="E16" s="1"/>
  <c r="U16" s="1"/>
  <c r="AA13"/>
  <c r="C18"/>
  <c r="Y17"/>
  <c r="Z17" s="1"/>
  <c r="Q45"/>
  <c r="D8"/>
  <c r="T8"/>
  <c r="C7"/>
  <c r="B18"/>
  <c r="B19" s="1"/>
  <c r="B20" s="1"/>
  <c r="S20" s="1"/>
  <c r="X17"/>
  <c r="B10"/>
  <c r="X9"/>
  <c r="X11"/>
  <c r="X12"/>
  <c r="F14"/>
  <c r="AB13"/>
  <c r="E18"/>
  <c r="E19" s="1"/>
  <c r="E20" s="1"/>
  <c r="U20" s="1"/>
  <c r="AA17"/>
  <c r="B47"/>
  <c r="U8"/>
  <c r="E7"/>
  <c r="E6" s="1"/>
  <c r="E5" s="1"/>
  <c r="E4" s="1"/>
  <c r="X10"/>
  <c r="C10"/>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D77"/>
  <c r="E77" s="1"/>
  <c r="F77" s="1"/>
  <c r="G77" s="1"/>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20" s="1"/>
  <c r="I17"/>
  <c r="E15"/>
  <c r="I14"/>
  <c r="I13"/>
  <c r="I12"/>
  <c r="I15" s="1"/>
  <c r="I9"/>
  <c r="I8"/>
  <c r="I7"/>
  <c r="I6"/>
  <c r="I5"/>
  <c r="I4"/>
  <c r="I3"/>
  <c r="I10" s="1"/>
  <c r="M11" i="15"/>
  <c r="J10" s="1"/>
  <c r="C30" i="57"/>
  <c r="E26" s="1"/>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c r="E13" s="1"/>
  <c r="A7"/>
  <c r="A8"/>
  <c r="A9"/>
  <c r="A10"/>
  <c r="R10" s="1"/>
  <c r="A11"/>
  <c r="A6"/>
  <c r="T4"/>
  <c r="K12"/>
  <c r="M12" s="1"/>
  <c r="K13"/>
  <c r="M13" s="1"/>
  <c r="G79" i="36"/>
  <c r="G85" i="35"/>
  <c r="G97" i="37"/>
  <c r="G110" i="34"/>
  <c r="G109" i="33"/>
  <c r="L2" i="31"/>
  <c r="K2"/>
  <c r="J2"/>
  <c r="I2"/>
  <c r="H2"/>
  <c r="G2"/>
  <c r="F2"/>
  <c r="E2"/>
  <c r="D2"/>
  <c r="C2"/>
  <c r="D60" i="15"/>
  <c r="G19" i="20"/>
  <c r="B84" i="46" s="1"/>
  <c r="BT112" i="3"/>
  <c r="BS112"/>
  <c r="BR112"/>
  <c r="BQ112"/>
  <c r="BP112"/>
  <c r="BO112"/>
  <c r="BN112"/>
  <c r="BL112" s="1"/>
  <c r="BM112"/>
  <c r="BK112"/>
  <c r="BJ112"/>
  <c r="BI112"/>
  <c r="BH112"/>
  <c r="BG112"/>
  <c r="BF112"/>
  <c r="BE112"/>
  <c r="BD112"/>
  <c r="BC112"/>
  <c r="BB112"/>
  <c r="BA112" s="1"/>
  <c r="AX112"/>
  <c r="AW112"/>
  <c r="AV112"/>
  <c r="AC112"/>
  <c r="H112"/>
  <c r="G112"/>
  <c r="BT111"/>
  <c r="BS111"/>
  <c r="BR111"/>
  <c r="BQ111"/>
  <c r="BP111"/>
  <c r="BO111"/>
  <c r="BN111"/>
  <c r="BM111"/>
  <c r="BL111" s="1"/>
  <c r="BK111"/>
  <c r="BJ111"/>
  <c r="BI111"/>
  <c r="BH111"/>
  <c r="BG111"/>
  <c r="BF111"/>
  <c r="BE111"/>
  <c r="BD111"/>
  <c r="BC111"/>
  <c r="BB111"/>
  <c r="BA111"/>
  <c r="AZ111" s="1"/>
  <c r="AX111"/>
  <c r="AW111"/>
  <c r="AV111"/>
  <c r="AC111"/>
  <c r="G111" s="1"/>
  <c r="H111"/>
  <c r="BT110"/>
  <c r="BS110"/>
  <c r="BR110"/>
  <c r="BQ110"/>
  <c r="BP110"/>
  <c r="BO110"/>
  <c r="BN110"/>
  <c r="BM110"/>
  <c r="BL110"/>
  <c r="BK110"/>
  <c r="BJ110"/>
  <c r="BI110"/>
  <c r="BH110"/>
  <c r="BG110"/>
  <c r="BF110"/>
  <c r="BE110"/>
  <c r="BD110"/>
  <c r="BC110"/>
  <c r="BA110" s="1"/>
  <c r="BB110"/>
  <c r="AX110"/>
  <c r="AW110"/>
  <c r="AV110"/>
  <c r="AC110"/>
  <c r="H110"/>
  <c r="G110" s="1"/>
  <c r="BT109"/>
  <c r="BS109"/>
  <c r="BR109"/>
  <c r="BQ109"/>
  <c r="BP109"/>
  <c r="BO109"/>
  <c r="BN109"/>
  <c r="BM109"/>
  <c r="BL109" s="1"/>
  <c r="BK109"/>
  <c r="BJ109"/>
  <c r="BI109"/>
  <c r="BH109"/>
  <c r="BG109"/>
  <c r="BF109"/>
  <c r="BE109"/>
  <c r="BD109"/>
  <c r="BC109"/>
  <c r="BB109"/>
  <c r="BA109" s="1"/>
  <c r="AZ109" s="1"/>
  <c r="AX109"/>
  <c r="AW109"/>
  <c r="AV109"/>
  <c r="AC109"/>
  <c r="H109"/>
  <c r="G109"/>
  <c r="BT108"/>
  <c r="BS108"/>
  <c r="BR108"/>
  <c r="BQ108"/>
  <c r="BP108"/>
  <c r="BO108"/>
  <c r="BN108"/>
  <c r="BM108"/>
  <c r="BL108" s="1"/>
  <c r="BK108"/>
  <c r="BJ108"/>
  <c r="BI108"/>
  <c r="BH108"/>
  <c r="BG108"/>
  <c r="BF108"/>
  <c r="BE108"/>
  <c r="BD108"/>
  <c r="BC108"/>
  <c r="BB108"/>
  <c r="BA108"/>
  <c r="AZ108" s="1"/>
  <c r="AX108"/>
  <c r="AW108"/>
  <c r="AV108"/>
  <c r="AC108"/>
  <c r="G108" s="1"/>
  <c r="H108"/>
  <c r="BT107"/>
  <c r="BS107"/>
  <c r="BR107"/>
  <c r="BQ107"/>
  <c r="BP107"/>
  <c r="BO107"/>
  <c r="BN107"/>
  <c r="BM107"/>
  <c r="BL107"/>
  <c r="BK107"/>
  <c r="BJ107"/>
  <c r="BI107"/>
  <c r="BH107"/>
  <c r="BG107"/>
  <c r="BF107"/>
  <c r="BE107"/>
  <c r="BD107"/>
  <c r="BC107"/>
  <c r="BA107" s="1"/>
  <c r="BB107"/>
  <c r="AX107"/>
  <c r="AW107"/>
  <c r="AV107"/>
  <c r="AC107"/>
  <c r="H107"/>
  <c r="G107" s="1"/>
  <c r="BT106"/>
  <c r="BS106"/>
  <c r="BR106"/>
  <c r="BQ106"/>
  <c r="BP106"/>
  <c r="BO106"/>
  <c r="BN106"/>
  <c r="BM106"/>
  <c r="BL106" s="1"/>
  <c r="BK106"/>
  <c r="BJ106"/>
  <c r="BI106"/>
  <c r="BH106"/>
  <c r="BG106"/>
  <c r="BF106"/>
  <c r="BE106"/>
  <c r="BD106"/>
  <c r="BC106"/>
  <c r="BB106"/>
  <c r="BA106" s="1"/>
  <c r="AX106"/>
  <c r="AW106"/>
  <c r="AV106"/>
  <c r="AC106"/>
  <c r="G106" s="1"/>
  <c r="H106"/>
  <c r="BT105"/>
  <c r="BS105"/>
  <c r="BR105"/>
  <c r="BQ105"/>
  <c r="BP105"/>
  <c r="BO105"/>
  <c r="BN105"/>
  <c r="BM105"/>
  <c r="BL105"/>
  <c r="BK105"/>
  <c r="BJ105"/>
  <c r="BI105"/>
  <c r="BH105"/>
  <c r="BG105"/>
  <c r="BF105"/>
  <c r="BE105"/>
  <c r="BD105"/>
  <c r="BC105"/>
  <c r="BA105" s="1"/>
  <c r="AZ105" s="1"/>
  <c r="BB105"/>
  <c r="AX105"/>
  <c r="AW105"/>
  <c r="AV105"/>
  <c r="AC105"/>
  <c r="H105"/>
  <c r="G105" s="1"/>
  <c r="BT104"/>
  <c r="BS104"/>
  <c r="BR104"/>
  <c r="BQ104"/>
  <c r="BP104"/>
  <c r="BO104"/>
  <c r="BN104"/>
  <c r="BL104" s="1"/>
  <c r="BM104"/>
  <c r="BK104"/>
  <c r="BJ104"/>
  <c r="BI104"/>
  <c r="BH104"/>
  <c r="BG104"/>
  <c r="BF104"/>
  <c r="BE104"/>
  <c r="BD104"/>
  <c r="BC104"/>
  <c r="BB104"/>
  <c r="BA104" s="1"/>
  <c r="AZ104" s="1"/>
  <c r="AX104"/>
  <c r="AW104"/>
  <c r="AV104"/>
  <c r="AC104"/>
  <c r="H104"/>
  <c r="G104" s="1"/>
  <c r="BT103"/>
  <c r="BS103"/>
  <c r="BR103"/>
  <c r="BQ103"/>
  <c r="BP103"/>
  <c r="BO103"/>
  <c r="BN103"/>
  <c r="BM103"/>
  <c r="BL103" s="1"/>
  <c r="BK103"/>
  <c r="BJ103"/>
  <c r="BI103"/>
  <c r="BH103"/>
  <c r="BG103"/>
  <c r="BF103"/>
  <c r="BE103"/>
  <c r="BD103"/>
  <c r="BC103"/>
  <c r="BB103"/>
  <c r="BA103" s="1"/>
  <c r="AX103"/>
  <c r="AW103"/>
  <c r="AV103"/>
  <c r="AC103"/>
  <c r="H103"/>
  <c r="G103"/>
  <c r="BT102"/>
  <c r="BS102"/>
  <c r="BR102"/>
  <c r="BQ102"/>
  <c r="BP102"/>
  <c r="BO102"/>
  <c r="BN102"/>
  <c r="BM102"/>
  <c r="BL102" s="1"/>
  <c r="BK102"/>
  <c r="BJ102"/>
  <c r="BI102"/>
  <c r="BH102"/>
  <c r="BG102"/>
  <c r="BF102"/>
  <c r="BE102"/>
  <c r="BD102"/>
  <c r="BC102"/>
  <c r="BB102"/>
  <c r="BA102"/>
  <c r="AX102"/>
  <c r="AW102"/>
  <c r="AV102"/>
  <c r="AC102"/>
  <c r="H102"/>
  <c r="G102" s="1"/>
  <c r="BT101"/>
  <c r="BS101"/>
  <c r="BR101"/>
  <c r="BQ101"/>
  <c r="BP101"/>
  <c r="BO101"/>
  <c r="BN101"/>
  <c r="BL101" s="1"/>
  <c r="BM101"/>
  <c r="BK101"/>
  <c r="BJ101"/>
  <c r="BI101"/>
  <c r="BH101"/>
  <c r="BG101"/>
  <c r="BF101"/>
  <c r="BE101"/>
  <c r="BD101"/>
  <c r="BC101"/>
  <c r="BB101"/>
  <c r="BA101" s="1"/>
  <c r="AX101"/>
  <c r="AW101"/>
  <c r="AV101"/>
  <c r="AC101"/>
  <c r="H101"/>
  <c r="G101" s="1"/>
  <c r="BT100"/>
  <c r="BS100"/>
  <c r="BR100"/>
  <c r="BQ100"/>
  <c r="BP100"/>
  <c r="BO100"/>
  <c r="BN100"/>
  <c r="BM100"/>
  <c r="BL100" s="1"/>
  <c r="BK100"/>
  <c r="BJ100"/>
  <c r="BI100"/>
  <c r="BH100"/>
  <c r="BG100"/>
  <c r="BF100"/>
  <c r="BE100"/>
  <c r="BD100"/>
  <c r="BC100"/>
  <c r="BB100"/>
  <c r="BA100" s="1"/>
  <c r="AZ100" s="1"/>
  <c r="AX100"/>
  <c r="AW100"/>
  <c r="AV100"/>
  <c r="AC100"/>
  <c r="H100"/>
  <c r="G100"/>
  <c r="BT99"/>
  <c r="BS99"/>
  <c r="BR99"/>
  <c r="BQ99"/>
  <c r="BP99"/>
  <c r="BO99"/>
  <c r="BN99"/>
  <c r="BM99"/>
  <c r="BL99" s="1"/>
  <c r="BK99"/>
  <c r="BJ99"/>
  <c r="BI99"/>
  <c r="BH99"/>
  <c r="BG99"/>
  <c r="BF99"/>
  <c r="BE99"/>
  <c r="BD99"/>
  <c r="BC99"/>
  <c r="BB99"/>
  <c r="BA99"/>
  <c r="AX99"/>
  <c r="AW99"/>
  <c r="AV99"/>
  <c r="AC99"/>
  <c r="H99"/>
  <c r="G99" s="1"/>
  <c r="BT98"/>
  <c r="BS98"/>
  <c r="BR98"/>
  <c r="BQ98"/>
  <c r="BP98"/>
  <c r="BO98"/>
  <c r="BN98"/>
  <c r="BL98" s="1"/>
  <c r="BM98"/>
  <c r="BK98"/>
  <c r="BJ98"/>
  <c r="BI98"/>
  <c r="BH98"/>
  <c r="BG98"/>
  <c r="BF98"/>
  <c r="BE98"/>
  <c r="BD98"/>
  <c r="BC98"/>
  <c r="BB98"/>
  <c r="BA98" s="1"/>
  <c r="AX98"/>
  <c r="AW98"/>
  <c r="AV98"/>
  <c r="AC98"/>
  <c r="H98"/>
  <c r="G98"/>
  <c r="BT97"/>
  <c r="BS97"/>
  <c r="BR97"/>
  <c r="BQ97"/>
  <c r="BP97"/>
  <c r="BO97"/>
  <c r="BN97"/>
  <c r="BM97"/>
  <c r="BL97" s="1"/>
  <c r="BK97"/>
  <c r="BJ97"/>
  <c r="BI97"/>
  <c r="BH97"/>
  <c r="BG97"/>
  <c r="BF97"/>
  <c r="BE97"/>
  <c r="BD97"/>
  <c r="BC97"/>
  <c r="BB97"/>
  <c r="BA97"/>
  <c r="AX97"/>
  <c r="AW97"/>
  <c r="AV97"/>
  <c r="AC97"/>
  <c r="G97" s="1"/>
  <c r="H97"/>
  <c r="BT96"/>
  <c r="BS96"/>
  <c r="BR96"/>
  <c r="BQ96"/>
  <c r="BP96"/>
  <c r="BO96"/>
  <c r="BN96"/>
  <c r="BM96"/>
  <c r="BL96"/>
  <c r="BK96"/>
  <c r="BJ96"/>
  <c r="BI96"/>
  <c r="BH96"/>
  <c r="BG96"/>
  <c r="BF96"/>
  <c r="BE96"/>
  <c r="BD96"/>
  <c r="BC96"/>
  <c r="BA96" s="1"/>
  <c r="AZ96" s="1"/>
  <c r="BB96"/>
  <c r="AX96"/>
  <c r="AW96"/>
  <c r="AV96"/>
  <c r="AC96"/>
  <c r="H96"/>
  <c r="G96" s="1"/>
  <c r="BT95"/>
  <c r="BS95"/>
  <c r="BR95"/>
  <c r="BQ95"/>
  <c r="BP95"/>
  <c r="BO95"/>
  <c r="BN95"/>
  <c r="BL95" s="1"/>
  <c r="BM95"/>
  <c r="BK95"/>
  <c r="BJ95"/>
  <c r="BI95"/>
  <c r="BH95"/>
  <c r="BG95"/>
  <c r="BF95"/>
  <c r="BE95"/>
  <c r="BD95"/>
  <c r="BC95"/>
  <c r="BB95"/>
  <c r="BA95" s="1"/>
  <c r="AZ95" s="1"/>
  <c r="AX95"/>
  <c r="AW95"/>
  <c r="AV95"/>
  <c r="AC95"/>
  <c r="H95"/>
  <c r="G95" s="1"/>
  <c r="BT94"/>
  <c r="BS94"/>
  <c r="BR94"/>
  <c r="BQ94"/>
  <c r="BP94"/>
  <c r="BO94"/>
  <c r="BN94"/>
  <c r="BM94"/>
  <c r="BL94" s="1"/>
  <c r="BK94"/>
  <c r="BJ94"/>
  <c r="BI94"/>
  <c r="BH94"/>
  <c r="BG94"/>
  <c r="BF94"/>
  <c r="BE94"/>
  <c r="BD94"/>
  <c r="BC94"/>
  <c r="BB94"/>
  <c r="BA94" s="1"/>
  <c r="AX94"/>
  <c r="AW94"/>
  <c r="AV94"/>
  <c r="AC94"/>
  <c r="G94" s="1"/>
  <c r="H94"/>
  <c r="BT93"/>
  <c r="BS93"/>
  <c r="BR93"/>
  <c r="BQ93"/>
  <c r="BP93"/>
  <c r="BO93"/>
  <c r="BN93"/>
  <c r="BM93"/>
  <c r="BL93"/>
  <c r="BK93"/>
  <c r="BJ93"/>
  <c r="BI93"/>
  <c r="BH93"/>
  <c r="BG93"/>
  <c r="BF93"/>
  <c r="BE93"/>
  <c r="BD93"/>
  <c r="BC93"/>
  <c r="BA93" s="1"/>
  <c r="AZ93" s="1"/>
  <c r="BB93"/>
  <c r="AX93"/>
  <c r="AW93"/>
  <c r="AV93"/>
  <c r="AC93"/>
  <c r="H93"/>
  <c r="G93" s="1"/>
  <c r="BT92"/>
  <c r="BS92"/>
  <c r="BR92"/>
  <c r="BQ92"/>
  <c r="BP92"/>
  <c r="BO92"/>
  <c r="BN92"/>
  <c r="BL92" s="1"/>
  <c r="BM92"/>
  <c r="BK92"/>
  <c r="BJ92"/>
  <c r="BI92"/>
  <c r="BH92"/>
  <c r="BG92"/>
  <c r="BF92"/>
  <c r="BE92"/>
  <c r="BD92"/>
  <c r="BC92"/>
  <c r="BB92"/>
  <c r="BA92" s="1"/>
  <c r="AZ92" s="1"/>
  <c r="AX92"/>
  <c r="AW92"/>
  <c r="AV92"/>
  <c r="AC92"/>
  <c r="H92"/>
  <c r="G92" s="1"/>
  <c r="BT91"/>
  <c r="BS91"/>
  <c r="BR91"/>
  <c r="BQ91"/>
  <c r="BP91"/>
  <c r="BO91"/>
  <c r="BN91"/>
  <c r="BM91"/>
  <c r="BL91" s="1"/>
  <c r="BK91"/>
  <c r="BJ91"/>
  <c r="BI91"/>
  <c r="BH91"/>
  <c r="BG91"/>
  <c r="BF91"/>
  <c r="BE91"/>
  <c r="BD91"/>
  <c r="BC91"/>
  <c r="BB91"/>
  <c r="BA91" s="1"/>
  <c r="AX91"/>
  <c r="AW91"/>
  <c r="AV91"/>
  <c r="AC91"/>
  <c r="G91" s="1"/>
  <c r="H91"/>
  <c r="BT90"/>
  <c r="BS90"/>
  <c r="BR90"/>
  <c r="BQ90"/>
  <c r="BP90"/>
  <c r="BO90"/>
  <c r="BN90"/>
  <c r="BM90"/>
  <c r="BL90"/>
  <c r="BK90"/>
  <c r="BJ90"/>
  <c r="BI90"/>
  <c r="BH90"/>
  <c r="BG90"/>
  <c r="BF90"/>
  <c r="BE90"/>
  <c r="BD90"/>
  <c r="BC90"/>
  <c r="BA90" s="1"/>
  <c r="BB90"/>
  <c r="AX90"/>
  <c r="AW90"/>
  <c r="AV90"/>
  <c r="AC90"/>
  <c r="H90"/>
  <c r="G90" s="1"/>
  <c r="BT89"/>
  <c r="BS89"/>
  <c r="BR89"/>
  <c r="BQ89"/>
  <c r="BP89"/>
  <c r="BO89"/>
  <c r="BN89"/>
  <c r="BM89"/>
  <c r="BL89" s="1"/>
  <c r="BK89"/>
  <c r="BJ89"/>
  <c r="BI89"/>
  <c r="BH89"/>
  <c r="BG89"/>
  <c r="BF89"/>
  <c r="BE89"/>
  <c r="BD89"/>
  <c r="BC89"/>
  <c r="BB89"/>
  <c r="BA89" s="1"/>
  <c r="AZ89" s="1"/>
  <c r="AX89"/>
  <c r="AW89"/>
  <c r="AV89"/>
  <c r="AC89"/>
  <c r="H89"/>
  <c r="G89"/>
  <c r="BT88"/>
  <c r="BS88"/>
  <c r="BR88"/>
  <c r="BQ88"/>
  <c r="BP88"/>
  <c r="BO88"/>
  <c r="BN88"/>
  <c r="BM88"/>
  <c r="BL88" s="1"/>
  <c r="BK88"/>
  <c r="BJ88"/>
  <c r="BI88"/>
  <c r="BH88"/>
  <c r="BG88"/>
  <c r="BF88"/>
  <c r="BE88"/>
  <c r="BD88"/>
  <c r="BC88"/>
  <c r="BB88"/>
  <c r="BA88"/>
  <c r="AX88"/>
  <c r="AW88"/>
  <c r="AV88"/>
  <c r="AC88"/>
  <c r="G88" s="1"/>
  <c r="H88"/>
  <c r="BT87"/>
  <c r="BS87"/>
  <c r="BR87"/>
  <c r="BQ87"/>
  <c r="BP87"/>
  <c r="BO87"/>
  <c r="BN87"/>
  <c r="BM87"/>
  <c r="BL87"/>
  <c r="BK87"/>
  <c r="BJ87"/>
  <c r="BI87"/>
  <c r="BH87"/>
  <c r="BG87"/>
  <c r="BF87"/>
  <c r="BE87"/>
  <c r="BD87"/>
  <c r="BC87"/>
  <c r="BA87" s="1"/>
  <c r="AZ87" s="1"/>
  <c r="BB87"/>
  <c r="AX87"/>
  <c r="AW87"/>
  <c r="AV87"/>
  <c r="AC87"/>
  <c r="H87"/>
  <c r="G87" s="1"/>
  <c r="BT86"/>
  <c r="BS86"/>
  <c r="BR86"/>
  <c r="BQ86"/>
  <c r="BP86"/>
  <c r="BO86"/>
  <c r="BN86"/>
  <c r="BL86" s="1"/>
  <c r="BM86"/>
  <c r="BK86"/>
  <c r="BJ86"/>
  <c r="BI86"/>
  <c r="BH86"/>
  <c r="BG86"/>
  <c r="BF86"/>
  <c r="BE86"/>
  <c r="BD86"/>
  <c r="BC86"/>
  <c r="BB86"/>
  <c r="BA86" s="1"/>
  <c r="AX86"/>
  <c r="AW86"/>
  <c r="AV86"/>
  <c r="AC86"/>
  <c r="H86"/>
  <c r="G86"/>
  <c r="BT85"/>
  <c r="BS85"/>
  <c r="BR85"/>
  <c r="BQ85"/>
  <c r="BP85"/>
  <c r="BO85"/>
  <c r="BN85"/>
  <c r="BM85"/>
  <c r="BL85" s="1"/>
  <c r="BK85"/>
  <c r="BJ85"/>
  <c r="BI85"/>
  <c r="BH85"/>
  <c r="BG85"/>
  <c r="BF85"/>
  <c r="BE85"/>
  <c r="BD85"/>
  <c r="BC85"/>
  <c r="BB85"/>
  <c r="BA85"/>
  <c r="AX85"/>
  <c r="AW85"/>
  <c r="AV85"/>
  <c r="AC85"/>
  <c r="H85"/>
  <c r="G85" s="1"/>
  <c r="BT84"/>
  <c r="BS84"/>
  <c r="BR84"/>
  <c r="BQ84"/>
  <c r="BP84"/>
  <c r="BO84"/>
  <c r="BN84"/>
  <c r="BM84"/>
  <c r="BL84"/>
  <c r="BK84"/>
  <c r="BJ84"/>
  <c r="BI84"/>
  <c r="BH84"/>
  <c r="BG84"/>
  <c r="BF84"/>
  <c r="BE84"/>
  <c r="BD84"/>
  <c r="BC84"/>
  <c r="BB84"/>
  <c r="BA84" s="1"/>
  <c r="AX84"/>
  <c r="AW84"/>
  <c r="AV84"/>
  <c r="AC84"/>
  <c r="H84"/>
  <c r="G84" s="1"/>
  <c r="BT83"/>
  <c r="BS83"/>
  <c r="BR83"/>
  <c r="BQ83"/>
  <c r="BP83"/>
  <c r="BO83"/>
  <c r="BN83"/>
  <c r="BM83"/>
  <c r="BL83" s="1"/>
  <c r="BK83"/>
  <c r="BJ83"/>
  <c r="BI83"/>
  <c r="BH83"/>
  <c r="BG83"/>
  <c r="BF83"/>
  <c r="BE83"/>
  <c r="BD83"/>
  <c r="BC83"/>
  <c r="BB83"/>
  <c r="BA83" s="1"/>
  <c r="AZ83" s="1"/>
  <c r="AX83"/>
  <c r="AW83"/>
  <c r="AV83"/>
  <c r="AC83"/>
  <c r="H83"/>
  <c r="G83"/>
  <c r="BT82"/>
  <c r="BS82"/>
  <c r="BR82"/>
  <c r="BQ82"/>
  <c r="BP82"/>
  <c r="BO82"/>
  <c r="BN82"/>
  <c r="BM82"/>
  <c r="BL82" s="1"/>
  <c r="BK82"/>
  <c r="BJ82"/>
  <c r="BI82"/>
  <c r="BH82"/>
  <c r="BG82"/>
  <c r="BF82"/>
  <c r="BE82"/>
  <c r="BD82"/>
  <c r="BC82"/>
  <c r="BB82"/>
  <c r="BA82"/>
  <c r="AX82"/>
  <c r="AW82"/>
  <c r="AV82"/>
  <c r="AC82"/>
  <c r="H82"/>
  <c r="G82" s="1"/>
  <c r="BT81"/>
  <c r="BS81"/>
  <c r="BR81"/>
  <c r="BQ81"/>
  <c r="BP81"/>
  <c r="BO81"/>
  <c r="BN81"/>
  <c r="BL81" s="1"/>
  <c r="BM81"/>
  <c r="BK81"/>
  <c r="BJ81"/>
  <c r="BI81"/>
  <c r="BH81"/>
  <c r="BG81"/>
  <c r="BF81"/>
  <c r="BE81"/>
  <c r="BD81"/>
  <c r="BC81"/>
  <c r="BB81"/>
  <c r="BA81" s="1"/>
  <c r="AZ81" s="1"/>
  <c r="AX81"/>
  <c r="AW81"/>
  <c r="AV81"/>
  <c r="AC81"/>
  <c r="H81"/>
  <c r="G81" s="1"/>
  <c r="BT80"/>
  <c r="BS80"/>
  <c r="BR80"/>
  <c r="BQ80"/>
  <c r="BP80"/>
  <c r="BO80"/>
  <c r="BN80"/>
  <c r="BM80"/>
  <c r="BL80" s="1"/>
  <c r="BK80"/>
  <c r="BJ80"/>
  <c r="BI80"/>
  <c r="BH80"/>
  <c r="BG80"/>
  <c r="BF80"/>
  <c r="BE80"/>
  <c r="BD80"/>
  <c r="BC80"/>
  <c r="BB80"/>
  <c r="BA80" s="1"/>
  <c r="AZ80" s="1"/>
  <c r="AX80"/>
  <c r="AW80"/>
  <c r="AV80"/>
  <c r="AC80"/>
  <c r="H80"/>
  <c r="G80"/>
  <c r="BT79"/>
  <c r="BS79"/>
  <c r="BR79"/>
  <c r="BQ79"/>
  <c r="BP79"/>
  <c r="BO79"/>
  <c r="BN79"/>
  <c r="BM79"/>
  <c r="BL79" s="1"/>
  <c r="BK79"/>
  <c r="BJ79"/>
  <c r="BI79"/>
  <c r="BH79"/>
  <c r="BG79"/>
  <c r="BF79"/>
  <c r="BE79"/>
  <c r="BD79"/>
  <c r="BC79"/>
  <c r="BB79"/>
  <c r="BA79"/>
  <c r="AX79"/>
  <c r="AW79"/>
  <c r="AV79"/>
  <c r="AC79"/>
  <c r="H79"/>
  <c r="G79" s="1"/>
  <c r="BT78"/>
  <c r="BS78"/>
  <c r="BR78"/>
  <c r="BQ78"/>
  <c r="BP78"/>
  <c r="BO78"/>
  <c r="BN78"/>
  <c r="BL78" s="1"/>
  <c r="BM78"/>
  <c r="BK78"/>
  <c r="BJ78"/>
  <c r="BI78"/>
  <c r="BH78"/>
  <c r="BG78"/>
  <c r="BF78"/>
  <c r="BE78"/>
  <c r="BD78"/>
  <c r="BC78"/>
  <c r="BB78"/>
  <c r="BA78" s="1"/>
  <c r="AX78"/>
  <c r="AW78"/>
  <c r="AV78"/>
  <c r="AC78"/>
  <c r="H78"/>
  <c r="G78"/>
  <c r="BT77"/>
  <c r="BS77"/>
  <c r="BR77"/>
  <c r="BQ77"/>
  <c r="BP77"/>
  <c r="BO77"/>
  <c r="BN77"/>
  <c r="BM77"/>
  <c r="BL77" s="1"/>
  <c r="BK77"/>
  <c r="BJ77"/>
  <c r="BI77"/>
  <c r="BH77"/>
  <c r="BG77"/>
  <c r="BF77"/>
  <c r="BE77"/>
  <c r="BD77"/>
  <c r="BC77"/>
  <c r="BB77"/>
  <c r="BA77"/>
  <c r="AZ77" s="1"/>
  <c r="AX77"/>
  <c r="AW77"/>
  <c r="AV77"/>
  <c r="AC77"/>
  <c r="G77" s="1"/>
  <c r="H77"/>
  <c r="BT76"/>
  <c r="BS76"/>
  <c r="BR76"/>
  <c r="BQ76"/>
  <c r="BP76"/>
  <c r="BO76"/>
  <c r="BN76"/>
  <c r="BM76"/>
  <c r="BL76"/>
  <c r="BK76"/>
  <c r="BJ76"/>
  <c r="BI76"/>
  <c r="BH76"/>
  <c r="BG76"/>
  <c r="BF76"/>
  <c r="BE76"/>
  <c r="BD76"/>
  <c r="BC76"/>
  <c r="BA76" s="1"/>
  <c r="AZ76" s="1"/>
  <c r="BB76"/>
  <c r="AX76"/>
  <c r="AW76"/>
  <c r="AV76"/>
  <c r="AC76"/>
  <c r="H76"/>
  <c r="G76" s="1"/>
  <c r="BT75"/>
  <c r="BS75"/>
  <c r="BR75"/>
  <c r="BQ75"/>
  <c r="BP75"/>
  <c r="BO75"/>
  <c r="BN75"/>
  <c r="BL75" s="1"/>
  <c r="BM75"/>
  <c r="BK75"/>
  <c r="BJ75"/>
  <c r="BI75"/>
  <c r="BH75"/>
  <c r="BG75"/>
  <c r="BF75"/>
  <c r="BE75"/>
  <c r="BD75"/>
  <c r="BC75"/>
  <c r="BB75"/>
  <c r="BA75" s="1"/>
  <c r="AX75"/>
  <c r="AW75"/>
  <c r="AV75"/>
  <c r="AC75"/>
  <c r="H75"/>
  <c r="G75" s="1"/>
  <c r="BT74"/>
  <c r="BS74"/>
  <c r="BR74"/>
  <c r="BQ74"/>
  <c r="BP74"/>
  <c r="BO74"/>
  <c r="BN74"/>
  <c r="BM74"/>
  <c r="BL74" s="1"/>
  <c r="BK74"/>
  <c r="BJ74"/>
  <c r="BI74"/>
  <c r="BH74"/>
  <c r="BG74"/>
  <c r="BF74"/>
  <c r="BE74"/>
  <c r="BD74"/>
  <c r="BC74"/>
  <c r="BB74"/>
  <c r="BA74" s="1"/>
  <c r="AX74"/>
  <c r="AW74"/>
  <c r="AV74"/>
  <c r="AC74"/>
  <c r="G74" s="1"/>
  <c r="H74"/>
  <c r="BT73"/>
  <c r="BS73"/>
  <c r="BR73"/>
  <c r="BQ73"/>
  <c r="BP73"/>
  <c r="BO73"/>
  <c r="BN73"/>
  <c r="BM73"/>
  <c r="BL73"/>
  <c r="BK73"/>
  <c r="BJ73"/>
  <c r="BI73"/>
  <c r="BH73"/>
  <c r="BG73"/>
  <c r="BF73"/>
  <c r="BE73"/>
  <c r="BD73"/>
  <c r="BC73"/>
  <c r="BA73" s="1"/>
  <c r="AZ73" s="1"/>
  <c r="BB73"/>
  <c r="AX73"/>
  <c r="AW73"/>
  <c r="AV73"/>
  <c r="AC73"/>
  <c r="H73"/>
  <c r="G73" s="1"/>
  <c r="BT72"/>
  <c r="BS72"/>
  <c r="BR72"/>
  <c r="BQ72"/>
  <c r="BP72"/>
  <c r="BO72"/>
  <c r="BN72"/>
  <c r="BL72" s="1"/>
  <c r="BM72"/>
  <c r="BK72"/>
  <c r="BJ72"/>
  <c r="BI72"/>
  <c r="BH72"/>
  <c r="BG72"/>
  <c r="BF72"/>
  <c r="BE72"/>
  <c r="BD72"/>
  <c r="BC72"/>
  <c r="BB72"/>
  <c r="BA72" s="1"/>
  <c r="AX72"/>
  <c r="AW72"/>
  <c r="AV72"/>
  <c r="AC72"/>
  <c r="H72"/>
  <c r="G72" s="1"/>
  <c r="BT71"/>
  <c r="BS71"/>
  <c r="BR71"/>
  <c r="BQ71"/>
  <c r="BP71"/>
  <c r="BO71"/>
  <c r="BN71"/>
  <c r="BM71"/>
  <c r="BL71" s="1"/>
  <c r="BK71"/>
  <c r="BJ71"/>
  <c r="BI71"/>
  <c r="BH71"/>
  <c r="BG71"/>
  <c r="BF71"/>
  <c r="BE71"/>
  <c r="BD71"/>
  <c r="BC71"/>
  <c r="BB71"/>
  <c r="BA71" s="1"/>
  <c r="AX71"/>
  <c r="AW71"/>
  <c r="AV71"/>
  <c r="AC71"/>
  <c r="G71" s="1"/>
  <c r="H71"/>
  <c r="BT70"/>
  <c r="BS70"/>
  <c r="BR70"/>
  <c r="BQ70"/>
  <c r="BP70"/>
  <c r="BO70"/>
  <c r="BN70"/>
  <c r="BM70"/>
  <c r="BL70"/>
  <c r="BK70"/>
  <c r="BJ70"/>
  <c r="BI70"/>
  <c r="BH70"/>
  <c r="BG70"/>
  <c r="BF70"/>
  <c r="BE70"/>
  <c r="BD70"/>
  <c r="BC70"/>
  <c r="BA70" s="1"/>
  <c r="BB70"/>
  <c r="AX70"/>
  <c r="AW70"/>
  <c r="AV70"/>
  <c r="AC70"/>
  <c r="H70"/>
  <c r="G70" s="1"/>
  <c r="BT69"/>
  <c r="BS69"/>
  <c r="BR69"/>
  <c r="BQ69"/>
  <c r="BP69"/>
  <c r="BO69"/>
  <c r="BN69"/>
  <c r="BM69"/>
  <c r="BL69" s="1"/>
  <c r="BK69"/>
  <c r="BJ69"/>
  <c r="BI69"/>
  <c r="BH69"/>
  <c r="BG69"/>
  <c r="BF69"/>
  <c r="BE69"/>
  <c r="BD69"/>
  <c r="BC69"/>
  <c r="BB69"/>
  <c r="BA69" s="1"/>
  <c r="AZ69" s="1"/>
  <c r="AX69"/>
  <c r="AW69"/>
  <c r="AV69"/>
  <c r="AC69"/>
  <c r="H69"/>
  <c r="G69"/>
  <c r="BT68"/>
  <c r="BS68"/>
  <c r="BR68"/>
  <c r="BQ68"/>
  <c r="BP68"/>
  <c r="BO68"/>
  <c r="BN68"/>
  <c r="BM68"/>
  <c r="BL68" s="1"/>
  <c r="BK68"/>
  <c r="BJ68"/>
  <c r="BI68"/>
  <c r="BH68"/>
  <c r="BG68"/>
  <c r="BF68"/>
  <c r="BE68"/>
  <c r="BD68"/>
  <c r="BC68"/>
  <c r="BB68"/>
  <c r="BA68"/>
  <c r="AZ68" s="1"/>
  <c r="AX68"/>
  <c r="AW68"/>
  <c r="AV68"/>
  <c r="AC68"/>
  <c r="G68" s="1"/>
  <c r="H68"/>
  <c r="BT67"/>
  <c r="BS67"/>
  <c r="BR67"/>
  <c r="BQ67"/>
  <c r="BP67"/>
  <c r="BO67"/>
  <c r="BN67"/>
  <c r="BM67"/>
  <c r="BL67"/>
  <c r="BK67"/>
  <c r="BJ67"/>
  <c r="BI67"/>
  <c r="BH67"/>
  <c r="BG67"/>
  <c r="BF67"/>
  <c r="BE67"/>
  <c r="BD67"/>
  <c r="BC67"/>
  <c r="BA67" s="1"/>
  <c r="AZ67" s="1"/>
  <c r="BB67"/>
  <c r="AX67"/>
  <c r="AW67"/>
  <c r="AV67"/>
  <c r="AC67"/>
  <c r="H67"/>
  <c r="G67" s="1"/>
  <c r="BT66"/>
  <c r="BS66"/>
  <c r="BR66"/>
  <c r="BQ66"/>
  <c r="BP66"/>
  <c r="BO66"/>
  <c r="BN66"/>
  <c r="BL66" s="1"/>
  <c r="BM66"/>
  <c r="BK66"/>
  <c r="BJ66"/>
  <c r="BI66"/>
  <c r="BH66"/>
  <c r="BG66"/>
  <c r="BF66"/>
  <c r="BE66"/>
  <c r="BD66"/>
  <c r="BC66"/>
  <c r="BB66"/>
  <c r="BA66" s="1"/>
  <c r="AX66"/>
  <c r="AW66"/>
  <c r="AV66"/>
  <c r="AC66"/>
  <c r="H66"/>
  <c r="G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H64"/>
  <c r="G64" s="1"/>
  <c r="BT63"/>
  <c r="BS63"/>
  <c r="BR63"/>
  <c r="BQ63"/>
  <c r="BP63"/>
  <c r="BO63"/>
  <c r="BN63"/>
  <c r="BM63"/>
  <c r="BL63" s="1"/>
  <c r="BK63"/>
  <c r="BJ63"/>
  <c r="BI63"/>
  <c r="BH63"/>
  <c r="BG63"/>
  <c r="BF63"/>
  <c r="BE63"/>
  <c r="BD63"/>
  <c r="BC63"/>
  <c r="BB63"/>
  <c r="BA63" s="1"/>
  <c r="AX63"/>
  <c r="AW63"/>
  <c r="AV63"/>
  <c r="AC63"/>
  <c r="H63"/>
  <c r="G63"/>
  <c r="BT62"/>
  <c r="BS62"/>
  <c r="BR62"/>
  <c r="BQ62"/>
  <c r="BP62"/>
  <c r="BO62"/>
  <c r="BN62"/>
  <c r="BM62"/>
  <c r="BL62" s="1"/>
  <c r="BK62"/>
  <c r="BJ62"/>
  <c r="BI62"/>
  <c r="BH62"/>
  <c r="BG62"/>
  <c r="BF62"/>
  <c r="BE62"/>
  <c r="BD62"/>
  <c r="BC62"/>
  <c r="BB62"/>
  <c r="BA62"/>
  <c r="AZ62" s="1"/>
  <c r="AX62"/>
  <c r="AW62"/>
  <c r="AV62"/>
  <c r="AC62"/>
  <c r="H62"/>
  <c r="G62" s="1"/>
  <c r="BT61"/>
  <c r="BS61"/>
  <c r="BR61"/>
  <c r="BQ61"/>
  <c r="BP61"/>
  <c r="BO61"/>
  <c r="BL61" s="1"/>
  <c r="BN61"/>
  <c r="BM61"/>
  <c r="BK61"/>
  <c r="BJ61"/>
  <c r="BI61"/>
  <c r="BH61"/>
  <c r="BG61"/>
  <c r="BF61"/>
  <c r="BE61"/>
  <c r="BD61"/>
  <c r="BC61"/>
  <c r="BB61"/>
  <c r="BA61" s="1"/>
  <c r="AZ61" s="1"/>
  <c r="AX61"/>
  <c r="AW61"/>
  <c r="AV61"/>
  <c r="AC61"/>
  <c r="H61"/>
  <c r="G61" s="1"/>
  <c r="BT60"/>
  <c r="BS60"/>
  <c r="BR60"/>
  <c r="BQ60"/>
  <c r="BP60"/>
  <c r="BO60"/>
  <c r="BN60"/>
  <c r="BM60"/>
  <c r="BL60" s="1"/>
  <c r="BK60"/>
  <c r="BJ60"/>
  <c r="BI60"/>
  <c r="BH60"/>
  <c r="BG60"/>
  <c r="BF60"/>
  <c r="BE60"/>
  <c r="BD60"/>
  <c r="BC60"/>
  <c r="BB60"/>
  <c r="BA60" s="1"/>
  <c r="AX60"/>
  <c r="AW60"/>
  <c r="AV60"/>
  <c r="AC60"/>
  <c r="H60"/>
  <c r="G60" s="1"/>
  <c r="BT59"/>
  <c r="BS59"/>
  <c r="BR59"/>
  <c r="BQ59"/>
  <c r="BP59"/>
  <c r="BO59"/>
  <c r="BN59"/>
  <c r="BM59"/>
  <c r="BL59" s="1"/>
  <c r="BK59"/>
  <c r="BJ59"/>
  <c r="BI59"/>
  <c r="BH59"/>
  <c r="BG59"/>
  <c r="BF59"/>
  <c r="BE59"/>
  <c r="BD59"/>
  <c r="BC59"/>
  <c r="BB59"/>
  <c r="BA59" s="1"/>
  <c r="AX59"/>
  <c r="AW59"/>
  <c r="AV59"/>
  <c r="AC59"/>
  <c r="H59"/>
  <c r="G59" s="1"/>
  <c r="BT58"/>
  <c r="BS58"/>
  <c r="BR58"/>
  <c r="BQ58"/>
  <c r="BP58"/>
  <c r="BO58"/>
  <c r="BL58" s="1"/>
  <c r="BN58"/>
  <c r="BM58"/>
  <c r="BK58"/>
  <c r="BJ58"/>
  <c r="BI58"/>
  <c r="BH58"/>
  <c r="BG58"/>
  <c r="BF58"/>
  <c r="BE58"/>
  <c r="BD58"/>
  <c r="BC58"/>
  <c r="BB58"/>
  <c r="BA58" s="1"/>
  <c r="AZ58" s="1"/>
  <c r="AX58"/>
  <c r="AW58"/>
  <c r="AV58"/>
  <c r="AC58"/>
  <c r="H58"/>
  <c r="G58" s="1"/>
  <c r="BT57"/>
  <c r="BS57"/>
  <c r="BR57"/>
  <c r="BQ57"/>
  <c r="BP57"/>
  <c r="BO57"/>
  <c r="BN57"/>
  <c r="BM57"/>
  <c r="BL57" s="1"/>
  <c r="BK57"/>
  <c r="BJ57"/>
  <c r="BI57"/>
  <c r="BH57"/>
  <c r="BG57"/>
  <c r="BF57"/>
  <c r="BE57"/>
  <c r="BD57"/>
  <c r="BC57"/>
  <c r="BB57"/>
  <c r="BA57" s="1"/>
  <c r="AZ57" s="1"/>
  <c r="AX57"/>
  <c r="AW57"/>
  <c r="AV57"/>
  <c r="AC57"/>
  <c r="H57"/>
  <c r="G57" s="1"/>
  <c r="BT56"/>
  <c r="BS56"/>
  <c r="BR56"/>
  <c r="BQ56"/>
  <c r="BP56"/>
  <c r="BO56"/>
  <c r="BN56"/>
  <c r="BM56"/>
  <c r="BL56" s="1"/>
  <c r="BK56"/>
  <c r="BJ56"/>
  <c r="BI56"/>
  <c r="BH56"/>
  <c r="BG56"/>
  <c r="BF56"/>
  <c r="BE56"/>
  <c r="BD56"/>
  <c r="BC56"/>
  <c r="BB56"/>
  <c r="BA56" s="1"/>
  <c r="AX56"/>
  <c r="AW56"/>
  <c r="AV56"/>
  <c r="AC56"/>
  <c r="H56"/>
  <c r="G56" s="1"/>
  <c r="BT55"/>
  <c r="BS55"/>
  <c r="BR55"/>
  <c r="BQ55"/>
  <c r="BP55"/>
  <c r="BO55"/>
  <c r="BL55" s="1"/>
  <c r="BN55"/>
  <c r="BM55"/>
  <c r="BK55"/>
  <c r="BJ55"/>
  <c r="BI55"/>
  <c r="BH55"/>
  <c r="BG55"/>
  <c r="BF55"/>
  <c r="BE55"/>
  <c r="BD55"/>
  <c r="BC55"/>
  <c r="BB55"/>
  <c r="BA55" s="1"/>
  <c r="AX55"/>
  <c r="AW55"/>
  <c r="AV55"/>
  <c r="AC55"/>
  <c r="H55"/>
  <c r="G55" s="1"/>
  <c r="BT54"/>
  <c r="BS54"/>
  <c r="BR54"/>
  <c r="BQ54"/>
  <c r="BP54"/>
  <c r="BO54"/>
  <c r="BN54"/>
  <c r="BM54"/>
  <c r="BL54" s="1"/>
  <c r="BK54"/>
  <c r="BJ54"/>
  <c r="BI54"/>
  <c r="BH54"/>
  <c r="BG54"/>
  <c r="BF54"/>
  <c r="BE54"/>
  <c r="BD54"/>
  <c r="BC54"/>
  <c r="BB54"/>
  <c r="BA54" s="1"/>
  <c r="AZ54" s="1"/>
  <c r="AX54"/>
  <c r="AW54"/>
  <c r="AV54"/>
  <c r="AC54"/>
  <c r="H54"/>
  <c r="G54"/>
  <c r="BT53"/>
  <c r="BS53"/>
  <c r="BR53"/>
  <c r="BQ53"/>
  <c r="BP53"/>
  <c r="BO53"/>
  <c r="BN53"/>
  <c r="BM53"/>
  <c r="BL53" s="1"/>
  <c r="BK53"/>
  <c r="BJ53"/>
  <c r="BI53"/>
  <c r="BH53"/>
  <c r="BG53"/>
  <c r="BF53"/>
  <c r="BE53"/>
  <c r="BD53"/>
  <c r="BC53"/>
  <c r="BB53"/>
  <c r="BA53"/>
  <c r="AX53"/>
  <c r="AW53"/>
  <c r="AV53"/>
  <c r="AC53"/>
  <c r="H53"/>
  <c r="G53" s="1"/>
  <c r="BT52"/>
  <c r="BS52"/>
  <c r="BR52"/>
  <c r="BQ52"/>
  <c r="BP52"/>
  <c r="BO52"/>
  <c r="BL52" s="1"/>
  <c r="BN52"/>
  <c r="BM52"/>
  <c r="BK52"/>
  <c r="BJ52"/>
  <c r="BI52"/>
  <c r="BH52"/>
  <c r="BG52"/>
  <c r="BF52"/>
  <c r="BE52"/>
  <c r="BD52"/>
  <c r="BC52"/>
  <c r="BB52"/>
  <c r="BA52" s="1"/>
  <c r="AZ52" s="1"/>
  <c r="AX52"/>
  <c r="AW52"/>
  <c r="AV52"/>
  <c r="AC52"/>
  <c r="H52"/>
  <c r="G52" s="1"/>
  <c r="BT51"/>
  <c r="BS51"/>
  <c r="BR51"/>
  <c r="BQ51"/>
  <c r="BP51"/>
  <c r="BO51"/>
  <c r="BN51"/>
  <c r="BM51"/>
  <c r="BL51" s="1"/>
  <c r="BK51"/>
  <c r="BJ51"/>
  <c r="BI51"/>
  <c r="BH51"/>
  <c r="BG51"/>
  <c r="BF51"/>
  <c r="BE51"/>
  <c r="BD51"/>
  <c r="BC51"/>
  <c r="BB51"/>
  <c r="BA51" s="1"/>
  <c r="AX51"/>
  <c r="AW51"/>
  <c r="AV51"/>
  <c r="AC51"/>
  <c r="H51"/>
  <c r="G51"/>
  <c r="BT50"/>
  <c r="BS50"/>
  <c r="BR50"/>
  <c r="BQ50"/>
  <c r="BP50"/>
  <c r="BO50"/>
  <c r="BN50"/>
  <c r="BM50"/>
  <c r="BL50"/>
  <c r="BK50"/>
  <c r="BJ50"/>
  <c r="BI50"/>
  <c r="BH50"/>
  <c r="BG50"/>
  <c r="BF50"/>
  <c r="BE50"/>
  <c r="BD50"/>
  <c r="BA50" s="1"/>
  <c r="AZ50" s="1"/>
  <c r="BC50"/>
  <c r="BB50"/>
  <c r="AX50"/>
  <c r="AW50"/>
  <c r="AV50"/>
  <c r="AC50"/>
  <c r="H50"/>
  <c r="G50" s="1"/>
  <c r="BT49"/>
  <c r="BS49"/>
  <c r="BR49"/>
  <c r="BQ49"/>
  <c r="BP49"/>
  <c r="BO49"/>
  <c r="BL49" s="1"/>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BA48" s="1"/>
  <c r="AX48"/>
  <c r="AW48"/>
  <c r="AV48"/>
  <c r="AC48"/>
  <c r="H48"/>
  <c r="G48"/>
  <c r="BT47"/>
  <c r="BS47"/>
  <c r="BR47"/>
  <c r="BQ47"/>
  <c r="BP47"/>
  <c r="BO47"/>
  <c r="BN47"/>
  <c r="BM47"/>
  <c r="BL47" s="1"/>
  <c r="BK47"/>
  <c r="BJ47"/>
  <c r="BI47"/>
  <c r="BH47"/>
  <c r="BG47"/>
  <c r="BF47"/>
  <c r="BE47"/>
  <c r="BD47"/>
  <c r="BC47"/>
  <c r="BB47"/>
  <c r="BA47"/>
  <c r="AX47"/>
  <c r="AW47"/>
  <c r="AV47"/>
  <c r="AC47"/>
  <c r="H47"/>
  <c r="BT46"/>
  <c r="BS46"/>
  <c r="BR46"/>
  <c r="BQ46"/>
  <c r="BP46"/>
  <c r="BO46"/>
  <c r="BN46"/>
  <c r="BM46"/>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s="1"/>
  <c r="AX44"/>
  <c r="AW44"/>
  <c r="AV44"/>
  <c r="AC44"/>
  <c r="H44"/>
  <c r="G44" s="1"/>
  <c r="BT43"/>
  <c r="BS43"/>
  <c r="BR43"/>
  <c r="BQ43"/>
  <c r="BP43"/>
  <c r="BO43"/>
  <c r="BL43" s="1"/>
  <c r="BN43"/>
  <c r="BM43"/>
  <c r="BK43"/>
  <c r="BJ43"/>
  <c r="BI43"/>
  <c r="BH43"/>
  <c r="BG43"/>
  <c r="BF43"/>
  <c r="BE43"/>
  <c r="BD43"/>
  <c r="BC43"/>
  <c r="BB43"/>
  <c r="BA43" s="1"/>
  <c r="AX43"/>
  <c r="AW43"/>
  <c r="AV43"/>
  <c r="AC43"/>
  <c r="H43"/>
  <c r="G43" s="1"/>
  <c r="BT42"/>
  <c r="BS42"/>
  <c r="BR42"/>
  <c r="BQ42"/>
  <c r="BP42"/>
  <c r="BO42"/>
  <c r="BN42"/>
  <c r="BM42"/>
  <c r="BK42"/>
  <c r="BJ42"/>
  <c r="BI42"/>
  <c r="BH42"/>
  <c r="BG42"/>
  <c r="BF42"/>
  <c r="BE42"/>
  <c r="BD42"/>
  <c r="BC42"/>
  <c r="BB42"/>
  <c r="BA42"/>
  <c r="AX42"/>
  <c r="AW42"/>
  <c r="AV42"/>
  <c r="AC42"/>
  <c r="H42"/>
  <c r="G42"/>
  <c r="BT41"/>
  <c r="BS41"/>
  <c r="BR41"/>
  <c r="BQ41"/>
  <c r="BP41"/>
  <c r="BO41"/>
  <c r="BN41"/>
  <c r="BM41"/>
  <c r="BL41"/>
  <c r="BK41"/>
  <c r="BJ41"/>
  <c r="BI41"/>
  <c r="BH41"/>
  <c r="BG41"/>
  <c r="BF41"/>
  <c r="BE41"/>
  <c r="BD41"/>
  <c r="BA41" s="1"/>
  <c r="AZ41" s="1"/>
  <c r="BC41"/>
  <c r="BB41"/>
  <c r="AX41"/>
  <c r="AW41"/>
  <c r="AV41"/>
  <c r="AC41"/>
  <c r="H41"/>
  <c r="G41" s="1"/>
  <c r="BT40"/>
  <c r="BS40"/>
  <c r="BR40"/>
  <c r="BQ40"/>
  <c r="BP40"/>
  <c r="BO40"/>
  <c r="BL40" s="1"/>
  <c r="BN40"/>
  <c r="BM40"/>
  <c r="BK40"/>
  <c r="BJ40"/>
  <c r="BI40"/>
  <c r="BH40"/>
  <c r="BG40"/>
  <c r="BF40"/>
  <c r="BE40"/>
  <c r="BD40"/>
  <c r="BC40"/>
  <c r="BB40"/>
  <c r="BA40" s="1"/>
  <c r="AX40"/>
  <c r="AW40"/>
  <c r="AV40"/>
  <c r="AC40"/>
  <c r="H40"/>
  <c r="G40" s="1"/>
  <c r="BT39"/>
  <c r="BS39"/>
  <c r="BR39"/>
  <c r="BQ39"/>
  <c r="BP39"/>
  <c r="BO39"/>
  <c r="BN39"/>
  <c r="BM39"/>
  <c r="BK39"/>
  <c r="BJ39"/>
  <c r="BI39"/>
  <c r="BH39"/>
  <c r="BG39"/>
  <c r="BF39"/>
  <c r="BE39"/>
  <c r="BD39"/>
  <c r="BC39"/>
  <c r="BB39"/>
  <c r="BA39"/>
  <c r="AX39"/>
  <c r="AW39"/>
  <c r="AV39"/>
  <c r="AC39"/>
  <c r="H39"/>
  <c r="BT38"/>
  <c r="BS38"/>
  <c r="BR38"/>
  <c r="BQ38"/>
  <c r="BP38"/>
  <c r="BO38"/>
  <c r="BL38" s="1"/>
  <c r="BN38"/>
  <c r="BM38"/>
  <c r="BK38"/>
  <c r="BJ38"/>
  <c r="BI38"/>
  <c r="BH38"/>
  <c r="BG38"/>
  <c r="BF38"/>
  <c r="BE38"/>
  <c r="BD38"/>
  <c r="BC38"/>
  <c r="BB38"/>
  <c r="BA38" s="1"/>
  <c r="AZ38" s="1"/>
  <c r="AX38"/>
  <c r="AW38"/>
  <c r="AV38"/>
  <c r="AC38"/>
  <c r="H38"/>
  <c r="G38" s="1"/>
  <c r="BT37"/>
  <c r="BS37"/>
  <c r="BR37"/>
  <c r="BQ37"/>
  <c r="BP37"/>
  <c r="BO37"/>
  <c r="BN37"/>
  <c r="BM37"/>
  <c r="BK37"/>
  <c r="BJ37"/>
  <c r="BI37"/>
  <c r="BH37"/>
  <c r="BG37"/>
  <c r="BF37"/>
  <c r="BE37"/>
  <c r="BD37"/>
  <c r="BC37"/>
  <c r="BB37"/>
  <c r="BA37" s="1"/>
  <c r="AX37"/>
  <c r="AW37"/>
  <c r="AV37"/>
  <c r="AC37"/>
  <c r="H37"/>
  <c r="G37"/>
  <c r="BT36"/>
  <c r="BS36"/>
  <c r="BR36"/>
  <c r="BQ36"/>
  <c r="BP36"/>
  <c r="BO36"/>
  <c r="BN36"/>
  <c r="BM36"/>
  <c r="BL36" s="1"/>
  <c r="BK36"/>
  <c r="BJ36"/>
  <c r="BI36"/>
  <c r="BH36"/>
  <c r="BG36"/>
  <c r="BF36"/>
  <c r="BE36"/>
  <c r="BD36"/>
  <c r="BC36"/>
  <c r="BB36"/>
  <c r="BA36" s="1"/>
  <c r="AZ36" s="1"/>
  <c r="AX36"/>
  <c r="AW36"/>
  <c r="AV36"/>
  <c r="AC36"/>
  <c r="H36"/>
  <c r="G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L34" s="1"/>
  <c r="BK34"/>
  <c r="BJ34"/>
  <c r="BI34"/>
  <c r="BH34"/>
  <c r="BG34"/>
  <c r="BF34"/>
  <c r="BE34"/>
  <c r="BD34"/>
  <c r="BC34"/>
  <c r="BB34"/>
  <c r="BA34" s="1"/>
  <c r="AX34"/>
  <c r="AW34"/>
  <c r="AV34"/>
  <c r="AC34"/>
  <c r="H34"/>
  <c r="G34"/>
  <c r="BT33"/>
  <c r="BS33"/>
  <c r="BR33"/>
  <c r="BQ33"/>
  <c r="BP33"/>
  <c r="BO33"/>
  <c r="BN33"/>
  <c r="BM33"/>
  <c r="BL33" s="1"/>
  <c r="BK33"/>
  <c r="BJ33"/>
  <c r="BI33"/>
  <c r="BH33"/>
  <c r="BG33"/>
  <c r="BF33"/>
  <c r="BE33"/>
  <c r="BD33"/>
  <c r="BC33"/>
  <c r="BB33"/>
  <c r="BA33"/>
  <c r="AX33"/>
  <c r="AW33"/>
  <c r="AV33"/>
  <c r="AC33"/>
  <c r="H33"/>
  <c r="G33"/>
  <c r="BT32"/>
  <c r="BS32"/>
  <c r="BR32"/>
  <c r="BQ32"/>
  <c r="BP32"/>
  <c r="BO32"/>
  <c r="BN32"/>
  <c r="BM32"/>
  <c r="BL32"/>
  <c r="BK32"/>
  <c r="BJ32"/>
  <c r="BI32"/>
  <c r="BH32"/>
  <c r="BG32"/>
  <c r="BF32"/>
  <c r="BE32"/>
  <c r="BD32"/>
  <c r="BA32" s="1"/>
  <c r="BC32"/>
  <c r="BB32"/>
  <c r="AX32"/>
  <c r="AW32"/>
  <c r="AV32"/>
  <c r="AC32"/>
  <c r="H32"/>
  <c r="G32" s="1"/>
  <c r="BT31"/>
  <c r="BS31"/>
  <c r="BR31"/>
  <c r="BQ31"/>
  <c r="BP31"/>
  <c r="BO31"/>
  <c r="BN31"/>
  <c r="BM31"/>
  <c r="BK31"/>
  <c r="BJ31"/>
  <c r="BI31"/>
  <c r="BH31"/>
  <c r="BG31"/>
  <c r="BF31"/>
  <c r="BE31"/>
  <c r="BD31"/>
  <c r="BC31"/>
  <c r="BB31"/>
  <c r="BA31" s="1"/>
  <c r="AX31"/>
  <c r="AW31"/>
  <c r="AV31"/>
  <c r="AC31"/>
  <c r="H31"/>
  <c r="G31"/>
  <c r="BT30"/>
  <c r="BS30"/>
  <c r="BR30"/>
  <c r="BQ30"/>
  <c r="BP30"/>
  <c r="BO30"/>
  <c r="BN30"/>
  <c r="BM30"/>
  <c r="BL30"/>
  <c r="BK30"/>
  <c r="BJ30"/>
  <c r="BI30"/>
  <c r="BH30"/>
  <c r="BG30"/>
  <c r="BF30"/>
  <c r="BE30"/>
  <c r="BD30"/>
  <c r="BA30" s="1"/>
  <c r="AZ30" s="1"/>
  <c r="BC30"/>
  <c r="BB30"/>
  <c r="AX30"/>
  <c r="AW30"/>
  <c r="AV30"/>
  <c r="AC30"/>
  <c r="H30"/>
  <c r="G30" s="1"/>
  <c r="BT29"/>
  <c r="BS29"/>
  <c r="BR29"/>
  <c r="BQ29"/>
  <c r="BP29"/>
  <c r="BO29"/>
  <c r="BL29" s="1"/>
  <c r="AZ29" s="1"/>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G28" s="1"/>
  <c r="BT27"/>
  <c r="BS27"/>
  <c r="BR27"/>
  <c r="BQ27"/>
  <c r="BP27"/>
  <c r="BO27"/>
  <c r="BN27"/>
  <c r="BM27"/>
  <c r="BK27"/>
  <c r="BJ27"/>
  <c r="BI27"/>
  <c r="BH27"/>
  <c r="BG27"/>
  <c r="BF27"/>
  <c r="BE27"/>
  <c r="BD27"/>
  <c r="BC27"/>
  <c r="BB27"/>
  <c r="BA27"/>
  <c r="AX27"/>
  <c r="AW27"/>
  <c r="AV27"/>
  <c r="AC27"/>
  <c r="H27"/>
  <c r="BT26"/>
  <c r="BS26"/>
  <c r="BR26"/>
  <c r="BQ26"/>
  <c r="BP26"/>
  <c r="BO26"/>
  <c r="BN26"/>
  <c r="BL26" s="1"/>
  <c r="BM26"/>
  <c r="BK26"/>
  <c r="BJ26"/>
  <c r="BI26"/>
  <c r="BH26"/>
  <c r="BG26"/>
  <c r="BF26"/>
  <c r="BE26"/>
  <c r="BD26"/>
  <c r="BC26"/>
  <c r="BB26"/>
  <c r="BA26" s="1"/>
  <c r="AX26"/>
  <c r="AW26"/>
  <c r="AV26"/>
  <c r="AC26"/>
  <c r="H26"/>
  <c r="G26"/>
  <c r="BT25"/>
  <c r="BS25"/>
  <c r="BR25"/>
  <c r="BQ25"/>
  <c r="BP25"/>
  <c r="BO25"/>
  <c r="BN25"/>
  <c r="BM25"/>
  <c r="BL25" s="1"/>
  <c r="BK25"/>
  <c r="BJ25"/>
  <c r="BI25"/>
  <c r="BH25"/>
  <c r="BG25"/>
  <c r="BF25"/>
  <c r="BE25"/>
  <c r="BD25"/>
  <c r="BC25"/>
  <c r="BB25"/>
  <c r="BA25" s="1"/>
  <c r="AZ25" s="1"/>
  <c r="AX25"/>
  <c r="AW25"/>
  <c r="AV25"/>
  <c r="AC25"/>
  <c r="H25"/>
  <c r="G25"/>
  <c r="BT24"/>
  <c r="BS24"/>
  <c r="BR24"/>
  <c r="BQ24"/>
  <c r="BP24"/>
  <c r="BO24"/>
  <c r="BN24"/>
  <c r="BM24"/>
  <c r="BL24" s="1"/>
  <c r="BK24"/>
  <c r="BJ24"/>
  <c r="BI24"/>
  <c r="BH24"/>
  <c r="BG24"/>
  <c r="BF24"/>
  <c r="BE24"/>
  <c r="BD24"/>
  <c r="BC24"/>
  <c r="BB24"/>
  <c r="BA24"/>
  <c r="AX24"/>
  <c r="AW24"/>
  <c r="AV24"/>
  <c r="AC24"/>
  <c r="H24"/>
  <c r="G24" s="1"/>
  <c r="BT23"/>
  <c r="BS23"/>
  <c r="BR23"/>
  <c r="BQ23"/>
  <c r="BP23"/>
  <c r="BO23"/>
  <c r="BL23" s="1"/>
  <c r="BN23"/>
  <c r="BM23"/>
  <c r="BK23"/>
  <c r="BJ23"/>
  <c r="BI23"/>
  <c r="BH23"/>
  <c r="BG23"/>
  <c r="BF23"/>
  <c r="BE23"/>
  <c r="BD23"/>
  <c r="BC23"/>
  <c r="BB23"/>
  <c r="BA23" s="1"/>
  <c r="AX23"/>
  <c r="AW23"/>
  <c r="AV23"/>
  <c r="AC23"/>
  <c r="H23"/>
  <c r="G23"/>
  <c r="BT22"/>
  <c r="BS22"/>
  <c r="BR22"/>
  <c r="BQ22"/>
  <c r="BP22"/>
  <c r="BO22"/>
  <c r="BN22"/>
  <c r="BM22"/>
  <c r="BL22" s="1"/>
  <c r="BK22"/>
  <c r="BJ22"/>
  <c r="BI22"/>
  <c r="BH22"/>
  <c r="BG22"/>
  <c r="BF22"/>
  <c r="BE22"/>
  <c r="BD22"/>
  <c r="BC22"/>
  <c r="BB22"/>
  <c r="BA22"/>
  <c r="AX22"/>
  <c r="AW22"/>
  <c r="AV22"/>
  <c r="AC22"/>
  <c r="H22"/>
  <c r="BT21"/>
  <c r="BS21"/>
  <c r="BR21"/>
  <c r="BQ21"/>
  <c r="BP21"/>
  <c r="BO21"/>
  <c r="BN21"/>
  <c r="BM21"/>
  <c r="BL21" s="1"/>
  <c r="BK21"/>
  <c r="BJ21"/>
  <c r="BI21"/>
  <c r="BH21"/>
  <c r="BG21"/>
  <c r="BF21"/>
  <c r="BE21"/>
  <c r="BD21"/>
  <c r="BC21"/>
  <c r="BB21"/>
  <c r="BA21" s="1"/>
  <c r="AX21"/>
  <c r="AW21"/>
  <c r="AV21"/>
  <c r="AC21"/>
  <c r="H21"/>
  <c r="G21" s="1"/>
  <c r="BT204"/>
  <c r="BS204"/>
  <c r="BR204"/>
  <c r="BQ204"/>
  <c r="BP204"/>
  <c r="BO204"/>
  <c r="BL204" s="1"/>
  <c r="BN204"/>
  <c r="BM204"/>
  <c r="BK204"/>
  <c r="BJ204"/>
  <c r="BI204"/>
  <c r="BH204"/>
  <c r="BG204"/>
  <c r="BF204"/>
  <c r="BE204"/>
  <c r="BD204"/>
  <c r="BC204"/>
  <c r="BB204"/>
  <c r="BA204" s="1"/>
  <c r="AZ204" s="1"/>
  <c r="AX204"/>
  <c r="AW204"/>
  <c r="AV204"/>
  <c r="AC204"/>
  <c r="H204"/>
  <c r="G204" s="1"/>
  <c r="BT203"/>
  <c r="BS203"/>
  <c r="BR203"/>
  <c r="BQ203"/>
  <c r="BP203"/>
  <c r="BO203"/>
  <c r="BN203"/>
  <c r="BM203"/>
  <c r="BL203" s="1"/>
  <c r="BK203"/>
  <c r="BJ203"/>
  <c r="BI203"/>
  <c r="BH203"/>
  <c r="BG203"/>
  <c r="BF203"/>
  <c r="BE203"/>
  <c r="BD203"/>
  <c r="BC203"/>
  <c r="BB203"/>
  <c r="BA203" s="1"/>
  <c r="AX203"/>
  <c r="AW203"/>
  <c r="AV203"/>
  <c r="AC203"/>
  <c r="H203"/>
  <c r="G203"/>
  <c r="BT202"/>
  <c r="BS202"/>
  <c r="BR202"/>
  <c r="BQ202"/>
  <c r="BP202"/>
  <c r="BO202"/>
  <c r="BN202"/>
  <c r="BM202"/>
  <c r="BL202"/>
  <c r="BK202"/>
  <c r="BJ202"/>
  <c r="BI202"/>
  <c r="BH202"/>
  <c r="BG202"/>
  <c r="BF202"/>
  <c r="BE202"/>
  <c r="BD202"/>
  <c r="BA202" s="1"/>
  <c r="AZ202" s="1"/>
  <c r="BC202"/>
  <c r="BB202"/>
  <c r="AX202"/>
  <c r="AW202"/>
  <c r="AV202"/>
  <c r="AC202"/>
  <c r="H202"/>
  <c r="G202" s="1"/>
  <c r="BT201"/>
  <c r="BS201"/>
  <c r="BR201"/>
  <c r="BQ201"/>
  <c r="BP201"/>
  <c r="BO201"/>
  <c r="BN201"/>
  <c r="BM201"/>
  <c r="BK201"/>
  <c r="BJ201"/>
  <c r="BI201"/>
  <c r="BH201"/>
  <c r="BG201"/>
  <c r="BF201"/>
  <c r="BE201"/>
  <c r="BD201"/>
  <c r="BC201"/>
  <c r="BB201"/>
  <c r="BA201" s="1"/>
  <c r="AX201"/>
  <c r="AW201"/>
  <c r="AV201"/>
  <c r="AC201"/>
  <c r="G201" s="1"/>
  <c r="H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BA199"/>
  <c r="AX199"/>
  <c r="AW199"/>
  <c r="AV199"/>
  <c r="AC199"/>
  <c r="H199"/>
  <c r="G199" s="1"/>
  <c r="BT198"/>
  <c r="BS198"/>
  <c r="BR198"/>
  <c r="BQ198"/>
  <c r="BP198"/>
  <c r="BO198"/>
  <c r="BN198"/>
  <c r="BL198" s="1"/>
  <c r="BM198"/>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A197" s="1"/>
  <c r="BB197"/>
  <c r="AX197"/>
  <c r="AW197"/>
  <c r="AV197"/>
  <c r="AC197"/>
  <c r="H197"/>
  <c r="G197" s="1"/>
  <c r="BT196"/>
  <c r="BS196"/>
  <c r="BR196"/>
  <c r="BQ196"/>
  <c r="BP196"/>
  <c r="BO196"/>
  <c r="BN196"/>
  <c r="BM196"/>
  <c r="BL196" s="1"/>
  <c r="BK196"/>
  <c r="BJ196"/>
  <c r="BI196"/>
  <c r="BH196"/>
  <c r="BG196"/>
  <c r="BF196"/>
  <c r="BE196"/>
  <c r="BD196"/>
  <c r="BC196"/>
  <c r="BB196"/>
  <c r="AX196"/>
  <c r="AW196"/>
  <c r="AV196"/>
  <c r="AC196"/>
  <c r="H196"/>
  <c r="G196" s="1"/>
  <c r="BT195"/>
  <c r="BS195"/>
  <c r="BR195"/>
  <c r="BQ195"/>
  <c r="BP195"/>
  <c r="BO195"/>
  <c r="BN195"/>
  <c r="BL195" s="1"/>
  <c r="BM195"/>
  <c r="BK195"/>
  <c r="BJ195"/>
  <c r="BI195"/>
  <c r="BH195"/>
  <c r="BG195"/>
  <c r="BF195"/>
  <c r="BE195"/>
  <c r="BD195"/>
  <c r="BC195"/>
  <c r="BB195"/>
  <c r="BA195" s="1"/>
  <c r="AX195"/>
  <c r="AW195"/>
  <c r="AV195"/>
  <c r="AC195"/>
  <c r="H195"/>
  <c r="G195"/>
  <c r="BT194"/>
  <c r="BS194"/>
  <c r="BR194"/>
  <c r="BQ194"/>
  <c r="BP194"/>
  <c r="BO194"/>
  <c r="BN194"/>
  <c r="BM194"/>
  <c r="BL194" s="1"/>
  <c r="BK194"/>
  <c r="BJ194"/>
  <c r="BI194"/>
  <c r="BH194"/>
  <c r="BG194"/>
  <c r="BF194"/>
  <c r="BE194"/>
  <c r="BD194"/>
  <c r="BC194"/>
  <c r="BB194"/>
  <c r="BA194"/>
  <c r="AX194"/>
  <c r="AW194"/>
  <c r="AV194"/>
  <c r="AC194"/>
  <c r="H194"/>
  <c r="BT193"/>
  <c r="BS193"/>
  <c r="BR193"/>
  <c r="BQ193"/>
  <c r="BP193"/>
  <c r="BO193"/>
  <c r="BN193"/>
  <c r="BM193"/>
  <c r="BK193"/>
  <c r="BJ193"/>
  <c r="BI193"/>
  <c r="BH193"/>
  <c r="BG193"/>
  <c r="BF193"/>
  <c r="BE193"/>
  <c r="BD193"/>
  <c r="BC193"/>
  <c r="BB193"/>
  <c r="BA193" s="1"/>
  <c r="AX193"/>
  <c r="AW193"/>
  <c r="AV193"/>
  <c r="AC193"/>
  <c r="G193" s="1"/>
  <c r="H193"/>
  <c r="BT192"/>
  <c r="BS192"/>
  <c r="BR192"/>
  <c r="BQ192"/>
  <c r="BP192"/>
  <c r="BO192"/>
  <c r="BN192"/>
  <c r="BM192"/>
  <c r="BL192"/>
  <c r="BK192"/>
  <c r="BJ192"/>
  <c r="BI192"/>
  <c r="BH192"/>
  <c r="BG192"/>
  <c r="BF192"/>
  <c r="BE192"/>
  <c r="BD192"/>
  <c r="BC192"/>
  <c r="BB192"/>
  <c r="AX192"/>
  <c r="AW192"/>
  <c r="AV192"/>
  <c r="AC192"/>
  <c r="H192"/>
  <c r="G192"/>
  <c r="BT191"/>
  <c r="BS191"/>
  <c r="BR191"/>
  <c r="BQ191"/>
  <c r="BP191"/>
  <c r="BO191"/>
  <c r="BN191"/>
  <c r="BM191"/>
  <c r="BL191" s="1"/>
  <c r="BK191"/>
  <c r="BJ191"/>
  <c r="BI191"/>
  <c r="BH191"/>
  <c r="BG191"/>
  <c r="BF191"/>
  <c r="BE191"/>
  <c r="BD191"/>
  <c r="BC191"/>
  <c r="BB191"/>
  <c r="BA191"/>
  <c r="AX191"/>
  <c r="AW191"/>
  <c r="AV191"/>
  <c r="AC191"/>
  <c r="H191"/>
  <c r="G191" s="1"/>
  <c r="BT190"/>
  <c r="BS190"/>
  <c r="BR190"/>
  <c r="BQ190"/>
  <c r="BP190"/>
  <c r="BO190"/>
  <c r="BN190"/>
  <c r="BL190" s="1"/>
  <c r="BM190"/>
  <c r="BK190"/>
  <c r="BJ190"/>
  <c r="BI190"/>
  <c r="BH190"/>
  <c r="BG190"/>
  <c r="BF190"/>
  <c r="BE190"/>
  <c r="BD190"/>
  <c r="BC190"/>
  <c r="BB190"/>
  <c r="BA190" s="1"/>
  <c r="AZ190" s="1"/>
  <c r="AX190"/>
  <c r="AW190"/>
  <c r="AV190"/>
  <c r="AC190"/>
  <c r="H190"/>
  <c r="BT189"/>
  <c r="BS189"/>
  <c r="BR189"/>
  <c r="BQ189"/>
  <c r="BP189"/>
  <c r="BO189"/>
  <c r="BN189"/>
  <c r="BM189"/>
  <c r="BK189"/>
  <c r="BJ189"/>
  <c r="BI189"/>
  <c r="BH189"/>
  <c r="BG189"/>
  <c r="BF189"/>
  <c r="BE189"/>
  <c r="BD189"/>
  <c r="BC189"/>
  <c r="BA189" s="1"/>
  <c r="BB189"/>
  <c r="AX189"/>
  <c r="AW189"/>
  <c r="AV189"/>
  <c r="AC189"/>
  <c r="H189"/>
  <c r="G189" s="1"/>
  <c r="BT188"/>
  <c r="BS188"/>
  <c r="BR188"/>
  <c r="BQ188"/>
  <c r="BP188"/>
  <c r="BO188"/>
  <c r="BN188"/>
  <c r="BM188"/>
  <c r="BL188" s="1"/>
  <c r="BK188"/>
  <c r="BJ188"/>
  <c r="BI188"/>
  <c r="BH188"/>
  <c r="BG188"/>
  <c r="BF188"/>
  <c r="BE188"/>
  <c r="BD188"/>
  <c r="BC188"/>
  <c r="BB188"/>
  <c r="AX188"/>
  <c r="AW188"/>
  <c r="AV188"/>
  <c r="AC188"/>
  <c r="H188"/>
  <c r="G188" s="1"/>
  <c r="BT187"/>
  <c r="BS187"/>
  <c r="BR187"/>
  <c r="BQ187"/>
  <c r="BP187"/>
  <c r="BO187"/>
  <c r="BN187"/>
  <c r="BL187" s="1"/>
  <c r="BM187"/>
  <c r="BK187"/>
  <c r="BJ187"/>
  <c r="BI187"/>
  <c r="BH187"/>
  <c r="BG187"/>
  <c r="BF187"/>
  <c r="BE187"/>
  <c r="BD187"/>
  <c r="BC187"/>
  <c r="BB187"/>
  <c r="BA187" s="1"/>
  <c r="AX187"/>
  <c r="AW187"/>
  <c r="AV187"/>
  <c r="AC187"/>
  <c r="H187"/>
  <c r="G187"/>
  <c r="BT186"/>
  <c r="BS186"/>
  <c r="BR186"/>
  <c r="BQ186"/>
  <c r="BP186"/>
  <c r="BO186"/>
  <c r="BN186"/>
  <c r="BM186"/>
  <c r="BL186" s="1"/>
  <c r="BK186"/>
  <c r="BJ186"/>
  <c r="BI186"/>
  <c r="BH186"/>
  <c r="BG186"/>
  <c r="BF186"/>
  <c r="BE186"/>
  <c r="BD186"/>
  <c r="BC186"/>
  <c r="BB186"/>
  <c r="BA186"/>
  <c r="AZ186" s="1"/>
  <c r="AX186"/>
  <c r="AW186"/>
  <c r="AV186"/>
  <c r="AC186"/>
  <c r="H186"/>
  <c r="BT185"/>
  <c r="BS185"/>
  <c r="BR185"/>
  <c r="BQ185"/>
  <c r="BP185"/>
  <c r="BO185"/>
  <c r="BN185"/>
  <c r="BM185"/>
  <c r="BK185"/>
  <c r="BJ185"/>
  <c r="BI185"/>
  <c r="BH185"/>
  <c r="BG185"/>
  <c r="BF185"/>
  <c r="BE185"/>
  <c r="BD185"/>
  <c r="BC185"/>
  <c r="BB185"/>
  <c r="BA185" s="1"/>
  <c r="AX185"/>
  <c r="AW185"/>
  <c r="AV185"/>
  <c r="AC185"/>
  <c r="G185" s="1"/>
  <c r="H185"/>
  <c r="BT184"/>
  <c r="BS184"/>
  <c r="BR184"/>
  <c r="BQ184"/>
  <c r="BP184"/>
  <c r="BO184"/>
  <c r="BN184"/>
  <c r="BM184"/>
  <c r="BL184"/>
  <c r="BK184"/>
  <c r="BJ184"/>
  <c r="BI184"/>
  <c r="BH184"/>
  <c r="BG184"/>
  <c r="BF184"/>
  <c r="BE184"/>
  <c r="BD184"/>
  <c r="BC184"/>
  <c r="BB184"/>
  <c r="AX184"/>
  <c r="AW184"/>
  <c r="AV184"/>
  <c r="AC184"/>
  <c r="H184"/>
  <c r="G184"/>
  <c r="BT183"/>
  <c r="BS183"/>
  <c r="BR183"/>
  <c r="BQ183"/>
  <c r="BP183"/>
  <c r="BO183"/>
  <c r="BN183"/>
  <c r="BM183"/>
  <c r="BL183" s="1"/>
  <c r="BK183"/>
  <c r="BJ183"/>
  <c r="BI183"/>
  <c r="BH183"/>
  <c r="BG183"/>
  <c r="BF183"/>
  <c r="BE183"/>
  <c r="BD183"/>
  <c r="BC183"/>
  <c r="BB183"/>
  <c r="BA183"/>
  <c r="AX183"/>
  <c r="AW183"/>
  <c r="AV183"/>
  <c r="AC183"/>
  <c r="H183"/>
  <c r="G183" s="1"/>
  <c r="BT182"/>
  <c r="BS182"/>
  <c r="BR182"/>
  <c r="BQ182"/>
  <c r="BP182"/>
  <c r="BO182"/>
  <c r="BN182"/>
  <c r="BL182" s="1"/>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A181" s="1"/>
  <c r="BB181"/>
  <c r="AX181"/>
  <c r="AW181"/>
  <c r="AV181"/>
  <c r="AC181"/>
  <c r="H181"/>
  <c r="G181" s="1"/>
  <c r="BT180"/>
  <c r="BS180"/>
  <c r="BR180"/>
  <c r="BQ180"/>
  <c r="BP180"/>
  <c r="BO180"/>
  <c r="BN180"/>
  <c r="BM180"/>
  <c r="BL180" s="1"/>
  <c r="BK180"/>
  <c r="BJ180"/>
  <c r="BI180"/>
  <c r="BH180"/>
  <c r="BG180"/>
  <c r="BF180"/>
  <c r="BE180"/>
  <c r="BD180"/>
  <c r="BC180"/>
  <c r="BB180"/>
  <c r="BA180" s="1"/>
  <c r="AX180"/>
  <c r="AW180"/>
  <c r="AV180"/>
  <c r="AC180"/>
  <c r="H180"/>
  <c r="BT179"/>
  <c r="BS179"/>
  <c r="BR179"/>
  <c r="BQ179"/>
  <c r="BP179"/>
  <c r="BO179"/>
  <c r="BN179"/>
  <c r="BM179"/>
  <c r="BK179"/>
  <c r="BJ179"/>
  <c r="BI179"/>
  <c r="BH179"/>
  <c r="BG179"/>
  <c r="BF179"/>
  <c r="BE179"/>
  <c r="BD179"/>
  <c r="BC179"/>
  <c r="BB179"/>
  <c r="BA179" s="1"/>
  <c r="AX179"/>
  <c r="AW179"/>
  <c r="AV179"/>
  <c r="AC179"/>
  <c r="G179" s="1"/>
  <c r="H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BA177"/>
  <c r="AX177"/>
  <c r="AW177"/>
  <c r="AV177"/>
  <c r="AC177"/>
  <c r="H177"/>
  <c r="G177" s="1"/>
  <c r="BT176"/>
  <c r="BS176"/>
  <c r="BR176"/>
  <c r="BQ176"/>
  <c r="BP176"/>
  <c r="BO176"/>
  <c r="BN176"/>
  <c r="BL176" s="1"/>
  <c r="BM176"/>
  <c r="BK176"/>
  <c r="BJ176"/>
  <c r="BI176"/>
  <c r="BH176"/>
  <c r="BG176"/>
  <c r="BF176"/>
  <c r="BE176"/>
  <c r="BD176"/>
  <c r="BC176"/>
  <c r="BB176"/>
  <c r="BA176" s="1"/>
  <c r="AZ176" s="1"/>
  <c r="AX176"/>
  <c r="AW176"/>
  <c r="AV176"/>
  <c r="AC176"/>
  <c r="H176"/>
  <c r="G176" s="1"/>
  <c r="BT175"/>
  <c r="BS175"/>
  <c r="BR175"/>
  <c r="BQ175"/>
  <c r="BP175"/>
  <c r="BO175"/>
  <c r="BN175"/>
  <c r="BM175"/>
  <c r="BL175" s="1"/>
  <c r="BK175"/>
  <c r="BJ175"/>
  <c r="BI175"/>
  <c r="BH175"/>
  <c r="BG175"/>
  <c r="BF175"/>
  <c r="BE175"/>
  <c r="BD175"/>
  <c r="BC175"/>
  <c r="BB175"/>
  <c r="BA175" s="1"/>
  <c r="AZ175" s="1"/>
  <c r="AX175"/>
  <c r="AW175"/>
  <c r="AV175"/>
  <c r="AC175"/>
  <c r="H175"/>
  <c r="BT174"/>
  <c r="BS174"/>
  <c r="BR174"/>
  <c r="BQ174"/>
  <c r="BP174"/>
  <c r="BO174"/>
  <c r="BN174"/>
  <c r="BM174"/>
  <c r="BK174"/>
  <c r="BJ174"/>
  <c r="BI174"/>
  <c r="BH174"/>
  <c r="BG174"/>
  <c r="BF174"/>
  <c r="BE174"/>
  <c r="BD174"/>
  <c r="BC174"/>
  <c r="BB174"/>
  <c r="BA174" s="1"/>
  <c r="AX174"/>
  <c r="AW174"/>
  <c r="AV174"/>
  <c r="AC174"/>
  <c r="H174"/>
  <c r="G174"/>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BA172" s="1"/>
  <c r="AX172"/>
  <c r="AW172"/>
  <c r="AV172"/>
  <c r="AC172"/>
  <c r="H172"/>
  <c r="G172"/>
  <c r="BT171"/>
  <c r="BS171"/>
  <c r="BR171"/>
  <c r="BQ171"/>
  <c r="BP171"/>
  <c r="BO171"/>
  <c r="BN171"/>
  <c r="BM171"/>
  <c r="BL171" s="1"/>
  <c r="BK171"/>
  <c r="BJ171"/>
  <c r="BI171"/>
  <c r="BH171"/>
  <c r="BG171"/>
  <c r="BF171"/>
  <c r="BE171"/>
  <c r="BD171"/>
  <c r="BC171"/>
  <c r="BB171"/>
  <c r="BA171"/>
  <c r="AZ171" s="1"/>
  <c r="AX171"/>
  <c r="AW171"/>
  <c r="AV171"/>
  <c r="AC171"/>
  <c r="H171"/>
  <c r="BT170"/>
  <c r="BS170"/>
  <c r="BR170"/>
  <c r="BQ170"/>
  <c r="BP170"/>
  <c r="BO170"/>
  <c r="BN170"/>
  <c r="BM170"/>
  <c r="BK170"/>
  <c r="BJ170"/>
  <c r="BI170"/>
  <c r="BH170"/>
  <c r="BG170"/>
  <c r="BF170"/>
  <c r="BE170"/>
  <c r="BD170"/>
  <c r="BC170"/>
  <c r="BB170"/>
  <c r="BA170" s="1"/>
  <c r="AX170"/>
  <c r="AW170"/>
  <c r="AV170"/>
  <c r="AC170"/>
  <c r="H170"/>
  <c r="G170"/>
  <c r="BT169"/>
  <c r="BS169"/>
  <c r="BR169"/>
  <c r="BQ169"/>
  <c r="BP169"/>
  <c r="BO169"/>
  <c r="BN169"/>
  <c r="BM169"/>
  <c r="BL169"/>
  <c r="BK169"/>
  <c r="BJ169"/>
  <c r="BI169"/>
  <c r="BH169"/>
  <c r="BG169"/>
  <c r="BF169"/>
  <c r="BE169"/>
  <c r="BD169"/>
  <c r="BC169"/>
  <c r="BB169"/>
  <c r="AX169"/>
  <c r="AW169"/>
  <c r="AV169"/>
  <c r="AC169"/>
  <c r="H169"/>
  <c r="G169"/>
  <c r="BT168"/>
  <c r="BS168"/>
  <c r="BR168"/>
  <c r="BQ168"/>
  <c r="BP168"/>
  <c r="BO168"/>
  <c r="BN168"/>
  <c r="BM168"/>
  <c r="BL168" s="1"/>
  <c r="BK168"/>
  <c r="BJ168"/>
  <c r="BI168"/>
  <c r="BH168"/>
  <c r="BG168"/>
  <c r="BF168"/>
  <c r="BE168"/>
  <c r="BD168"/>
  <c r="BC168"/>
  <c r="BB168"/>
  <c r="BA168"/>
  <c r="AX168"/>
  <c r="AW168"/>
  <c r="AV168"/>
  <c r="AC168"/>
  <c r="H168"/>
  <c r="G168" s="1"/>
  <c r="BT167"/>
  <c r="BS167"/>
  <c r="BR167"/>
  <c r="BQ167"/>
  <c r="BP167"/>
  <c r="BO167"/>
  <c r="BN167"/>
  <c r="BM167"/>
  <c r="BL167"/>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A166" s="1"/>
  <c r="BC166"/>
  <c r="BB166"/>
  <c r="AX166"/>
  <c r="AW166"/>
  <c r="AV166"/>
  <c r="AC166"/>
  <c r="H166"/>
  <c r="G166" s="1"/>
  <c r="BT165"/>
  <c r="BS165"/>
  <c r="BR165"/>
  <c r="BQ165"/>
  <c r="BP165"/>
  <c r="BO165"/>
  <c r="BN165"/>
  <c r="BL165" s="1"/>
  <c r="BM165"/>
  <c r="BK165"/>
  <c r="BJ165"/>
  <c r="BI165"/>
  <c r="BH165"/>
  <c r="BG165"/>
  <c r="BF165"/>
  <c r="BE165"/>
  <c r="BD165"/>
  <c r="BC165"/>
  <c r="BB165"/>
  <c r="AX165"/>
  <c r="AW165"/>
  <c r="AV165"/>
  <c r="AC165"/>
  <c r="G165" s="1"/>
  <c r="H165"/>
  <c r="BT164"/>
  <c r="BS164"/>
  <c r="BR164"/>
  <c r="BQ164"/>
  <c r="BP164"/>
  <c r="BO164"/>
  <c r="BL164" s="1"/>
  <c r="BN164"/>
  <c r="BM164"/>
  <c r="BK164"/>
  <c r="BJ164"/>
  <c r="BI164"/>
  <c r="BH164"/>
  <c r="BG164"/>
  <c r="BF164"/>
  <c r="BE164"/>
  <c r="BD164"/>
  <c r="BC164"/>
  <c r="BA164" s="1"/>
  <c r="BB164"/>
  <c r="AX164"/>
  <c r="AW164"/>
  <c r="AV164"/>
  <c r="AC164"/>
  <c r="H164"/>
  <c r="G164"/>
  <c r="BT163"/>
  <c r="BS163"/>
  <c r="BR163"/>
  <c r="BQ163"/>
  <c r="BP163"/>
  <c r="BO163"/>
  <c r="BN163"/>
  <c r="BM163"/>
  <c r="BL163" s="1"/>
  <c r="BK163"/>
  <c r="BJ163"/>
  <c r="BI163"/>
  <c r="BH163"/>
  <c r="BG163"/>
  <c r="BF163"/>
  <c r="BE163"/>
  <c r="BD163"/>
  <c r="BC163"/>
  <c r="BB163"/>
  <c r="BA163"/>
  <c r="AX163"/>
  <c r="AW163"/>
  <c r="AV163"/>
  <c r="AC163"/>
  <c r="H163"/>
  <c r="BT162"/>
  <c r="BS162"/>
  <c r="BR162"/>
  <c r="BQ162"/>
  <c r="BP162"/>
  <c r="BO162"/>
  <c r="BN162"/>
  <c r="BM162"/>
  <c r="BK162"/>
  <c r="BJ162"/>
  <c r="BI162"/>
  <c r="BH162"/>
  <c r="BG162"/>
  <c r="BF162"/>
  <c r="BE162"/>
  <c r="BD162"/>
  <c r="BC162"/>
  <c r="BB162"/>
  <c r="BA162" s="1"/>
  <c r="AX162"/>
  <c r="AW162"/>
  <c r="AV162"/>
  <c r="AC162"/>
  <c r="H162"/>
  <c r="G162" s="1"/>
  <c r="BT161"/>
  <c r="BS161"/>
  <c r="BR161"/>
  <c r="BQ161"/>
  <c r="BP161"/>
  <c r="BO161"/>
  <c r="BN161"/>
  <c r="BM161"/>
  <c r="BL161"/>
  <c r="BK161"/>
  <c r="BJ161"/>
  <c r="BI161"/>
  <c r="BH161"/>
  <c r="BG161"/>
  <c r="BF161"/>
  <c r="BE161"/>
  <c r="BD161"/>
  <c r="BC161"/>
  <c r="BB161"/>
  <c r="AX161"/>
  <c r="AW161"/>
  <c r="AV161"/>
  <c r="AC161"/>
  <c r="H161"/>
  <c r="G161"/>
  <c r="BT160"/>
  <c r="BS160"/>
  <c r="BR160"/>
  <c r="BQ160"/>
  <c r="BP160"/>
  <c r="BO160"/>
  <c r="BN160"/>
  <c r="BM160"/>
  <c r="BL160" s="1"/>
  <c r="BK160"/>
  <c r="BJ160"/>
  <c r="BI160"/>
  <c r="BH160"/>
  <c r="BG160"/>
  <c r="BF160"/>
  <c r="BE160"/>
  <c r="BD160"/>
  <c r="BC160"/>
  <c r="BB160"/>
  <c r="BA160"/>
  <c r="AX160"/>
  <c r="AW160"/>
  <c r="AV160"/>
  <c r="AC160"/>
  <c r="H160"/>
  <c r="G160" s="1"/>
  <c r="BT159"/>
  <c r="BS159"/>
  <c r="BR159"/>
  <c r="BQ159"/>
  <c r="BP159"/>
  <c r="BO159"/>
  <c r="BN159"/>
  <c r="BM159"/>
  <c r="BL159"/>
  <c r="BK159"/>
  <c r="BJ159"/>
  <c r="BI159"/>
  <c r="BH159"/>
  <c r="BG159"/>
  <c r="BF159"/>
  <c r="BE159"/>
  <c r="BD159"/>
  <c r="BC159"/>
  <c r="BB159"/>
  <c r="BA159" s="1"/>
  <c r="AZ159" s="1"/>
  <c r="AX159"/>
  <c r="AW159"/>
  <c r="AV159"/>
  <c r="AC159"/>
  <c r="H159"/>
  <c r="BT158"/>
  <c r="BS158"/>
  <c r="BR158"/>
  <c r="BQ158"/>
  <c r="BP158"/>
  <c r="BO158"/>
  <c r="BN158"/>
  <c r="BM158"/>
  <c r="BK158"/>
  <c r="BJ158"/>
  <c r="BI158"/>
  <c r="BH158"/>
  <c r="BG158"/>
  <c r="BF158"/>
  <c r="BE158"/>
  <c r="BD158"/>
  <c r="BC158"/>
  <c r="BB158"/>
  <c r="BA158"/>
  <c r="AX158"/>
  <c r="AW158"/>
  <c r="AV158"/>
  <c r="AC158"/>
  <c r="G158" s="1"/>
  <c r="H158"/>
  <c r="BT157"/>
  <c r="BS157"/>
  <c r="BR157"/>
  <c r="BQ157"/>
  <c r="BP157"/>
  <c r="BO157"/>
  <c r="BN157"/>
  <c r="BM157"/>
  <c r="BL157" s="1"/>
  <c r="BK157"/>
  <c r="BJ157"/>
  <c r="BI157"/>
  <c r="BH157"/>
  <c r="BG157"/>
  <c r="BF157"/>
  <c r="BE157"/>
  <c r="BD157"/>
  <c r="BC157"/>
  <c r="BB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H156"/>
  <c r="G156" s="1"/>
  <c r="BT155"/>
  <c r="BS155"/>
  <c r="BR155"/>
  <c r="BQ155"/>
  <c r="BP155"/>
  <c r="BO155"/>
  <c r="BN155"/>
  <c r="BM155"/>
  <c r="BL155" s="1"/>
  <c r="BK155"/>
  <c r="BJ155"/>
  <c r="BI155"/>
  <c r="BH155"/>
  <c r="BG155"/>
  <c r="BF155"/>
  <c r="BE155"/>
  <c r="BD155"/>
  <c r="BC155"/>
  <c r="BB155"/>
  <c r="BA155" s="1"/>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L153" s="1"/>
  <c r="BK153"/>
  <c r="BJ153"/>
  <c r="BI153"/>
  <c r="BH153"/>
  <c r="BG153"/>
  <c r="BF153"/>
  <c r="BE153"/>
  <c r="BD153"/>
  <c r="BC153"/>
  <c r="BB153"/>
  <c r="AX153"/>
  <c r="AW153"/>
  <c r="AV153"/>
  <c r="AC153"/>
  <c r="H153"/>
  <c r="G153" s="1"/>
  <c r="BT152"/>
  <c r="BS152"/>
  <c r="BR152"/>
  <c r="BQ152"/>
  <c r="BP152"/>
  <c r="BO152"/>
  <c r="BN152"/>
  <c r="BM152"/>
  <c r="BL152" s="1"/>
  <c r="BK152"/>
  <c r="BJ152"/>
  <c r="BI152"/>
  <c r="BH152"/>
  <c r="BG152"/>
  <c r="BF152"/>
  <c r="BE152"/>
  <c r="BD152"/>
  <c r="BC152"/>
  <c r="BB152"/>
  <c r="BA152" s="1"/>
  <c r="AX152"/>
  <c r="AW152"/>
  <c r="AV152"/>
  <c r="AC152"/>
  <c r="H152"/>
  <c r="G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L150" s="1"/>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BA149" s="1"/>
  <c r="AZ149" s="1"/>
  <c r="AX149"/>
  <c r="AW149"/>
  <c r="AV149"/>
  <c r="AC149"/>
  <c r="H149"/>
  <c r="G149" s="1"/>
  <c r="BT148"/>
  <c r="BS148"/>
  <c r="BR148"/>
  <c r="BQ148"/>
  <c r="BP148"/>
  <c r="BO148"/>
  <c r="BN148"/>
  <c r="BM148"/>
  <c r="BL148" s="1"/>
  <c r="BK148"/>
  <c r="BJ148"/>
  <c r="BI148"/>
  <c r="BH148"/>
  <c r="BG148"/>
  <c r="BF148"/>
  <c r="BE148"/>
  <c r="BD148"/>
  <c r="BC148"/>
  <c r="BB148"/>
  <c r="BA148" s="1"/>
  <c r="AZ148" s="1"/>
  <c r="AX148"/>
  <c r="AW148"/>
  <c r="AV148"/>
  <c r="AC148"/>
  <c r="H148"/>
  <c r="BT147"/>
  <c r="BS147"/>
  <c r="BR147"/>
  <c r="BQ147"/>
  <c r="BP147"/>
  <c r="BO147"/>
  <c r="BN147"/>
  <c r="BM147"/>
  <c r="BK147"/>
  <c r="BJ147"/>
  <c r="BI147"/>
  <c r="BH147"/>
  <c r="BG147"/>
  <c r="BF147"/>
  <c r="BE147"/>
  <c r="BD147"/>
  <c r="BC147"/>
  <c r="BB147"/>
  <c r="BA147" s="1"/>
  <c r="AX147"/>
  <c r="AW147"/>
  <c r="AV147"/>
  <c r="AC147"/>
  <c r="H147"/>
  <c r="G147"/>
  <c r="BT146"/>
  <c r="BS146"/>
  <c r="BR146"/>
  <c r="BQ146"/>
  <c r="BP146"/>
  <c r="BO146"/>
  <c r="BN146"/>
  <c r="BM146"/>
  <c r="BL146" s="1"/>
  <c r="BK146"/>
  <c r="BJ146"/>
  <c r="BI146"/>
  <c r="BH146"/>
  <c r="BG146"/>
  <c r="BF146"/>
  <c r="BE146"/>
  <c r="BD146"/>
  <c r="BC146"/>
  <c r="BB146"/>
  <c r="AX146"/>
  <c r="AW146"/>
  <c r="AV146"/>
  <c r="AC146"/>
  <c r="H146"/>
  <c r="G146" s="1"/>
  <c r="BT145"/>
  <c r="BS145"/>
  <c r="BR145"/>
  <c r="BQ145"/>
  <c r="BP145"/>
  <c r="BO145"/>
  <c r="BN145"/>
  <c r="BL145" s="1"/>
  <c r="BM145"/>
  <c r="BK145"/>
  <c r="BJ145"/>
  <c r="BI145"/>
  <c r="BH145"/>
  <c r="BG145"/>
  <c r="BF145"/>
  <c r="BE145"/>
  <c r="BD145"/>
  <c r="BC145"/>
  <c r="BB145"/>
  <c r="BA145" s="1"/>
  <c r="AX145"/>
  <c r="AW145"/>
  <c r="AV145"/>
  <c r="AC145"/>
  <c r="H145"/>
  <c r="G145"/>
  <c r="BT144"/>
  <c r="BS144"/>
  <c r="BR144"/>
  <c r="BQ144"/>
  <c r="BP144"/>
  <c r="BO144"/>
  <c r="BN144"/>
  <c r="BM144"/>
  <c r="BL144" s="1"/>
  <c r="BK144"/>
  <c r="BJ144"/>
  <c r="BI144"/>
  <c r="BH144"/>
  <c r="BG144"/>
  <c r="BF144"/>
  <c r="BE144"/>
  <c r="BD144"/>
  <c r="BC144"/>
  <c r="BB144"/>
  <c r="BA144"/>
  <c r="AZ144" s="1"/>
  <c r="AX144"/>
  <c r="AW144"/>
  <c r="AV144"/>
  <c r="AC144"/>
  <c r="H144"/>
  <c r="BT143"/>
  <c r="BS143"/>
  <c r="BR143"/>
  <c r="BQ143"/>
  <c r="BP143"/>
  <c r="BO143"/>
  <c r="BN143"/>
  <c r="BM143"/>
  <c r="BK143"/>
  <c r="BJ143"/>
  <c r="BI143"/>
  <c r="BH143"/>
  <c r="BG143"/>
  <c r="BF143"/>
  <c r="BE143"/>
  <c r="BD143"/>
  <c r="BC143"/>
  <c r="BB143"/>
  <c r="BA143" s="1"/>
  <c r="AX143"/>
  <c r="AW143"/>
  <c r="AV143"/>
  <c r="AC143"/>
  <c r="H143"/>
  <c r="G143" s="1"/>
  <c r="BT142"/>
  <c r="BS142"/>
  <c r="BR142"/>
  <c r="BQ142"/>
  <c r="BP142"/>
  <c r="BO142"/>
  <c r="BN142"/>
  <c r="BM142"/>
  <c r="BL142"/>
  <c r="BK142"/>
  <c r="BJ142"/>
  <c r="BI142"/>
  <c r="BH142"/>
  <c r="BG142"/>
  <c r="BF142"/>
  <c r="BE142"/>
  <c r="BD142"/>
  <c r="BC142"/>
  <c r="BB142"/>
  <c r="AX142"/>
  <c r="AW142"/>
  <c r="AV142"/>
  <c r="AC142"/>
  <c r="H142"/>
  <c r="G142"/>
  <c r="BT141"/>
  <c r="BS141"/>
  <c r="BR141"/>
  <c r="BQ141"/>
  <c r="BP141"/>
  <c r="BO141"/>
  <c r="BN141"/>
  <c r="BM141"/>
  <c r="BL141" s="1"/>
  <c r="BK141"/>
  <c r="BJ141"/>
  <c r="BI141"/>
  <c r="BH141"/>
  <c r="BG141"/>
  <c r="BF141"/>
  <c r="BE141"/>
  <c r="BD141"/>
  <c r="BC141"/>
  <c r="BB141"/>
  <c r="BA141"/>
  <c r="AZ141" s="1"/>
  <c r="AX141"/>
  <c r="AW141"/>
  <c r="AV141"/>
  <c r="AC141"/>
  <c r="H141"/>
  <c r="G141" s="1"/>
  <c r="BT140"/>
  <c r="BS140"/>
  <c r="BR140"/>
  <c r="BQ140"/>
  <c r="BP140"/>
  <c r="BO140"/>
  <c r="BN140"/>
  <c r="BM140"/>
  <c r="BL140"/>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BA139" s="1"/>
  <c r="AX139"/>
  <c r="AW139"/>
  <c r="AV139"/>
  <c r="AC139"/>
  <c r="H139"/>
  <c r="G139" s="1"/>
  <c r="BT138"/>
  <c r="BS138"/>
  <c r="BR138"/>
  <c r="BQ138"/>
  <c r="BP138"/>
  <c r="BO138"/>
  <c r="BN138"/>
  <c r="BL138" s="1"/>
  <c r="BM138"/>
  <c r="BK138"/>
  <c r="BJ138"/>
  <c r="BI138"/>
  <c r="BH138"/>
  <c r="BG138"/>
  <c r="BF138"/>
  <c r="BE138"/>
  <c r="BD138"/>
  <c r="BC138"/>
  <c r="BB138"/>
  <c r="AX138"/>
  <c r="AW138"/>
  <c r="AV138"/>
  <c r="AC138"/>
  <c r="G138" s="1"/>
  <c r="H138"/>
  <c r="BT137"/>
  <c r="BS137"/>
  <c r="BR137"/>
  <c r="BQ137"/>
  <c r="BP137"/>
  <c r="BO137"/>
  <c r="BL137" s="1"/>
  <c r="BN137"/>
  <c r="BM137"/>
  <c r="BK137"/>
  <c r="BJ137"/>
  <c r="BI137"/>
  <c r="BH137"/>
  <c r="BG137"/>
  <c r="BF137"/>
  <c r="BE137"/>
  <c r="BD137"/>
  <c r="BC137"/>
  <c r="BA137" s="1"/>
  <c r="BB137"/>
  <c r="AX137"/>
  <c r="AW137"/>
  <c r="AV137"/>
  <c r="AC137"/>
  <c r="H137"/>
  <c r="G137"/>
  <c r="BT136"/>
  <c r="BS136"/>
  <c r="BR136"/>
  <c r="BQ136"/>
  <c r="BP136"/>
  <c r="BO136"/>
  <c r="BN136"/>
  <c r="BM136"/>
  <c r="BL136" s="1"/>
  <c r="BK136"/>
  <c r="BJ136"/>
  <c r="BI136"/>
  <c r="BH136"/>
  <c r="BG136"/>
  <c r="BF136"/>
  <c r="BE136"/>
  <c r="BD136"/>
  <c r="BC136"/>
  <c r="BB136"/>
  <c r="BA136"/>
  <c r="AZ136" s="1"/>
  <c r="AX136"/>
  <c r="AW136"/>
  <c r="AV136"/>
  <c r="AC136"/>
  <c r="H136"/>
  <c r="BT135"/>
  <c r="BS135"/>
  <c r="BR135"/>
  <c r="BQ135"/>
  <c r="BP135"/>
  <c r="BO135"/>
  <c r="BN135"/>
  <c r="BM135"/>
  <c r="BK135"/>
  <c r="BJ135"/>
  <c r="BI135"/>
  <c r="BH135"/>
  <c r="BG135"/>
  <c r="BF135"/>
  <c r="BE135"/>
  <c r="BD135"/>
  <c r="BC135"/>
  <c r="BB135"/>
  <c r="BA135" s="1"/>
  <c r="AX135"/>
  <c r="AW135"/>
  <c r="AV135"/>
  <c r="AC135"/>
  <c r="H135"/>
  <c r="G135" s="1"/>
  <c r="BT134"/>
  <c r="BS134"/>
  <c r="BR134"/>
  <c r="BQ134"/>
  <c r="BP134"/>
  <c r="BO134"/>
  <c r="BN134"/>
  <c r="BM134"/>
  <c r="BL134"/>
  <c r="BK134"/>
  <c r="BJ134"/>
  <c r="BI134"/>
  <c r="BH134"/>
  <c r="BG134"/>
  <c r="BF134"/>
  <c r="BE134"/>
  <c r="BD134"/>
  <c r="BC134"/>
  <c r="BB134"/>
  <c r="AX134"/>
  <c r="AW134"/>
  <c r="AV134"/>
  <c r="AC134"/>
  <c r="H134"/>
  <c r="G134"/>
  <c r="BT133"/>
  <c r="BS133"/>
  <c r="BR133"/>
  <c r="BQ133"/>
  <c r="BP133"/>
  <c r="BO133"/>
  <c r="BN133"/>
  <c r="BM133"/>
  <c r="BL133" s="1"/>
  <c r="BK133"/>
  <c r="BJ133"/>
  <c r="BI133"/>
  <c r="BH133"/>
  <c r="BG133"/>
  <c r="BF133"/>
  <c r="BE133"/>
  <c r="BD133"/>
  <c r="BC133"/>
  <c r="BB133"/>
  <c r="BA133"/>
  <c r="AZ133" s="1"/>
  <c r="AX133"/>
  <c r="AW133"/>
  <c r="AV133"/>
  <c r="AC133"/>
  <c r="H133"/>
  <c r="G133" s="1"/>
  <c r="BT132"/>
  <c r="BS132"/>
  <c r="BR132"/>
  <c r="BQ132"/>
  <c r="BP132"/>
  <c r="BO132"/>
  <c r="BN132"/>
  <c r="BL132" s="1"/>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BA131"/>
  <c r="AX131"/>
  <c r="AW131"/>
  <c r="AV131"/>
  <c r="AC131"/>
  <c r="G131" s="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L129"/>
  <c r="BK129"/>
  <c r="BJ129"/>
  <c r="BI129"/>
  <c r="BH129"/>
  <c r="BG129"/>
  <c r="BF129"/>
  <c r="BE129"/>
  <c r="BD129"/>
  <c r="BC129"/>
  <c r="BB129"/>
  <c r="AX129"/>
  <c r="AW129"/>
  <c r="AV129"/>
  <c r="AC129"/>
  <c r="G129" s="1"/>
  <c r="H129"/>
  <c r="BT128"/>
  <c r="BS128"/>
  <c r="BR128"/>
  <c r="BQ128"/>
  <c r="BP128"/>
  <c r="BO128"/>
  <c r="BN128"/>
  <c r="BM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BA127" s="1"/>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G125" s="1"/>
  <c r="BT124"/>
  <c r="BS124"/>
  <c r="BR124"/>
  <c r="BQ124"/>
  <c r="BP124"/>
  <c r="BO124"/>
  <c r="BL124" s="1"/>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c r="BT122"/>
  <c r="BS122"/>
  <c r="BR122"/>
  <c r="BQ122"/>
  <c r="BP122"/>
  <c r="BO122"/>
  <c r="BN122"/>
  <c r="BM122"/>
  <c r="BL122" s="1"/>
  <c r="BK122"/>
  <c r="BJ122"/>
  <c r="BI122"/>
  <c r="BH122"/>
  <c r="BG122"/>
  <c r="BF122"/>
  <c r="BE122"/>
  <c r="BD122"/>
  <c r="BC122"/>
  <c r="BB122"/>
  <c r="AX122"/>
  <c r="AW122"/>
  <c r="AV122"/>
  <c r="AC122"/>
  <c r="H122"/>
  <c r="G122" s="1"/>
  <c r="BT121"/>
  <c r="BS121"/>
  <c r="BR121"/>
  <c r="BQ121"/>
  <c r="BP121"/>
  <c r="BO121"/>
  <c r="BN121"/>
  <c r="BL121" s="1"/>
  <c r="BM121"/>
  <c r="BK121"/>
  <c r="BJ121"/>
  <c r="BI121"/>
  <c r="BH121"/>
  <c r="BG121"/>
  <c r="BF121"/>
  <c r="BE121"/>
  <c r="BD121"/>
  <c r="BC121"/>
  <c r="BB121"/>
  <c r="BA121" s="1"/>
  <c r="AX121"/>
  <c r="AW121"/>
  <c r="AV121"/>
  <c r="AC121"/>
  <c r="H121"/>
  <c r="G121"/>
  <c r="BT120"/>
  <c r="BS120"/>
  <c r="BR120"/>
  <c r="BQ120"/>
  <c r="BP120"/>
  <c r="BO120"/>
  <c r="BN120"/>
  <c r="BM120"/>
  <c r="BL120"/>
  <c r="BK120"/>
  <c r="BJ120"/>
  <c r="BI120"/>
  <c r="BH120"/>
  <c r="BG120"/>
  <c r="BF120"/>
  <c r="BE120"/>
  <c r="BD120"/>
  <c r="BA120" s="1"/>
  <c r="AZ120" s="1"/>
  <c r="BC120"/>
  <c r="BB120"/>
  <c r="AX120"/>
  <c r="AW120"/>
  <c r="AV120"/>
  <c r="AC120"/>
  <c r="H120"/>
  <c r="BT119"/>
  <c r="BS119"/>
  <c r="BR119"/>
  <c r="BQ119"/>
  <c r="BP119"/>
  <c r="BO119"/>
  <c r="BN119"/>
  <c r="BM119"/>
  <c r="BK119"/>
  <c r="BJ119"/>
  <c r="BI119"/>
  <c r="BH119"/>
  <c r="BG119"/>
  <c r="BF119"/>
  <c r="BE119"/>
  <c r="BD119"/>
  <c r="BC119"/>
  <c r="BB119"/>
  <c r="BA119"/>
  <c r="AX119"/>
  <c r="AW119"/>
  <c r="AV119"/>
  <c r="AC119"/>
  <c r="H119"/>
  <c r="G119" s="1"/>
  <c r="BT118"/>
  <c r="BS118"/>
  <c r="BR118"/>
  <c r="BQ118"/>
  <c r="BP118"/>
  <c r="BO118"/>
  <c r="BN118"/>
  <c r="BL118" s="1"/>
  <c r="BM118"/>
  <c r="BK118"/>
  <c r="BJ118"/>
  <c r="BI118"/>
  <c r="BH118"/>
  <c r="BG118"/>
  <c r="BF118"/>
  <c r="BE118"/>
  <c r="BD118"/>
  <c r="BC118"/>
  <c r="BB118"/>
  <c r="AX118"/>
  <c r="AW118"/>
  <c r="AV118"/>
  <c r="AC118"/>
  <c r="G118" s="1"/>
  <c r="H118"/>
  <c r="BT117"/>
  <c r="BS117"/>
  <c r="BR117"/>
  <c r="BQ117"/>
  <c r="BP117"/>
  <c r="BO117"/>
  <c r="BN117"/>
  <c r="BM117"/>
  <c r="BL117"/>
  <c r="BK117"/>
  <c r="BJ117"/>
  <c r="BI117"/>
  <c r="BH117"/>
  <c r="BG117"/>
  <c r="BF117"/>
  <c r="BE117"/>
  <c r="BD117"/>
  <c r="BC117"/>
  <c r="BA117" s="1"/>
  <c r="AZ117" s="1"/>
  <c r="BB117"/>
  <c r="AX117"/>
  <c r="AW117"/>
  <c r="AV117"/>
  <c r="AC117"/>
  <c r="H117"/>
  <c r="G117" s="1"/>
  <c r="BT116"/>
  <c r="BS116"/>
  <c r="BR116"/>
  <c r="BQ116"/>
  <c r="BP116"/>
  <c r="BO116"/>
  <c r="BN116"/>
  <c r="BL116" s="1"/>
  <c r="BM116"/>
  <c r="BK116"/>
  <c r="BJ116"/>
  <c r="BI116"/>
  <c r="BH116"/>
  <c r="BG116"/>
  <c r="BF116"/>
  <c r="BE116"/>
  <c r="BD116"/>
  <c r="BC116"/>
  <c r="BB116"/>
  <c r="BA116" s="1"/>
  <c r="AX116"/>
  <c r="AW116"/>
  <c r="AV116"/>
  <c r="AC116"/>
  <c r="H116"/>
  <c r="BT115"/>
  <c r="BS115"/>
  <c r="BR115"/>
  <c r="BQ115"/>
  <c r="BP115"/>
  <c r="BO115"/>
  <c r="BN115"/>
  <c r="BM115"/>
  <c r="BK115"/>
  <c r="BJ115"/>
  <c r="BI115"/>
  <c r="BH115"/>
  <c r="BG115"/>
  <c r="BF115"/>
  <c r="BE115"/>
  <c r="BD115"/>
  <c r="BC115"/>
  <c r="BA115" s="1"/>
  <c r="BB115"/>
  <c r="AX115"/>
  <c r="AW115"/>
  <c r="AV115"/>
  <c r="AC115"/>
  <c r="H115"/>
  <c r="G115" s="1"/>
  <c r="BT114"/>
  <c r="BS114"/>
  <c r="BR114"/>
  <c r="BQ114"/>
  <c r="BP114"/>
  <c r="BO114"/>
  <c r="BN114"/>
  <c r="BM114"/>
  <c r="BL114" s="1"/>
  <c r="BK114"/>
  <c r="BJ114"/>
  <c r="BI114"/>
  <c r="BH114"/>
  <c r="BG114"/>
  <c r="BF114"/>
  <c r="BE114"/>
  <c r="BD114"/>
  <c r="BC114"/>
  <c r="BB114"/>
  <c r="AX114"/>
  <c r="AW114"/>
  <c r="AV114"/>
  <c r="AC114"/>
  <c r="H114"/>
  <c r="G114" s="1"/>
  <c r="BT113"/>
  <c r="BS113"/>
  <c r="BR113"/>
  <c r="BQ113"/>
  <c r="BP113"/>
  <c r="BO113"/>
  <c r="BN113"/>
  <c r="BL113" s="1"/>
  <c r="BM113"/>
  <c r="BK113"/>
  <c r="BJ113"/>
  <c r="BI113"/>
  <c r="BH113"/>
  <c r="BG113"/>
  <c r="BF113"/>
  <c r="BE113"/>
  <c r="BD113"/>
  <c r="BC113"/>
  <c r="BB113"/>
  <c r="BA113" s="1"/>
  <c r="AZ113" s="1"/>
  <c r="AX113"/>
  <c r="AW113"/>
  <c r="AV113"/>
  <c r="AC113"/>
  <c r="H113"/>
  <c r="G113" s="1"/>
  <c r="BT296"/>
  <c r="BS296"/>
  <c r="BR296"/>
  <c r="BQ296"/>
  <c r="BP296"/>
  <c r="BO296"/>
  <c r="BN296"/>
  <c r="BM296"/>
  <c r="BL296" s="1"/>
  <c r="BK296"/>
  <c r="BJ296"/>
  <c r="BI296"/>
  <c r="BH296"/>
  <c r="BG296"/>
  <c r="BF296"/>
  <c r="BE296"/>
  <c r="BD296"/>
  <c r="BC296"/>
  <c r="BB296"/>
  <c r="BA296" s="1"/>
  <c r="AX296"/>
  <c r="AW296"/>
  <c r="AV296"/>
  <c r="AC296"/>
  <c r="H296"/>
  <c r="G296"/>
  <c r="BT295"/>
  <c r="BS295"/>
  <c r="BR295"/>
  <c r="BQ295"/>
  <c r="BP295"/>
  <c r="BO295"/>
  <c r="BN295"/>
  <c r="BM295"/>
  <c r="BL295" s="1"/>
  <c r="BK295"/>
  <c r="BJ295"/>
  <c r="BI295"/>
  <c r="BH295"/>
  <c r="BG295"/>
  <c r="BF295"/>
  <c r="BE295"/>
  <c r="BD295"/>
  <c r="BC295"/>
  <c r="BB295"/>
  <c r="BA295"/>
  <c r="AX295"/>
  <c r="AW295"/>
  <c r="AV295"/>
  <c r="AC295"/>
  <c r="H295"/>
  <c r="G295" s="1"/>
  <c r="BT294"/>
  <c r="BS294"/>
  <c r="BR294"/>
  <c r="BQ294"/>
  <c r="BP294"/>
  <c r="BO294"/>
  <c r="BN294"/>
  <c r="BL294" s="1"/>
  <c r="BM294"/>
  <c r="BK294"/>
  <c r="BJ294"/>
  <c r="BI294"/>
  <c r="BH294"/>
  <c r="BG294"/>
  <c r="BF294"/>
  <c r="BE294"/>
  <c r="BD294"/>
  <c r="BC294"/>
  <c r="BB294"/>
  <c r="BA294" s="1"/>
  <c r="AX294"/>
  <c r="AW294"/>
  <c r="AV294"/>
  <c r="AC294"/>
  <c r="H294"/>
  <c r="G294" s="1"/>
  <c r="BT293"/>
  <c r="BS293"/>
  <c r="BR293"/>
  <c r="BQ293"/>
  <c r="BP293"/>
  <c r="BO293"/>
  <c r="BN293"/>
  <c r="BM293"/>
  <c r="BL293" s="1"/>
  <c r="BK293"/>
  <c r="BJ293"/>
  <c r="BI293"/>
  <c r="BH293"/>
  <c r="BG293"/>
  <c r="BF293"/>
  <c r="BE293"/>
  <c r="BD293"/>
  <c r="BC293"/>
  <c r="BB293"/>
  <c r="BA293" s="1"/>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L291" s="1"/>
  <c r="BN291"/>
  <c r="BM291"/>
  <c r="BK291"/>
  <c r="BJ291"/>
  <c r="BI291"/>
  <c r="BH291"/>
  <c r="BG291"/>
  <c r="BF291"/>
  <c r="BE291"/>
  <c r="BD291"/>
  <c r="BC291"/>
  <c r="BB291"/>
  <c r="BA291" s="1"/>
  <c r="AZ291" s="1"/>
  <c r="AX291"/>
  <c r="AW291"/>
  <c r="AV291"/>
  <c r="AC291"/>
  <c r="H291"/>
  <c r="G291" s="1"/>
  <c r="BT290"/>
  <c r="BS290"/>
  <c r="BR290"/>
  <c r="BQ290"/>
  <c r="BP290"/>
  <c r="BO290"/>
  <c r="BN290"/>
  <c r="BM290"/>
  <c r="BL290" s="1"/>
  <c r="BK290"/>
  <c r="BJ290"/>
  <c r="BI290"/>
  <c r="BH290"/>
  <c r="BG290"/>
  <c r="BF290"/>
  <c r="BE290"/>
  <c r="BD290"/>
  <c r="BC290"/>
  <c r="BB290"/>
  <c r="BA290" s="1"/>
  <c r="AX290"/>
  <c r="AW290"/>
  <c r="AV290"/>
  <c r="AC290"/>
  <c r="H290"/>
  <c r="G290"/>
  <c r="BT289"/>
  <c r="BS289"/>
  <c r="BR289"/>
  <c r="BQ289"/>
  <c r="BP289"/>
  <c r="BO289"/>
  <c r="BN289"/>
  <c r="BM289"/>
  <c r="BL289"/>
  <c r="BK289"/>
  <c r="BJ289"/>
  <c r="BI289"/>
  <c r="BH289"/>
  <c r="BG289"/>
  <c r="BF289"/>
  <c r="BE289"/>
  <c r="BD289"/>
  <c r="BA289" s="1"/>
  <c r="BC289"/>
  <c r="BB289"/>
  <c r="AX289"/>
  <c r="AW289"/>
  <c r="AV289"/>
  <c r="AC289"/>
  <c r="H289"/>
  <c r="G289" s="1"/>
  <c r="BT288"/>
  <c r="BS288"/>
  <c r="BR288"/>
  <c r="BQ288"/>
  <c r="BP288"/>
  <c r="BO288"/>
  <c r="BN288"/>
  <c r="BM288"/>
  <c r="BL288" s="1"/>
  <c r="BK288"/>
  <c r="BJ288"/>
  <c r="BI288"/>
  <c r="BH288"/>
  <c r="BG288"/>
  <c r="BF288"/>
  <c r="BE288"/>
  <c r="BD288"/>
  <c r="BC288"/>
  <c r="BB288"/>
  <c r="BA288" s="1"/>
  <c r="AX288"/>
  <c r="AW288"/>
  <c r="AV288"/>
  <c r="AC288"/>
  <c r="H288"/>
  <c r="G288"/>
  <c r="BT287"/>
  <c r="BS287"/>
  <c r="BR287"/>
  <c r="BQ287"/>
  <c r="BP287"/>
  <c r="BO287"/>
  <c r="BN287"/>
  <c r="BM287"/>
  <c r="BL287" s="1"/>
  <c r="BK287"/>
  <c r="BJ287"/>
  <c r="BI287"/>
  <c r="BH287"/>
  <c r="BG287"/>
  <c r="BF287"/>
  <c r="BE287"/>
  <c r="BD287"/>
  <c r="BC287"/>
  <c r="BB287"/>
  <c r="BA287"/>
  <c r="AZ287" s="1"/>
  <c r="AX287"/>
  <c r="AW287"/>
  <c r="AV287"/>
  <c r="AC287"/>
  <c r="H287"/>
  <c r="G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L285" s="1"/>
  <c r="BK285"/>
  <c r="BJ285"/>
  <c r="BI285"/>
  <c r="BH285"/>
  <c r="BG285"/>
  <c r="BF285"/>
  <c r="BE285"/>
  <c r="BD285"/>
  <c r="BC285"/>
  <c r="BB285"/>
  <c r="BA285" s="1"/>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L283" s="1"/>
  <c r="BN283"/>
  <c r="BM283"/>
  <c r="BK283"/>
  <c r="BJ283"/>
  <c r="BI283"/>
  <c r="BH283"/>
  <c r="BG283"/>
  <c r="BF283"/>
  <c r="BE283"/>
  <c r="BD283"/>
  <c r="BC283"/>
  <c r="BB283"/>
  <c r="BA283" s="1"/>
  <c r="AZ283" s="1"/>
  <c r="AX283"/>
  <c r="AW283"/>
  <c r="AV283"/>
  <c r="AC283"/>
  <c r="H283"/>
  <c r="G283" s="1"/>
  <c r="BT282"/>
  <c r="BS282"/>
  <c r="BR282"/>
  <c r="BQ282"/>
  <c r="BP282"/>
  <c r="BO282"/>
  <c r="BN282"/>
  <c r="BM282"/>
  <c r="BL282" s="1"/>
  <c r="BK282"/>
  <c r="BJ282"/>
  <c r="BI282"/>
  <c r="BH282"/>
  <c r="BG282"/>
  <c r="BF282"/>
  <c r="BE282"/>
  <c r="BD282"/>
  <c r="BC282"/>
  <c r="BB282"/>
  <c r="BA282" s="1"/>
  <c r="AX282"/>
  <c r="AW282"/>
  <c r="AV282"/>
  <c r="AC282"/>
  <c r="H282"/>
  <c r="G282"/>
  <c r="BT281"/>
  <c r="BS281"/>
  <c r="BR281"/>
  <c r="BQ281"/>
  <c r="BP281"/>
  <c r="BO281"/>
  <c r="BN281"/>
  <c r="BM281"/>
  <c r="BL281"/>
  <c r="BK281"/>
  <c r="BJ281"/>
  <c r="BI281"/>
  <c r="BH281"/>
  <c r="BG281"/>
  <c r="BF281"/>
  <c r="BE281"/>
  <c r="BD281"/>
  <c r="BA281" s="1"/>
  <c r="BC281"/>
  <c r="BB281"/>
  <c r="AX281"/>
  <c r="AW281"/>
  <c r="AV281"/>
  <c r="AC281"/>
  <c r="H281"/>
  <c r="G281" s="1"/>
  <c r="BT280"/>
  <c r="BS280"/>
  <c r="BR280"/>
  <c r="BQ280"/>
  <c r="BP280"/>
  <c r="BO280"/>
  <c r="BN280"/>
  <c r="BM280"/>
  <c r="BL280" s="1"/>
  <c r="BK280"/>
  <c r="BJ280"/>
  <c r="BI280"/>
  <c r="BH280"/>
  <c r="BG280"/>
  <c r="BF280"/>
  <c r="BE280"/>
  <c r="BD280"/>
  <c r="BC280"/>
  <c r="BB280"/>
  <c r="BA280" s="1"/>
  <c r="AX280"/>
  <c r="AW280"/>
  <c r="AV280"/>
  <c r="AC280"/>
  <c r="H280"/>
  <c r="G280"/>
  <c r="BT279"/>
  <c r="BS279"/>
  <c r="BR279"/>
  <c r="BQ279"/>
  <c r="BP279"/>
  <c r="BO279"/>
  <c r="BN279"/>
  <c r="BM279"/>
  <c r="BL279" s="1"/>
  <c r="BK279"/>
  <c r="BJ279"/>
  <c r="BI279"/>
  <c r="BH279"/>
  <c r="BG279"/>
  <c r="BF279"/>
  <c r="BE279"/>
  <c r="BD279"/>
  <c r="BC279"/>
  <c r="BB279"/>
  <c r="BA279"/>
  <c r="AZ279" s="1"/>
  <c r="AX279"/>
  <c r="AW279"/>
  <c r="AV279"/>
  <c r="AC279"/>
  <c r="H279"/>
  <c r="G279"/>
  <c r="BT278"/>
  <c r="BS278"/>
  <c r="BR278"/>
  <c r="BQ278"/>
  <c r="BP278"/>
  <c r="BO278"/>
  <c r="BN278"/>
  <c r="BM278"/>
  <c r="BL278"/>
  <c r="BK278"/>
  <c r="BJ278"/>
  <c r="BI278"/>
  <c r="BH278"/>
  <c r="BG278"/>
  <c r="BF278"/>
  <c r="BE278"/>
  <c r="BD278"/>
  <c r="BA278" s="1"/>
  <c r="BC278"/>
  <c r="BB278"/>
  <c r="AX278"/>
  <c r="AW278"/>
  <c r="AV278"/>
  <c r="AC278"/>
  <c r="H278"/>
  <c r="G278" s="1"/>
  <c r="BT277"/>
  <c r="BS277"/>
  <c r="BR277"/>
  <c r="BQ277"/>
  <c r="BP277"/>
  <c r="BO277"/>
  <c r="BN277"/>
  <c r="BM277"/>
  <c r="BL277" s="1"/>
  <c r="BK277"/>
  <c r="BJ277"/>
  <c r="BI277"/>
  <c r="BH277"/>
  <c r="BG277"/>
  <c r="BF277"/>
  <c r="BE277"/>
  <c r="BD277"/>
  <c r="BC277"/>
  <c r="BB277"/>
  <c r="BA277" s="1"/>
  <c r="AZ277" s="1"/>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G275" s="1"/>
  <c r="BT274"/>
  <c r="BS274"/>
  <c r="BR274"/>
  <c r="BQ274"/>
  <c r="BP274"/>
  <c r="BO274"/>
  <c r="BN274"/>
  <c r="BM274"/>
  <c r="BL274" s="1"/>
  <c r="BK274"/>
  <c r="BJ274"/>
  <c r="BI274"/>
  <c r="BH274"/>
  <c r="BG274"/>
  <c r="BF274"/>
  <c r="BE274"/>
  <c r="BD274"/>
  <c r="BC274"/>
  <c r="BB274"/>
  <c r="BA274" s="1"/>
  <c r="AX274"/>
  <c r="AW274"/>
  <c r="AV274"/>
  <c r="AC274"/>
  <c r="H274"/>
  <c r="G274"/>
  <c r="BT273"/>
  <c r="BS273"/>
  <c r="BR273"/>
  <c r="BQ273"/>
  <c r="BP273"/>
  <c r="BO273"/>
  <c r="BN273"/>
  <c r="BM273"/>
  <c r="BL273"/>
  <c r="BK273"/>
  <c r="BJ273"/>
  <c r="BI273"/>
  <c r="BH273"/>
  <c r="BG273"/>
  <c r="BF273"/>
  <c r="BE273"/>
  <c r="BD273"/>
  <c r="BA273" s="1"/>
  <c r="BC273"/>
  <c r="BB273"/>
  <c r="AX273"/>
  <c r="AW273"/>
  <c r="AV273"/>
  <c r="AC273"/>
  <c r="H273"/>
  <c r="G273" s="1"/>
  <c r="BT272"/>
  <c r="BS272"/>
  <c r="BR272"/>
  <c r="BQ272"/>
  <c r="BP272"/>
  <c r="BO272"/>
  <c r="BN272"/>
  <c r="BM272"/>
  <c r="BK272"/>
  <c r="BJ272"/>
  <c r="BI272"/>
  <c r="BH272"/>
  <c r="BG272"/>
  <c r="BF272"/>
  <c r="BE272"/>
  <c r="BD272"/>
  <c r="BC272"/>
  <c r="BB272"/>
  <c r="BA272" s="1"/>
  <c r="AX272"/>
  <c r="AW272"/>
  <c r="AV272"/>
  <c r="AC272"/>
  <c r="H272"/>
  <c r="G272"/>
  <c r="BT271"/>
  <c r="BS271"/>
  <c r="BR271"/>
  <c r="BQ271"/>
  <c r="BP271"/>
  <c r="BO271"/>
  <c r="BN271"/>
  <c r="BM271"/>
  <c r="BL271" s="1"/>
  <c r="BK271"/>
  <c r="BJ271"/>
  <c r="BI271"/>
  <c r="BH271"/>
  <c r="BG271"/>
  <c r="BF271"/>
  <c r="BE271"/>
  <c r="BD271"/>
  <c r="BC271"/>
  <c r="BB271"/>
  <c r="BA271"/>
  <c r="AZ271" s="1"/>
  <c r="AX271"/>
  <c r="AW271"/>
  <c r="AV271"/>
  <c r="AC271"/>
  <c r="H271"/>
  <c r="G271"/>
  <c r="BT270"/>
  <c r="BS270"/>
  <c r="BR270"/>
  <c r="BQ270"/>
  <c r="BP270"/>
  <c r="BO270"/>
  <c r="BN270"/>
  <c r="BM270"/>
  <c r="BL270"/>
  <c r="BK270"/>
  <c r="BJ270"/>
  <c r="BI270"/>
  <c r="BH270"/>
  <c r="BG270"/>
  <c r="BF270"/>
  <c r="BE270"/>
  <c r="BD270"/>
  <c r="BA270" s="1"/>
  <c r="BC270"/>
  <c r="BB270"/>
  <c r="AX270"/>
  <c r="AW270"/>
  <c r="AV270"/>
  <c r="AC270"/>
  <c r="H270"/>
  <c r="G270" s="1"/>
  <c r="BT269"/>
  <c r="BS269"/>
  <c r="BR269"/>
  <c r="BQ269"/>
  <c r="BP269"/>
  <c r="BO269"/>
  <c r="BN269"/>
  <c r="BM269"/>
  <c r="BL269" s="1"/>
  <c r="BK269"/>
  <c r="BJ269"/>
  <c r="BI269"/>
  <c r="BH269"/>
  <c r="BG269"/>
  <c r="BF269"/>
  <c r="BE269"/>
  <c r="BD269"/>
  <c r="BC269"/>
  <c r="BB269"/>
  <c r="BA269" s="1"/>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L267" s="1"/>
  <c r="BN267"/>
  <c r="BM267"/>
  <c r="BK267"/>
  <c r="BJ267"/>
  <c r="BI267"/>
  <c r="BH267"/>
  <c r="BG267"/>
  <c r="BF267"/>
  <c r="BE267"/>
  <c r="BD267"/>
  <c r="BC267"/>
  <c r="BB267"/>
  <c r="BA267" s="1"/>
  <c r="AZ267" s="1"/>
  <c r="AX267"/>
  <c r="AW267"/>
  <c r="AV267"/>
  <c r="AC267"/>
  <c r="H267"/>
  <c r="G267" s="1"/>
  <c r="BT266"/>
  <c r="BS266"/>
  <c r="BR266"/>
  <c r="BQ266"/>
  <c r="BP266"/>
  <c r="BO266"/>
  <c r="BN266"/>
  <c r="BM266"/>
  <c r="BL266" s="1"/>
  <c r="BK266"/>
  <c r="BJ266"/>
  <c r="BI266"/>
  <c r="BH266"/>
  <c r="BG266"/>
  <c r="BF266"/>
  <c r="BE266"/>
  <c r="BD266"/>
  <c r="BC266"/>
  <c r="BB266"/>
  <c r="BA266" s="1"/>
  <c r="AX266"/>
  <c r="AW266"/>
  <c r="AV266"/>
  <c r="AC266"/>
  <c r="H266"/>
  <c r="G266"/>
  <c r="BT265"/>
  <c r="BS265"/>
  <c r="BR265"/>
  <c r="BQ265"/>
  <c r="BP265"/>
  <c r="BO265"/>
  <c r="BN265"/>
  <c r="BM265"/>
  <c r="BL265" s="1"/>
  <c r="BK265"/>
  <c r="BJ265"/>
  <c r="BI265"/>
  <c r="BH265"/>
  <c r="BG265"/>
  <c r="BF265"/>
  <c r="BE265"/>
  <c r="BD265"/>
  <c r="BC265"/>
  <c r="BB265"/>
  <c r="BA265"/>
  <c r="AX265"/>
  <c r="AW265"/>
  <c r="AV265"/>
  <c r="AC265"/>
  <c r="H265"/>
  <c r="BT264"/>
  <c r="BS264"/>
  <c r="BR264"/>
  <c r="BQ264"/>
  <c r="BP264"/>
  <c r="BO264"/>
  <c r="BL264" s="1"/>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BA263" s="1"/>
  <c r="AX263"/>
  <c r="AW263"/>
  <c r="AV263"/>
  <c r="AC263"/>
  <c r="H263"/>
  <c r="G263"/>
  <c r="BT262"/>
  <c r="BS262"/>
  <c r="BR262"/>
  <c r="BQ262"/>
  <c r="BP262"/>
  <c r="BO262"/>
  <c r="BN262"/>
  <c r="BM262"/>
  <c r="BL262"/>
  <c r="BK262"/>
  <c r="BJ262"/>
  <c r="BI262"/>
  <c r="BH262"/>
  <c r="BG262"/>
  <c r="BF262"/>
  <c r="BE262"/>
  <c r="BD262"/>
  <c r="BA262" s="1"/>
  <c r="BC262"/>
  <c r="BB262"/>
  <c r="AZ262"/>
  <c r="AX262"/>
  <c r="AW262"/>
  <c r="AV262"/>
  <c r="AC262"/>
  <c r="H262"/>
  <c r="BT261"/>
  <c r="BS261"/>
  <c r="BR261"/>
  <c r="BQ261"/>
  <c r="BP261"/>
  <c r="BO261"/>
  <c r="BL261" s="1"/>
  <c r="BN261"/>
  <c r="BM261"/>
  <c r="BK261"/>
  <c r="BJ261"/>
  <c r="BI261"/>
  <c r="BH261"/>
  <c r="BG261"/>
  <c r="BF261"/>
  <c r="BE261"/>
  <c r="BD261"/>
  <c r="BC261"/>
  <c r="BB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BT259"/>
  <c r="BS259"/>
  <c r="BR259"/>
  <c r="BQ259"/>
  <c r="BP259"/>
  <c r="BO259"/>
  <c r="BL259" s="1"/>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BA258" s="1"/>
  <c r="AX258"/>
  <c r="AW258"/>
  <c r="AV258"/>
  <c r="AC258"/>
  <c r="H258"/>
  <c r="G258"/>
  <c r="BT257"/>
  <c r="BS257"/>
  <c r="BR257"/>
  <c r="BQ257"/>
  <c r="BP257"/>
  <c r="BO257"/>
  <c r="BN257"/>
  <c r="BM257"/>
  <c r="BL257" s="1"/>
  <c r="BK257"/>
  <c r="BJ257"/>
  <c r="BI257"/>
  <c r="BH257"/>
  <c r="BG257"/>
  <c r="BF257"/>
  <c r="BE257"/>
  <c r="BD257"/>
  <c r="BC257"/>
  <c r="BB257"/>
  <c r="BA257"/>
  <c r="AX257"/>
  <c r="AW257"/>
  <c r="AV257"/>
  <c r="AC257"/>
  <c r="H257"/>
  <c r="G257" s="1"/>
  <c r="BT256"/>
  <c r="BS256"/>
  <c r="BR256"/>
  <c r="BQ256"/>
  <c r="BP256"/>
  <c r="BO256"/>
  <c r="BL256" s="1"/>
  <c r="BN256"/>
  <c r="BM256"/>
  <c r="BK256"/>
  <c r="BJ256"/>
  <c r="BI256"/>
  <c r="BH256"/>
  <c r="BG256"/>
  <c r="BF256"/>
  <c r="BE256"/>
  <c r="BD256"/>
  <c r="BC256"/>
  <c r="BB256"/>
  <c r="BA256" s="1"/>
  <c r="AZ256" s="1"/>
  <c r="AX256"/>
  <c r="AW256"/>
  <c r="AV256"/>
  <c r="AC256"/>
  <c r="H256"/>
  <c r="G256" s="1"/>
  <c r="BT255"/>
  <c r="BS255"/>
  <c r="BR255"/>
  <c r="BQ255"/>
  <c r="BP255"/>
  <c r="BO255"/>
  <c r="BN255"/>
  <c r="BM255"/>
  <c r="BK255"/>
  <c r="BJ255"/>
  <c r="BI255"/>
  <c r="BH255"/>
  <c r="BG255"/>
  <c r="BF255"/>
  <c r="BE255"/>
  <c r="BD255"/>
  <c r="BC255"/>
  <c r="BB255"/>
  <c r="BA255" s="1"/>
  <c r="AX255"/>
  <c r="AW255"/>
  <c r="AV255"/>
  <c r="AC255"/>
  <c r="H255"/>
  <c r="G255"/>
  <c r="BT254"/>
  <c r="BS254"/>
  <c r="BR254"/>
  <c r="BQ254"/>
  <c r="BP254"/>
  <c r="BO254"/>
  <c r="BN254"/>
  <c r="BM254"/>
  <c r="BL254"/>
  <c r="BK254"/>
  <c r="BJ254"/>
  <c r="BI254"/>
  <c r="BH254"/>
  <c r="BG254"/>
  <c r="BF254"/>
  <c r="BE254"/>
  <c r="BD254"/>
  <c r="BA254" s="1"/>
  <c r="AZ254" s="1"/>
  <c r="BC254"/>
  <c r="BB254"/>
  <c r="AX254"/>
  <c r="AW254"/>
  <c r="AV254"/>
  <c r="AC254"/>
  <c r="H254"/>
  <c r="G254" s="1"/>
  <c r="BT253"/>
  <c r="BS253"/>
  <c r="BR253"/>
  <c r="BQ253"/>
  <c r="BP253"/>
  <c r="BO253"/>
  <c r="BL253" s="1"/>
  <c r="BN253"/>
  <c r="BM253"/>
  <c r="BK253"/>
  <c r="BJ253"/>
  <c r="BI253"/>
  <c r="BH253"/>
  <c r="BG253"/>
  <c r="BF253"/>
  <c r="BE253"/>
  <c r="BD253"/>
  <c r="BC253"/>
  <c r="BB253"/>
  <c r="BA253" s="1"/>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L251" s="1"/>
  <c r="BN251"/>
  <c r="BM251"/>
  <c r="BK251"/>
  <c r="BJ251"/>
  <c r="BI251"/>
  <c r="BH251"/>
  <c r="BG251"/>
  <c r="BF251"/>
  <c r="BE251"/>
  <c r="BD251"/>
  <c r="BC251"/>
  <c r="BB251"/>
  <c r="BA251" s="1"/>
  <c r="AZ251" s="1"/>
  <c r="AX251"/>
  <c r="AW251"/>
  <c r="AV251"/>
  <c r="AC251"/>
  <c r="H251"/>
  <c r="G251" s="1"/>
  <c r="BT250"/>
  <c r="BS250"/>
  <c r="BR250"/>
  <c r="BQ250"/>
  <c r="BP250"/>
  <c r="BO250"/>
  <c r="BN250"/>
  <c r="BM250"/>
  <c r="BL250" s="1"/>
  <c r="BK250"/>
  <c r="BJ250"/>
  <c r="BI250"/>
  <c r="BH250"/>
  <c r="BG250"/>
  <c r="BF250"/>
  <c r="BE250"/>
  <c r="BD250"/>
  <c r="BC250"/>
  <c r="BB250"/>
  <c r="BA250" s="1"/>
  <c r="AX250"/>
  <c r="AW250"/>
  <c r="AV250"/>
  <c r="AC250"/>
  <c r="H250"/>
  <c r="G250"/>
  <c r="BT249"/>
  <c r="BS249"/>
  <c r="BR249"/>
  <c r="BQ249"/>
  <c r="BP249"/>
  <c r="BO249"/>
  <c r="BN249"/>
  <c r="BM249"/>
  <c r="BL249" s="1"/>
  <c r="BK249"/>
  <c r="BJ249"/>
  <c r="BI249"/>
  <c r="BH249"/>
  <c r="BG249"/>
  <c r="BF249"/>
  <c r="BE249"/>
  <c r="BD249"/>
  <c r="BC249"/>
  <c r="BB249"/>
  <c r="BA249"/>
  <c r="AX249"/>
  <c r="AW249"/>
  <c r="AV249"/>
  <c r="AC249"/>
  <c r="H249"/>
  <c r="BT248"/>
  <c r="BS248"/>
  <c r="BR248"/>
  <c r="BQ248"/>
  <c r="BP248"/>
  <c r="BO248"/>
  <c r="BL248" s="1"/>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BA247" s="1"/>
  <c r="AX247"/>
  <c r="AW247"/>
  <c r="AV247"/>
  <c r="AC247"/>
  <c r="H247"/>
  <c r="G247"/>
  <c r="BT246"/>
  <c r="BS246"/>
  <c r="BR246"/>
  <c r="BQ246"/>
  <c r="BP246"/>
  <c r="BO246"/>
  <c r="BN246"/>
  <c r="BM246"/>
  <c r="BL246"/>
  <c r="BK246"/>
  <c r="BJ246"/>
  <c r="BI246"/>
  <c r="BH246"/>
  <c r="BG246"/>
  <c r="BF246"/>
  <c r="BE246"/>
  <c r="BD246"/>
  <c r="BA246" s="1"/>
  <c r="BC246"/>
  <c r="BB246"/>
  <c r="AZ246"/>
  <c r="AX246"/>
  <c r="AW246"/>
  <c r="AV246"/>
  <c r="AC246"/>
  <c r="H246"/>
  <c r="BT245"/>
  <c r="BS245"/>
  <c r="BR245"/>
  <c r="BQ245"/>
  <c r="BP245"/>
  <c r="BO245"/>
  <c r="BL245" s="1"/>
  <c r="BN245"/>
  <c r="BM245"/>
  <c r="BK245"/>
  <c r="BJ245"/>
  <c r="BI245"/>
  <c r="BH245"/>
  <c r="BG245"/>
  <c r="BF245"/>
  <c r="BE245"/>
  <c r="BD245"/>
  <c r="BC245"/>
  <c r="BB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BT243"/>
  <c r="BS243"/>
  <c r="BR243"/>
  <c r="BQ243"/>
  <c r="BP243"/>
  <c r="BO243"/>
  <c r="BL243" s="1"/>
  <c r="BN243"/>
  <c r="BM243"/>
  <c r="BK243"/>
  <c r="BJ243"/>
  <c r="BI243"/>
  <c r="BH243"/>
  <c r="BG243"/>
  <c r="BF243"/>
  <c r="BE243"/>
  <c r="BD243"/>
  <c r="BC243"/>
  <c r="BB243"/>
  <c r="AX243"/>
  <c r="AW243"/>
  <c r="AV243"/>
  <c r="AC243"/>
  <c r="H243"/>
  <c r="G243" s="1"/>
  <c r="BT242"/>
  <c r="BS242"/>
  <c r="BR242"/>
  <c r="BQ242"/>
  <c r="BP242"/>
  <c r="BO242"/>
  <c r="BN242"/>
  <c r="BM242"/>
  <c r="BL242" s="1"/>
  <c r="BK242"/>
  <c r="BJ242"/>
  <c r="BI242"/>
  <c r="BH242"/>
  <c r="BG242"/>
  <c r="BF242"/>
  <c r="BE242"/>
  <c r="BD242"/>
  <c r="BC242"/>
  <c r="BB242"/>
  <c r="BA242" s="1"/>
  <c r="AX242"/>
  <c r="AW242"/>
  <c r="AV242"/>
  <c r="AC242"/>
  <c r="H242"/>
  <c r="G242"/>
  <c r="BT241"/>
  <c r="BS241"/>
  <c r="BR241"/>
  <c r="BQ241"/>
  <c r="BP241"/>
  <c r="BO241"/>
  <c r="BN241"/>
  <c r="BM241"/>
  <c r="BL241" s="1"/>
  <c r="BK241"/>
  <c r="BJ241"/>
  <c r="BI241"/>
  <c r="BH241"/>
  <c r="BG241"/>
  <c r="BF241"/>
  <c r="BE241"/>
  <c r="BD241"/>
  <c r="BC241"/>
  <c r="BB241"/>
  <c r="BA241"/>
  <c r="AX241"/>
  <c r="AW241"/>
  <c r="AV241"/>
  <c r="AC241"/>
  <c r="H241"/>
  <c r="G241" s="1"/>
  <c r="BT240"/>
  <c r="BS240"/>
  <c r="BR240"/>
  <c r="BQ240"/>
  <c r="BP240"/>
  <c r="BO240"/>
  <c r="BL240" s="1"/>
  <c r="BN240"/>
  <c r="BM240"/>
  <c r="BK240"/>
  <c r="BJ240"/>
  <c r="BI240"/>
  <c r="BH240"/>
  <c r="BG240"/>
  <c r="BF240"/>
  <c r="BE240"/>
  <c r="BD240"/>
  <c r="BC240"/>
  <c r="BB240"/>
  <c r="BA240" s="1"/>
  <c r="AZ240" s="1"/>
  <c r="AX240"/>
  <c r="AW240"/>
  <c r="AV240"/>
  <c r="AC240"/>
  <c r="H240"/>
  <c r="G240" s="1"/>
  <c r="BT239"/>
  <c r="BS239"/>
  <c r="BR239"/>
  <c r="BQ239"/>
  <c r="BP239"/>
  <c r="BO239"/>
  <c r="BN239"/>
  <c r="BM239"/>
  <c r="BK239"/>
  <c r="BJ239"/>
  <c r="BI239"/>
  <c r="BH239"/>
  <c r="BG239"/>
  <c r="BF239"/>
  <c r="BE239"/>
  <c r="BD239"/>
  <c r="BC239"/>
  <c r="BB239"/>
  <c r="BA239" s="1"/>
  <c r="AX239"/>
  <c r="AW239"/>
  <c r="AV239"/>
  <c r="AC239"/>
  <c r="H239"/>
  <c r="G239"/>
  <c r="BT238"/>
  <c r="BS238"/>
  <c r="BR238"/>
  <c r="BQ238"/>
  <c r="BP238"/>
  <c r="BO238"/>
  <c r="BN238"/>
  <c r="BM238"/>
  <c r="BL238"/>
  <c r="BK238"/>
  <c r="BJ238"/>
  <c r="BI238"/>
  <c r="BH238"/>
  <c r="BG238"/>
  <c r="BF238"/>
  <c r="BE238"/>
  <c r="BD238"/>
  <c r="BA238" s="1"/>
  <c r="AZ238" s="1"/>
  <c r="BC238"/>
  <c r="BB238"/>
  <c r="AX238"/>
  <c r="AW238"/>
  <c r="AV238"/>
  <c r="AC238"/>
  <c r="H238"/>
  <c r="G238" s="1"/>
  <c r="BT237"/>
  <c r="BS237"/>
  <c r="BR237"/>
  <c r="BQ237"/>
  <c r="BP237"/>
  <c r="BO237"/>
  <c r="BL237" s="1"/>
  <c r="BN237"/>
  <c r="BM237"/>
  <c r="BK237"/>
  <c r="BJ237"/>
  <c r="BI237"/>
  <c r="BH237"/>
  <c r="BG237"/>
  <c r="BF237"/>
  <c r="BE237"/>
  <c r="BD237"/>
  <c r="BC237"/>
  <c r="BB237"/>
  <c r="BA237" s="1"/>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L235" s="1"/>
  <c r="BN235"/>
  <c r="BM235"/>
  <c r="BK235"/>
  <c r="BJ235"/>
  <c r="BI235"/>
  <c r="BH235"/>
  <c r="BG235"/>
  <c r="BF235"/>
  <c r="BE235"/>
  <c r="BD235"/>
  <c r="BC235"/>
  <c r="BB235"/>
  <c r="BA235" s="1"/>
  <c r="AZ235" s="1"/>
  <c r="AX235"/>
  <c r="AW235"/>
  <c r="AV235"/>
  <c r="AC235"/>
  <c r="H235"/>
  <c r="G235" s="1"/>
  <c r="BT234"/>
  <c r="BS234"/>
  <c r="BR234"/>
  <c r="BQ234"/>
  <c r="BP234"/>
  <c r="BO234"/>
  <c r="BN234"/>
  <c r="BM234"/>
  <c r="BK234"/>
  <c r="BJ234"/>
  <c r="BI234"/>
  <c r="BH234"/>
  <c r="BG234"/>
  <c r="BF234"/>
  <c r="BE234"/>
  <c r="BD234"/>
  <c r="BC234"/>
  <c r="BB234"/>
  <c r="BA234" s="1"/>
  <c r="AX234"/>
  <c r="AW234"/>
  <c r="AV234"/>
  <c r="AC234"/>
  <c r="H234"/>
  <c r="G234"/>
  <c r="BT233"/>
  <c r="BS233"/>
  <c r="BR233"/>
  <c r="BQ233"/>
  <c r="BP233"/>
  <c r="BO233"/>
  <c r="BN233"/>
  <c r="BM233"/>
  <c r="BL233" s="1"/>
  <c r="BK233"/>
  <c r="BJ233"/>
  <c r="BI233"/>
  <c r="BH233"/>
  <c r="BG233"/>
  <c r="BF233"/>
  <c r="BE233"/>
  <c r="BD233"/>
  <c r="BC233"/>
  <c r="BB233"/>
  <c r="BA233"/>
  <c r="AX233"/>
  <c r="AW233"/>
  <c r="AV233"/>
  <c r="AC233"/>
  <c r="H233"/>
  <c r="BT232"/>
  <c r="BS232"/>
  <c r="BR232"/>
  <c r="BQ232"/>
  <c r="BP232"/>
  <c r="BO232"/>
  <c r="BL232" s="1"/>
  <c r="BN232"/>
  <c r="BM232"/>
  <c r="BK232"/>
  <c r="BJ232"/>
  <c r="BI232"/>
  <c r="BH232"/>
  <c r="BG232"/>
  <c r="BF232"/>
  <c r="BE232"/>
  <c r="BD232"/>
  <c r="BC232"/>
  <c r="BB232"/>
  <c r="AX232"/>
  <c r="AW232"/>
  <c r="AV232"/>
  <c r="AC232"/>
  <c r="H232"/>
  <c r="G232" s="1"/>
  <c r="BT231"/>
  <c r="BS231"/>
  <c r="BR231"/>
  <c r="BQ231"/>
  <c r="BP231"/>
  <c r="BO231"/>
  <c r="BN231"/>
  <c r="BM231"/>
  <c r="BL231" s="1"/>
  <c r="BK231"/>
  <c r="BJ231"/>
  <c r="BI231"/>
  <c r="BH231"/>
  <c r="BG231"/>
  <c r="BF231"/>
  <c r="BE231"/>
  <c r="BD231"/>
  <c r="BC231"/>
  <c r="BB231"/>
  <c r="BA231" s="1"/>
  <c r="AX231"/>
  <c r="AW231"/>
  <c r="AV231"/>
  <c r="AC231"/>
  <c r="H231"/>
  <c r="G231"/>
  <c r="BT230"/>
  <c r="BS230"/>
  <c r="BR230"/>
  <c r="BQ230"/>
  <c r="BP230"/>
  <c r="BO230"/>
  <c r="BN230"/>
  <c r="BM230"/>
  <c r="BL230"/>
  <c r="BK230"/>
  <c r="BJ230"/>
  <c r="BI230"/>
  <c r="BH230"/>
  <c r="BG230"/>
  <c r="BF230"/>
  <c r="BE230"/>
  <c r="BD230"/>
  <c r="BA230" s="1"/>
  <c r="BC230"/>
  <c r="BB230"/>
  <c r="AZ230"/>
  <c r="AX230"/>
  <c r="AW230"/>
  <c r="AV230"/>
  <c r="AC230"/>
  <c r="H230"/>
  <c r="BT229"/>
  <c r="BS229"/>
  <c r="BR229"/>
  <c r="BQ229"/>
  <c r="BP229"/>
  <c r="BO229"/>
  <c r="BN229"/>
  <c r="BM229"/>
  <c r="BL229"/>
  <c r="BK229"/>
  <c r="BJ229"/>
  <c r="BI229"/>
  <c r="BH229"/>
  <c r="BG229"/>
  <c r="BF229"/>
  <c r="BE229"/>
  <c r="BD229"/>
  <c r="BC229"/>
  <c r="BB229"/>
  <c r="BA229" s="1"/>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L227" s="1"/>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c r="BK224"/>
  <c r="BJ224"/>
  <c r="BI224"/>
  <c r="BH224"/>
  <c r="BG224"/>
  <c r="BF224"/>
  <c r="BE224"/>
  <c r="BD224"/>
  <c r="BC224"/>
  <c r="BB224"/>
  <c r="BA224" s="1"/>
  <c r="AZ224" s="1"/>
  <c r="AX224"/>
  <c r="AW224"/>
  <c r="AV224"/>
  <c r="AC224"/>
  <c r="H224"/>
  <c r="G224" s="1"/>
  <c r="BT223"/>
  <c r="BS223"/>
  <c r="BR223"/>
  <c r="BQ223"/>
  <c r="BP223"/>
  <c r="BO223"/>
  <c r="BN223"/>
  <c r="BM223"/>
  <c r="BK223"/>
  <c r="BJ223"/>
  <c r="BI223"/>
  <c r="BH223"/>
  <c r="BG223"/>
  <c r="BF223"/>
  <c r="BE223"/>
  <c r="BD223"/>
  <c r="BC223"/>
  <c r="BB223"/>
  <c r="BA223" s="1"/>
  <c r="AX223"/>
  <c r="AW223"/>
  <c r="AV223"/>
  <c r="AC223"/>
  <c r="H223"/>
  <c r="G223"/>
  <c r="BT222"/>
  <c r="BS222"/>
  <c r="BR222"/>
  <c r="BQ222"/>
  <c r="BP222"/>
  <c r="BO222"/>
  <c r="BN222"/>
  <c r="BM222"/>
  <c r="BL222" s="1"/>
  <c r="BK222"/>
  <c r="BJ222"/>
  <c r="BI222"/>
  <c r="BH222"/>
  <c r="BG222"/>
  <c r="BF222"/>
  <c r="BE222"/>
  <c r="BD222"/>
  <c r="BC222"/>
  <c r="BB222"/>
  <c r="BA222"/>
  <c r="AX222"/>
  <c r="AW222"/>
  <c r="AV222"/>
  <c r="AC222"/>
  <c r="H222"/>
  <c r="G222" s="1"/>
  <c r="BT221"/>
  <c r="BS221"/>
  <c r="BR221"/>
  <c r="BQ221"/>
  <c r="BP221"/>
  <c r="BO221"/>
  <c r="BL221" s="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B220"/>
  <c r="BA220"/>
  <c r="AX220"/>
  <c r="AW220"/>
  <c r="AV220"/>
  <c r="AC220"/>
  <c r="H220"/>
  <c r="BT219"/>
  <c r="BS219"/>
  <c r="BR219"/>
  <c r="BQ219"/>
  <c r="BP219"/>
  <c r="BO219"/>
  <c r="BN219"/>
  <c r="BM219"/>
  <c r="BL219"/>
  <c r="BK219"/>
  <c r="BJ219"/>
  <c r="BI219"/>
  <c r="BH219"/>
  <c r="BG219"/>
  <c r="BF219"/>
  <c r="BE219"/>
  <c r="BD219"/>
  <c r="BC219"/>
  <c r="BB219"/>
  <c r="BA219" s="1"/>
  <c r="AZ219" s="1"/>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L217"/>
  <c r="BK217"/>
  <c r="BJ217"/>
  <c r="BI217"/>
  <c r="BH217"/>
  <c r="BG217"/>
  <c r="BF217"/>
  <c r="BE217"/>
  <c r="BD217"/>
  <c r="BC217"/>
  <c r="BB217"/>
  <c r="BA217" s="1"/>
  <c r="AX217"/>
  <c r="AW217"/>
  <c r="AV217"/>
  <c r="AC217"/>
  <c r="H217"/>
  <c r="G217" s="1"/>
  <c r="BT216"/>
  <c r="BS216"/>
  <c r="BR216"/>
  <c r="BQ216"/>
  <c r="BP216"/>
  <c r="BO216"/>
  <c r="BN216"/>
  <c r="BL216" s="1"/>
  <c r="BM216"/>
  <c r="BK216"/>
  <c r="BJ216"/>
  <c r="BI216"/>
  <c r="BH216"/>
  <c r="BG216"/>
  <c r="BF216"/>
  <c r="BE216"/>
  <c r="BD216"/>
  <c r="BC216"/>
  <c r="BB216"/>
  <c r="AX216"/>
  <c r="AW216"/>
  <c r="AV216"/>
  <c r="AC216"/>
  <c r="G216" s="1"/>
  <c r="H216"/>
  <c r="BT215"/>
  <c r="BS215"/>
  <c r="BR215"/>
  <c r="BQ215"/>
  <c r="BP215"/>
  <c r="BO215"/>
  <c r="BN215"/>
  <c r="BM215"/>
  <c r="BK215"/>
  <c r="BJ215"/>
  <c r="BI215"/>
  <c r="BH215"/>
  <c r="BG215"/>
  <c r="BF215"/>
  <c r="BE215"/>
  <c r="BD215"/>
  <c r="BC215"/>
  <c r="BB215"/>
  <c r="BA215" s="1"/>
  <c r="AX215"/>
  <c r="AW215"/>
  <c r="AV215"/>
  <c r="AC215"/>
  <c r="H215"/>
  <c r="G215"/>
  <c r="BT214"/>
  <c r="BS214"/>
  <c r="BR214"/>
  <c r="BQ214"/>
  <c r="BP214"/>
  <c r="BO214"/>
  <c r="BN214"/>
  <c r="BM214"/>
  <c r="BL214"/>
  <c r="BK214"/>
  <c r="BJ214"/>
  <c r="BI214"/>
  <c r="BH214"/>
  <c r="BG214"/>
  <c r="BF214"/>
  <c r="BE214"/>
  <c r="BD214"/>
  <c r="BA214" s="1"/>
  <c r="AZ214" s="1"/>
  <c r="BC214"/>
  <c r="BB214"/>
  <c r="AX214"/>
  <c r="AW214"/>
  <c r="AV214"/>
  <c r="AC214"/>
  <c r="H214"/>
  <c r="BT213"/>
  <c r="BS213"/>
  <c r="BR213"/>
  <c r="BQ213"/>
  <c r="BP213"/>
  <c r="BO213"/>
  <c r="BN213"/>
  <c r="BL213" s="1"/>
  <c r="BM213"/>
  <c r="BK213"/>
  <c r="BJ213"/>
  <c r="BI213"/>
  <c r="BH213"/>
  <c r="BG213"/>
  <c r="BF213"/>
  <c r="BE213"/>
  <c r="BD213"/>
  <c r="BC213"/>
  <c r="BB213"/>
  <c r="BA213" s="1"/>
  <c r="AX213"/>
  <c r="AW213"/>
  <c r="AV213"/>
  <c r="AC213"/>
  <c r="H213"/>
  <c r="G213"/>
  <c r="BT212"/>
  <c r="BS212"/>
  <c r="BR212"/>
  <c r="BQ212"/>
  <c r="BP212"/>
  <c r="BO212"/>
  <c r="BN212"/>
  <c r="BM212"/>
  <c r="BL212" s="1"/>
  <c r="BK212"/>
  <c r="BJ212"/>
  <c r="BI212"/>
  <c r="BH212"/>
  <c r="BG212"/>
  <c r="BF212"/>
  <c r="BE212"/>
  <c r="BD212"/>
  <c r="BC212"/>
  <c r="BB212"/>
  <c r="BA212"/>
  <c r="AX212"/>
  <c r="AW212"/>
  <c r="AV212"/>
  <c r="AC212"/>
  <c r="H212"/>
  <c r="BT211"/>
  <c r="BS211"/>
  <c r="BR211"/>
  <c r="BQ211"/>
  <c r="BP211"/>
  <c r="BO211"/>
  <c r="BN211"/>
  <c r="BM211"/>
  <c r="BL21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G210"/>
  <c r="BT209"/>
  <c r="BS209"/>
  <c r="BR209"/>
  <c r="BQ209"/>
  <c r="BP209"/>
  <c r="BO209"/>
  <c r="BN209"/>
  <c r="BM209"/>
  <c r="BL209" s="1"/>
  <c r="BK209"/>
  <c r="BJ209"/>
  <c r="BI209"/>
  <c r="BH209"/>
  <c r="BG209"/>
  <c r="BF209"/>
  <c r="BE209"/>
  <c r="BD209"/>
  <c r="BC209"/>
  <c r="BB209"/>
  <c r="BA209"/>
  <c r="AX209"/>
  <c r="AW209"/>
  <c r="AV209"/>
  <c r="AC209"/>
  <c r="H209"/>
  <c r="BT208"/>
  <c r="BS208"/>
  <c r="BR208"/>
  <c r="BQ208"/>
  <c r="BP208"/>
  <c r="BO208"/>
  <c r="BN208"/>
  <c r="BM208"/>
  <c r="BL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BA207"/>
  <c r="AX207"/>
  <c r="AW207"/>
  <c r="AV207"/>
  <c r="AC207"/>
  <c r="G207" s="1"/>
  <c r="H207"/>
  <c r="BT206"/>
  <c r="BS206"/>
  <c r="BR206"/>
  <c r="BQ206"/>
  <c r="BP206"/>
  <c r="BO206"/>
  <c r="BN206"/>
  <c r="BM206"/>
  <c r="BL206" s="1"/>
  <c r="BK206"/>
  <c r="BJ206"/>
  <c r="BI206"/>
  <c r="BH206"/>
  <c r="BG206"/>
  <c r="BF206"/>
  <c r="BE206"/>
  <c r="BD206"/>
  <c r="BC206"/>
  <c r="BA206" s="1"/>
  <c r="BB206"/>
  <c r="AX206"/>
  <c r="AW206"/>
  <c r="AV206"/>
  <c r="AC206"/>
  <c r="H206"/>
  <c r="G206" s="1"/>
  <c r="BT205"/>
  <c r="BS205"/>
  <c r="BR205"/>
  <c r="BQ205"/>
  <c r="BP205"/>
  <c r="BO205"/>
  <c r="BN205"/>
  <c r="BL205" s="1"/>
  <c r="BM205"/>
  <c r="BK205"/>
  <c r="BJ205"/>
  <c r="BI205"/>
  <c r="BH205"/>
  <c r="BG205"/>
  <c r="BF205"/>
  <c r="BE205"/>
  <c r="BD205"/>
  <c r="BC205"/>
  <c r="BB205"/>
  <c r="BA205" s="1"/>
  <c r="AX205"/>
  <c r="AW205"/>
  <c r="AV205"/>
  <c r="AC205"/>
  <c r="H205"/>
  <c r="G205" s="1"/>
  <c r="BT388"/>
  <c r="BS388"/>
  <c r="BR388"/>
  <c r="BQ388"/>
  <c r="BP388"/>
  <c r="BO388"/>
  <c r="BN388"/>
  <c r="BL388" s="1"/>
  <c r="BM388"/>
  <c r="BK388"/>
  <c r="BJ388"/>
  <c r="BI388"/>
  <c r="BH388"/>
  <c r="BG388"/>
  <c r="BF388"/>
  <c r="BE388"/>
  <c r="BD388"/>
  <c r="BC388"/>
  <c r="BB388"/>
  <c r="BA388" s="1"/>
  <c r="AX388"/>
  <c r="AW388"/>
  <c r="AV388"/>
  <c r="AC388"/>
  <c r="H388"/>
  <c r="G388" s="1"/>
  <c r="BT387"/>
  <c r="BS387"/>
  <c r="BR387"/>
  <c r="BQ387"/>
  <c r="BP387"/>
  <c r="BO387"/>
  <c r="BL387" s="1"/>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X385"/>
  <c r="AW385"/>
  <c r="AV385"/>
  <c r="AC385"/>
  <c r="H385"/>
  <c r="BT384"/>
  <c r="BS384"/>
  <c r="BR384"/>
  <c r="BQ384"/>
  <c r="BP384"/>
  <c r="BO384"/>
  <c r="BN384"/>
  <c r="BM384"/>
  <c r="BL384" s="1"/>
  <c r="BK384"/>
  <c r="BJ384"/>
  <c r="BI384"/>
  <c r="BH384"/>
  <c r="BG384"/>
  <c r="BF384"/>
  <c r="BE384"/>
  <c r="BD384"/>
  <c r="BC384"/>
  <c r="BB384"/>
  <c r="BA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N380"/>
  <c r="BM380"/>
  <c r="BL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s="1"/>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A375" s="1"/>
  <c r="BB375"/>
  <c r="AX375"/>
  <c r="AW375"/>
  <c r="AV375"/>
  <c r="AC375"/>
  <c r="G375" s="1"/>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G370" s="1"/>
  <c r="BT369"/>
  <c r="BS369"/>
  <c r="BR369"/>
  <c r="BQ369"/>
  <c r="BP369"/>
  <c r="BO369"/>
  <c r="BN369"/>
  <c r="BL369" s="1"/>
  <c r="BM369"/>
  <c r="BK369"/>
  <c r="BJ369"/>
  <c r="BI369"/>
  <c r="BH369"/>
  <c r="BG369"/>
  <c r="BF369"/>
  <c r="BE369"/>
  <c r="BD369"/>
  <c r="BC369"/>
  <c r="BB369"/>
  <c r="BA369" s="1"/>
  <c r="AX369"/>
  <c r="AW369"/>
  <c r="AV369"/>
  <c r="AC369"/>
  <c r="H369"/>
  <c r="BT368"/>
  <c r="BS368"/>
  <c r="BR368"/>
  <c r="BQ368"/>
  <c r="BP368"/>
  <c r="BO368"/>
  <c r="BN368"/>
  <c r="BM368"/>
  <c r="BL368" s="1"/>
  <c r="BK368"/>
  <c r="BJ368"/>
  <c r="BI368"/>
  <c r="BH368"/>
  <c r="BG368"/>
  <c r="BF368"/>
  <c r="BE368"/>
  <c r="BD368"/>
  <c r="BC368"/>
  <c r="BB368"/>
  <c r="BA368"/>
  <c r="AX368"/>
  <c r="AW368"/>
  <c r="AV368"/>
  <c r="AC368"/>
  <c r="H368"/>
  <c r="BT367"/>
  <c r="BS367"/>
  <c r="BR367"/>
  <c r="BQ367"/>
  <c r="BP367"/>
  <c r="BO367"/>
  <c r="BN367"/>
  <c r="BM367"/>
  <c r="BK367"/>
  <c r="BJ367"/>
  <c r="BI367"/>
  <c r="BH367"/>
  <c r="BG367"/>
  <c r="BF367"/>
  <c r="BE367"/>
  <c r="BD367"/>
  <c r="BC367"/>
  <c r="BB367"/>
  <c r="BA367" s="1"/>
  <c r="AX367"/>
  <c r="AW367"/>
  <c r="AV367"/>
  <c r="AC367"/>
  <c r="H367"/>
  <c r="G367" s="1"/>
  <c r="BT366"/>
  <c r="BS366"/>
  <c r="BR366"/>
  <c r="BQ366"/>
  <c r="BP366"/>
  <c r="BO366"/>
  <c r="BN366"/>
  <c r="BL366" s="1"/>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s="1"/>
  <c r="BT364"/>
  <c r="BS364"/>
  <c r="BR364"/>
  <c r="BQ364"/>
  <c r="BP364"/>
  <c r="BO364"/>
  <c r="BN364"/>
  <c r="BL364" s="1"/>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L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BA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G352" s="1"/>
  <c r="H352"/>
  <c r="BT351"/>
  <c r="BS351"/>
  <c r="BR351"/>
  <c r="BQ351"/>
  <c r="BP351"/>
  <c r="BO351"/>
  <c r="BN351"/>
  <c r="BM351"/>
  <c r="BL351" s="1"/>
  <c r="BK351"/>
  <c r="BJ351"/>
  <c r="BI351"/>
  <c r="BH351"/>
  <c r="BG351"/>
  <c r="BF351"/>
  <c r="BE351"/>
  <c r="BD351"/>
  <c r="BC351"/>
  <c r="BA351" s="1"/>
  <c r="BB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G347" s="1"/>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G345" s="1"/>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L342" s="1"/>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G341" s="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BA335" s="1"/>
  <c r="AX335"/>
  <c r="AW335"/>
  <c r="AV335"/>
  <c r="AC335"/>
  <c r="H335"/>
  <c r="BT334"/>
  <c r="BS334"/>
  <c r="BR334"/>
  <c r="BQ334"/>
  <c r="BP334"/>
  <c r="BO334"/>
  <c r="BN334"/>
  <c r="BM334"/>
  <c r="BL334"/>
  <c r="BK334"/>
  <c r="BJ334"/>
  <c r="BI334"/>
  <c r="BH334"/>
  <c r="BG334"/>
  <c r="BF334"/>
  <c r="BE334"/>
  <c r="BD334"/>
  <c r="BC334"/>
  <c r="BB334"/>
  <c r="BA334" s="1"/>
  <c r="AZ334" s="1"/>
  <c r="AX334"/>
  <c r="AW334"/>
  <c r="AV334"/>
  <c r="AC334"/>
  <c r="H334"/>
  <c r="BT333"/>
  <c r="BS333"/>
  <c r="BR333"/>
  <c r="BQ333"/>
  <c r="BP333"/>
  <c r="BO333"/>
  <c r="BN333"/>
  <c r="BM333"/>
  <c r="BK333"/>
  <c r="BJ333"/>
  <c r="BI333"/>
  <c r="BH333"/>
  <c r="BG333"/>
  <c r="BF333"/>
  <c r="BE333"/>
  <c r="BD333"/>
  <c r="BC333"/>
  <c r="BB333"/>
  <c r="BA333"/>
  <c r="AX333"/>
  <c r="AW333"/>
  <c r="AV333"/>
  <c r="AC333"/>
  <c r="H333"/>
  <c r="G333" s="1"/>
  <c r="BT332"/>
  <c r="BS332"/>
  <c r="BR332"/>
  <c r="BQ332"/>
  <c r="BP332"/>
  <c r="BO332"/>
  <c r="BN332"/>
  <c r="BM332"/>
  <c r="BL332" s="1"/>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L330" s="1"/>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BA325" s="1"/>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BA321" s="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BA319" s="1"/>
  <c r="AX319"/>
  <c r="AW319"/>
  <c r="AV319"/>
  <c r="AC319"/>
  <c r="H319"/>
  <c r="BT318"/>
  <c r="BS318"/>
  <c r="BR318"/>
  <c r="BQ318"/>
  <c r="BP318"/>
  <c r="BO318"/>
  <c r="BN318"/>
  <c r="BM318"/>
  <c r="BL318"/>
  <c r="BK318"/>
  <c r="BJ318"/>
  <c r="BI318"/>
  <c r="BH318"/>
  <c r="BG318"/>
  <c r="BF318"/>
  <c r="BE318"/>
  <c r="BD318"/>
  <c r="BC318"/>
  <c r="BB318"/>
  <c r="BA318" s="1"/>
  <c r="AZ318" s="1"/>
  <c r="AX318"/>
  <c r="AW318"/>
  <c r="AV318"/>
  <c r="AC318"/>
  <c r="H318"/>
  <c r="BT317"/>
  <c r="BS317"/>
  <c r="BR317"/>
  <c r="BQ317"/>
  <c r="BP317"/>
  <c r="BO317"/>
  <c r="BN317"/>
  <c r="BM317"/>
  <c r="BK317"/>
  <c r="BJ317"/>
  <c r="BI317"/>
  <c r="BH317"/>
  <c r="BG317"/>
  <c r="BF317"/>
  <c r="BE317"/>
  <c r="BD317"/>
  <c r="BC317"/>
  <c r="BB317"/>
  <c r="BA317"/>
  <c r="AX317"/>
  <c r="AW317"/>
  <c r="AV317"/>
  <c r="AC317"/>
  <c r="G317" s="1"/>
  <c r="H317"/>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BA315" s="1"/>
  <c r="AX315"/>
  <c r="AW315"/>
  <c r="AV315"/>
  <c r="AC315"/>
  <c r="H315"/>
  <c r="G315" s="1"/>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c r="AX309"/>
  <c r="AW309"/>
  <c r="AV309"/>
  <c r="AC309"/>
  <c r="G309" s="1"/>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G307" s="1"/>
  <c r="H307"/>
  <c r="BT306"/>
  <c r="BS306"/>
  <c r="BR306"/>
  <c r="BQ306"/>
  <c r="BP306"/>
  <c r="BO306"/>
  <c r="BN306"/>
  <c r="BM306"/>
  <c r="BL306" s="1"/>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G305" s="1"/>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BA301" s="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s="1"/>
  <c r="AX297"/>
  <c r="AW297"/>
  <c r="AV297"/>
  <c r="AC297"/>
  <c r="H297"/>
  <c r="BT480"/>
  <c r="BS480"/>
  <c r="BR480"/>
  <c r="BQ480"/>
  <c r="BP480"/>
  <c r="BO480"/>
  <c r="BN480"/>
  <c r="BM480"/>
  <c r="BL480" s="1"/>
  <c r="BK480"/>
  <c r="BJ480"/>
  <c r="BI480"/>
  <c r="BH480"/>
  <c r="BG480"/>
  <c r="BF480"/>
  <c r="BE480"/>
  <c r="BD480"/>
  <c r="BC480"/>
  <c r="BA480" s="1"/>
  <c r="AZ480" s="1"/>
  <c r="BB480"/>
  <c r="AX480"/>
  <c r="AW480"/>
  <c r="AV480"/>
  <c r="AC480"/>
  <c r="H480"/>
  <c r="G480" s="1"/>
  <c r="BT479"/>
  <c r="BS479"/>
  <c r="BR479"/>
  <c r="BQ479"/>
  <c r="BP479"/>
  <c r="BO479"/>
  <c r="BN479"/>
  <c r="BL479" s="1"/>
  <c r="BM479"/>
  <c r="BK479"/>
  <c r="BJ479"/>
  <c r="BI479"/>
  <c r="BH479"/>
  <c r="BG479"/>
  <c r="BF479"/>
  <c r="BE479"/>
  <c r="BD479"/>
  <c r="BC479"/>
  <c r="BB479"/>
  <c r="BA479" s="1"/>
  <c r="AX479"/>
  <c r="AW479"/>
  <c r="AV479"/>
  <c r="AC479"/>
  <c r="H479"/>
  <c r="G479" s="1"/>
  <c r="BT478"/>
  <c r="BS478"/>
  <c r="BR478"/>
  <c r="BQ478"/>
  <c r="BP478"/>
  <c r="BO478"/>
  <c r="BN478"/>
  <c r="BM478"/>
  <c r="BL478"/>
  <c r="BK478"/>
  <c r="BJ478"/>
  <c r="BI478"/>
  <c r="BH478"/>
  <c r="BG478"/>
  <c r="BF478"/>
  <c r="BE478"/>
  <c r="BD478"/>
  <c r="BC478"/>
  <c r="BB478"/>
  <c r="BA478" s="1"/>
  <c r="AZ478" s="1"/>
  <c r="AX478"/>
  <c r="AW478"/>
  <c r="AV478"/>
  <c r="AC478"/>
  <c r="G478" s="1"/>
  <c r="H478"/>
  <c r="BT477"/>
  <c r="BS477"/>
  <c r="BR477"/>
  <c r="BQ477"/>
  <c r="BP477"/>
  <c r="BO477"/>
  <c r="BN477"/>
  <c r="BM477"/>
  <c r="BL477" s="1"/>
  <c r="BK477"/>
  <c r="BJ477"/>
  <c r="BI477"/>
  <c r="BH477"/>
  <c r="BG477"/>
  <c r="BF477"/>
  <c r="BE477"/>
  <c r="BD477"/>
  <c r="BC477"/>
  <c r="BA477" s="1"/>
  <c r="BB477"/>
  <c r="AX477"/>
  <c r="AW477"/>
  <c r="AV477"/>
  <c r="AC477"/>
  <c r="H477"/>
  <c r="G477"/>
  <c r="BT476"/>
  <c r="BS476"/>
  <c r="BR476"/>
  <c r="BQ476"/>
  <c r="BP476"/>
  <c r="BO476"/>
  <c r="BN476"/>
  <c r="BM476"/>
  <c r="BL476" s="1"/>
  <c r="BK476"/>
  <c r="BJ476"/>
  <c r="BI476"/>
  <c r="BH476"/>
  <c r="BG476"/>
  <c r="BF476"/>
  <c r="BE476"/>
  <c r="BD476"/>
  <c r="BC476"/>
  <c r="BB476"/>
  <c r="BA476"/>
  <c r="AZ476" s="1"/>
  <c r="AX476"/>
  <c r="AW476"/>
  <c r="AV476"/>
  <c r="AC476"/>
  <c r="H476"/>
  <c r="G476" s="1"/>
  <c r="BT475"/>
  <c r="BS475"/>
  <c r="BR475"/>
  <c r="BQ475"/>
  <c r="BP475"/>
  <c r="BO475"/>
  <c r="BN475"/>
  <c r="BM475"/>
  <c r="BL475"/>
  <c r="BK475"/>
  <c r="BJ475"/>
  <c r="BI475"/>
  <c r="BH475"/>
  <c r="BG475"/>
  <c r="BF475"/>
  <c r="BE475"/>
  <c r="BD475"/>
  <c r="BC475"/>
  <c r="BB475"/>
  <c r="BA475" s="1"/>
  <c r="AX475"/>
  <c r="AW475"/>
  <c r="AV475"/>
  <c r="AC475"/>
  <c r="H475"/>
  <c r="G475" s="1"/>
  <c r="BT474"/>
  <c r="BS474"/>
  <c r="BR474"/>
  <c r="BQ474"/>
  <c r="BP474"/>
  <c r="BO474"/>
  <c r="BN474"/>
  <c r="BL474" s="1"/>
  <c r="BM474"/>
  <c r="BK474"/>
  <c r="BJ474"/>
  <c r="BI474"/>
  <c r="BH474"/>
  <c r="BG474"/>
  <c r="BF474"/>
  <c r="BE474"/>
  <c r="BD474"/>
  <c r="BC474"/>
  <c r="BB474"/>
  <c r="BA474" s="1"/>
  <c r="AX474"/>
  <c r="AW474"/>
  <c r="AV474"/>
  <c r="AC474"/>
  <c r="H474"/>
  <c r="G474" s="1"/>
  <c r="BT473"/>
  <c r="BS473"/>
  <c r="BR473"/>
  <c r="BQ473"/>
  <c r="BP473"/>
  <c r="BO473"/>
  <c r="BN473"/>
  <c r="BM473"/>
  <c r="BL473"/>
  <c r="BK473"/>
  <c r="BJ473"/>
  <c r="BI473"/>
  <c r="BH473"/>
  <c r="BG473"/>
  <c r="BF473"/>
  <c r="BE473"/>
  <c r="BD473"/>
  <c r="BC473"/>
  <c r="BB473"/>
  <c r="BA473" s="1"/>
  <c r="AZ473" s="1"/>
  <c r="AX473"/>
  <c r="AW473"/>
  <c r="AV473"/>
  <c r="AC473"/>
  <c r="G473" s="1"/>
  <c r="H473"/>
  <c r="BT472"/>
  <c r="BS472"/>
  <c r="BR472"/>
  <c r="BQ472"/>
  <c r="BP472"/>
  <c r="BO472"/>
  <c r="BN472"/>
  <c r="BM472"/>
  <c r="BL472" s="1"/>
  <c r="BK472"/>
  <c r="BJ472"/>
  <c r="BI472"/>
  <c r="BH472"/>
  <c r="BG472"/>
  <c r="BF472"/>
  <c r="BE472"/>
  <c r="BD472"/>
  <c r="BC472"/>
  <c r="BA472" s="1"/>
  <c r="BB472"/>
  <c r="AX472"/>
  <c r="AW472"/>
  <c r="AV472"/>
  <c r="AC472"/>
  <c r="H472"/>
  <c r="G472" s="1"/>
  <c r="BT471"/>
  <c r="BS471"/>
  <c r="BR471"/>
  <c r="BQ471"/>
  <c r="BP471"/>
  <c r="BO471"/>
  <c r="BN471"/>
  <c r="BL471" s="1"/>
  <c r="BM471"/>
  <c r="BK471"/>
  <c r="BJ471"/>
  <c r="BI471"/>
  <c r="BH471"/>
  <c r="BG471"/>
  <c r="BF471"/>
  <c r="BE471"/>
  <c r="BD471"/>
  <c r="BC471"/>
  <c r="BB471"/>
  <c r="BA471" s="1"/>
  <c r="AX471"/>
  <c r="AW471"/>
  <c r="AV471"/>
  <c r="AC471"/>
  <c r="H471"/>
  <c r="G471" s="1"/>
  <c r="BT470"/>
  <c r="BS470"/>
  <c r="BR470"/>
  <c r="BQ470"/>
  <c r="BP470"/>
  <c r="BO470"/>
  <c r="BN470"/>
  <c r="BM470"/>
  <c r="BL470"/>
  <c r="BK470"/>
  <c r="BJ470"/>
  <c r="BI470"/>
  <c r="BH470"/>
  <c r="BG470"/>
  <c r="BF470"/>
  <c r="BE470"/>
  <c r="BD470"/>
  <c r="BC470"/>
  <c r="BB470"/>
  <c r="BA470" s="1"/>
  <c r="AZ470" s="1"/>
  <c r="AX470"/>
  <c r="AW470"/>
  <c r="AV470"/>
  <c r="AC470"/>
  <c r="G470" s="1"/>
  <c r="H470"/>
  <c r="BT469"/>
  <c r="BS469"/>
  <c r="BR469"/>
  <c r="BQ469"/>
  <c r="BP469"/>
  <c r="BO469"/>
  <c r="BN469"/>
  <c r="BM469"/>
  <c r="BL469" s="1"/>
  <c r="BK469"/>
  <c r="BJ469"/>
  <c r="BI469"/>
  <c r="BH469"/>
  <c r="BG469"/>
  <c r="BF469"/>
  <c r="BE469"/>
  <c r="BD469"/>
  <c r="BC469"/>
  <c r="BA469" s="1"/>
  <c r="BB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X467"/>
  <c r="AW467"/>
  <c r="AV467"/>
  <c r="AC467"/>
  <c r="H467"/>
  <c r="G467" s="1"/>
  <c r="BT466"/>
  <c r="BS466"/>
  <c r="BR466"/>
  <c r="BQ466"/>
  <c r="BP466"/>
  <c r="BO466"/>
  <c r="BN466"/>
  <c r="BL466" s="1"/>
  <c r="BM466"/>
  <c r="BK466"/>
  <c r="BJ466"/>
  <c r="BI466"/>
  <c r="BH466"/>
  <c r="BG466"/>
  <c r="BF466"/>
  <c r="BE466"/>
  <c r="BD466"/>
  <c r="BC466"/>
  <c r="BB466"/>
  <c r="BA466" s="1"/>
  <c r="AX466"/>
  <c r="AW466"/>
  <c r="AV466"/>
  <c r="AC466"/>
  <c r="H466"/>
  <c r="G466" s="1"/>
  <c r="BT465"/>
  <c r="BS465"/>
  <c r="BR465"/>
  <c r="BQ465"/>
  <c r="BP465"/>
  <c r="BO465"/>
  <c r="BN465"/>
  <c r="BM465"/>
  <c r="BL465"/>
  <c r="BK465"/>
  <c r="BJ465"/>
  <c r="BI465"/>
  <c r="BH465"/>
  <c r="BG465"/>
  <c r="BF465"/>
  <c r="BE465"/>
  <c r="BD465"/>
  <c r="BC465"/>
  <c r="BB465"/>
  <c r="BA465" s="1"/>
  <c r="AZ465" s="1"/>
  <c r="AX465"/>
  <c r="AW465"/>
  <c r="AV465"/>
  <c r="AC465"/>
  <c r="G465" s="1"/>
  <c r="H465"/>
  <c r="BT464"/>
  <c r="BS464"/>
  <c r="BR464"/>
  <c r="BQ464"/>
  <c r="BP464"/>
  <c r="BO464"/>
  <c r="BN464"/>
  <c r="BM464"/>
  <c r="BL464" s="1"/>
  <c r="BK464"/>
  <c r="BJ464"/>
  <c r="BI464"/>
  <c r="BH464"/>
  <c r="BG464"/>
  <c r="BF464"/>
  <c r="BE464"/>
  <c r="BD464"/>
  <c r="BC464"/>
  <c r="BA464" s="1"/>
  <c r="AZ464" s="1"/>
  <c r="BB464"/>
  <c r="AX464"/>
  <c r="AW464"/>
  <c r="AV464"/>
  <c r="AC464"/>
  <c r="H464"/>
  <c r="G464" s="1"/>
  <c r="BT463"/>
  <c r="BS463"/>
  <c r="BR463"/>
  <c r="BQ463"/>
  <c r="BP463"/>
  <c r="BO463"/>
  <c r="BN463"/>
  <c r="BL463" s="1"/>
  <c r="BM463"/>
  <c r="BK463"/>
  <c r="BJ463"/>
  <c r="BI463"/>
  <c r="BH463"/>
  <c r="BG463"/>
  <c r="BF463"/>
  <c r="BE463"/>
  <c r="BD463"/>
  <c r="BC463"/>
  <c r="BB463"/>
  <c r="BA463" s="1"/>
  <c r="AX463"/>
  <c r="AW463"/>
  <c r="AV463"/>
  <c r="AC463"/>
  <c r="H463"/>
  <c r="G463" s="1"/>
  <c r="BT462"/>
  <c r="BS462"/>
  <c r="BR462"/>
  <c r="BQ462"/>
  <c r="BP462"/>
  <c r="BO462"/>
  <c r="BN462"/>
  <c r="BM462"/>
  <c r="BL462"/>
  <c r="BK462"/>
  <c r="BJ462"/>
  <c r="BI462"/>
  <c r="BH462"/>
  <c r="BG462"/>
  <c r="BF462"/>
  <c r="BE462"/>
  <c r="BD462"/>
  <c r="BC462"/>
  <c r="BB462"/>
  <c r="BA462" s="1"/>
  <c r="AZ462" s="1"/>
  <c r="AX462"/>
  <c r="AW462"/>
  <c r="AV462"/>
  <c r="AC462"/>
  <c r="G462" s="1"/>
  <c r="H462"/>
  <c r="BT461"/>
  <c r="BS461"/>
  <c r="BR461"/>
  <c r="BQ461"/>
  <c r="BP461"/>
  <c r="BO461"/>
  <c r="BN461"/>
  <c r="BM461"/>
  <c r="BL461" s="1"/>
  <c r="BK461"/>
  <c r="BJ461"/>
  <c r="BI461"/>
  <c r="BH461"/>
  <c r="BG461"/>
  <c r="BF461"/>
  <c r="BE461"/>
  <c r="BD461"/>
  <c r="BC461"/>
  <c r="BA461" s="1"/>
  <c r="BB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X459"/>
  <c r="AW459"/>
  <c r="AV459"/>
  <c r="AC459"/>
  <c r="H459"/>
  <c r="G459" s="1"/>
  <c r="BT458"/>
  <c r="BS458"/>
  <c r="BR458"/>
  <c r="BQ458"/>
  <c r="BP458"/>
  <c r="BO458"/>
  <c r="BN458"/>
  <c r="BL458" s="1"/>
  <c r="BM458"/>
  <c r="BK458"/>
  <c r="BJ458"/>
  <c r="BI458"/>
  <c r="BH458"/>
  <c r="BG458"/>
  <c r="BF458"/>
  <c r="BE458"/>
  <c r="BD458"/>
  <c r="BC458"/>
  <c r="BB458"/>
  <c r="BA458" s="1"/>
  <c r="AX458"/>
  <c r="AW458"/>
  <c r="AV458"/>
  <c r="AC458"/>
  <c r="H458"/>
  <c r="G458" s="1"/>
  <c r="BT457"/>
  <c r="BS457"/>
  <c r="BR457"/>
  <c r="BQ457"/>
  <c r="BP457"/>
  <c r="BO457"/>
  <c r="BN457"/>
  <c r="BM457"/>
  <c r="BL457"/>
  <c r="BK457"/>
  <c r="BJ457"/>
  <c r="BI457"/>
  <c r="BH457"/>
  <c r="BG457"/>
  <c r="BF457"/>
  <c r="BE457"/>
  <c r="BD457"/>
  <c r="BC457"/>
  <c r="BB457"/>
  <c r="BA457" s="1"/>
  <c r="AZ457" s="1"/>
  <c r="AX457"/>
  <c r="AW457"/>
  <c r="AV457"/>
  <c r="AC457"/>
  <c r="G457" s="1"/>
  <c r="H457"/>
  <c r="BT456"/>
  <c r="BS456"/>
  <c r="BR456"/>
  <c r="BQ456"/>
  <c r="BP456"/>
  <c r="BO456"/>
  <c r="BN456"/>
  <c r="BM456"/>
  <c r="BL456" s="1"/>
  <c r="BK456"/>
  <c r="BJ456"/>
  <c r="BI456"/>
  <c r="BH456"/>
  <c r="BG456"/>
  <c r="BF456"/>
  <c r="BE456"/>
  <c r="BD456"/>
  <c r="BC456"/>
  <c r="BA456" s="1"/>
  <c r="BB456"/>
  <c r="AX456"/>
  <c r="AW456"/>
  <c r="AV456"/>
  <c r="AC456"/>
  <c r="H456"/>
  <c r="G456"/>
  <c r="BT455"/>
  <c r="BS455"/>
  <c r="BR455"/>
  <c r="BQ455"/>
  <c r="BP455"/>
  <c r="BO455"/>
  <c r="BN455"/>
  <c r="BM455"/>
  <c r="BL455" s="1"/>
  <c r="BK455"/>
  <c r="BJ455"/>
  <c r="BI455"/>
  <c r="BH455"/>
  <c r="BG455"/>
  <c r="BF455"/>
  <c r="BE455"/>
  <c r="BD455"/>
  <c r="BC455"/>
  <c r="BB455"/>
  <c r="BA455"/>
  <c r="AX455"/>
  <c r="AW455"/>
  <c r="AV455"/>
  <c r="AC455"/>
  <c r="G455" s="1"/>
  <c r="H455"/>
  <c r="BT454"/>
  <c r="BS454"/>
  <c r="BR454"/>
  <c r="BQ454"/>
  <c r="BP454"/>
  <c r="BO454"/>
  <c r="BN454"/>
  <c r="BM454"/>
  <c r="BL454" s="1"/>
  <c r="BK454"/>
  <c r="BJ454"/>
  <c r="BI454"/>
  <c r="BH454"/>
  <c r="BG454"/>
  <c r="BF454"/>
  <c r="BE454"/>
  <c r="BD454"/>
  <c r="BC454"/>
  <c r="BA454" s="1"/>
  <c r="BB454"/>
  <c r="AX454"/>
  <c r="AW454"/>
  <c r="AV454"/>
  <c r="AC454"/>
  <c r="H454"/>
  <c r="G454"/>
  <c r="BT453"/>
  <c r="BS453"/>
  <c r="BR453"/>
  <c r="BQ453"/>
  <c r="BP453"/>
  <c r="BO453"/>
  <c r="BN453"/>
  <c r="BM453"/>
  <c r="BL453" s="1"/>
  <c r="BK453"/>
  <c r="BJ453"/>
  <c r="BI453"/>
  <c r="BH453"/>
  <c r="BG453"/>
  <c r="BF453"/>
  <c r="BE453"/>
  <c r="BD453"/>
  <c r="BC453"/>
  <c r="BB453"/>
  <c r="BA453"/>
  <c r="AX453"/>
  <c r="AW453"/>
  <c r="AV453"/>
  <c r="AC453"/>
  <c r="H453"/>
  <c r="G453" s="1"/>
  <c r="BT452"/>
  <c r="BS452"/>
  <c r="BR452"/>
  <c r="BQ452"/>
  <c r="BP452"/>
  <c r="BO452"/>
  <c r="BN452"/>
  <c r="BM452"/>
  <c r="BL452"/>
  <c r="BK452"/>
  <c r="BJ452"/>
  <c r="BI452"/>
  <c r="BH452"/>
  <c r="BG452"/>
  <c r="BF452"/>
  <c r="BE452"/>
  <c r="BD452"/>
  <c r="BC452"/>
  <c r="BB452"/>
  <c r="BA452" s="1"/>
  <c r="AX452"/>
  <c r="AW452"/>
  <c r="AV452"/>
  <c r="AC452"/>
  <c r="H452"/>
  <c r="G452" s="1"/>
  <c r="BT451"/>
  <c r="BS451"/>
  <c r="BR451"/>
  <c r="BQ451"/>
  <c r="BP451"/>
  <c r="BO451"/>
  <c r="BN451"/>
  <c r="BL451" s="1"/>
  <c r="BM451"/>
  <c r="BK451"/>
  <c r="BJ451"/>
  <c r="BI451"/>
  <c r="BH451"/>
  <c r="BG451"/>
  <c r="BF451"/>
  <c r="BE451"/>
  <c r="BD451"/>
  <c r="BC451"/>
  <c r="BB451"/>
  <c r="BA451" s="1"/>
  <c r="AZ451" s="1"/>
  <c r="AX451"/>
  <c r="AW451"/>
  <c r="AV451"/>
  <c r="AC451"/>
  <c r="H451"/>
  <c r="G451"/>
  <c r="BT450"/>
  <c r="BS450"/>
  <c r="BR450"/>
  <c r="BQ450"/>
  <c r="BP450"/>
  <c r="BO450"/>
  <c r="BN450"/>
  <c r="BM450"/>
  <c r="BL450" s="1"/>
  <c r="BK450"/>
  <c r="BJ450"/>
  <c r="BI450"/>
  <c r="BH450"/>
  <c r="BG450"/>
  <c r="BF450"/>
  <c r="BE450"/>
  <c r="BD450"/>
  <c r="BC450"/>
  <c r="BB450"/>
  <c r="BA450"/>
  <c r="AX450"/>
  <c r="AW450"/>
  <c r="AV450"/>
  <c r="AC450"/>
  <c r="G450" s="1"/>
  <c r="H450"/>
  <c r="BT449"/>
  <c r="BS449"/>
  <c r="BR449"/>
  <c r="BQ449"/>
  <c r="BP449"/>
  <c r="BO449"/>
  <c r="BN449"/>
  <c r="BM449"/>
  <c r="BL449" s="1"/>
  <c r="BK449"/>
  <c r="BJ449"/>
  <c r="BI449"/>
  <c r="BH449"/>
  <c r="BG449"/>
  <c r="BF449"/>
  <c r="BE449"/>
  <c r="BD449"/>
  <c r="BC449"/>
  <c r="BA449" s="1"/>
  <c r="BB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s="1"/>
  <c r="AX447"/>
  <c r="AW447"/>
  <c r="AV447"/>
  <c r="AC447"/>
  <c r="G447" s="1"/>
  <c r="H447"/>
  <c r="BT446"/>
  <c r="BS446"/>
  <c r="BR446"/>
  <c r="BQ446"/>
  <c r="BP446"/>
  <c r="BO446"/>
  <c r="BN446"/>
  <c r="BM446"/>
  <c r="BL446" s="1"/>
  <c r="BK446"/>
  <c r="BJ446"/>
  <c r="BI446"/>
  <c r="BH446"/>
  <c r="BG446"/>
  <c r="BF446"/>
  <c r="BE446"/>
  <c r="BD446"/>
  <c r="BC446"/>
  <c r="BA446" s="1"/>
  <c r="BB446"/>
  <c r="AX446"/>
  <c r="AW446"/>
  <c r="AV446"/>
  <c r="AC446"/>
  <c r="H446"/>
  <c r="G446"/>
  <c r="BT445"/>
  <c r="BS445"/>
  <c r="BR445"/>
  <c r="BQ445"/>
  <c r="BP445"/>
  <c r="BO445"/>
  <c r="BN445"/>
  <c r="BM445"/>
  <c r="BL445" s="1"/>
  <c r="BK445"/>
  <c r="BJ445"/>
  <c r="BI445"/>
  <c r="BH445"/>
  <c r="BG445"/>
  <c r="BF445"/>
  <c r="BE445"/>
  <c r="BD445"/>
  <c r="BC445"/>
  <c r="BB445"/>
  <c r="BA445"/>
  <c r="AZ445" s="1"/>
  <c r="AX445"/>
  <c r="AW445"/>
  <c r="AV445"/>
  <c r="AC445"/>
  <c r="H445"/>
  <c r="G445" s="1"/>
  <c r="BT444"/>
  <c r="BS444"/>
  <c r="BR444"/>
  <c r="BQ444"/>
  <c r="BP444"/>
  <c r="BO444"/>
  <c r="BN444"/>
  <c r="BM444"/>
  <c r="BL444"/>
  <c r="BK444"/>
  <c r="BJ444"/>
  <c r="BI444"/>
  <c r="BH444"/>
  <c r="BG444"/>
  <c r="BF444"/>
  <c r="BE444"/>
  <c r="BD444"/>
  <c r="BC444"/>
  <c r="BB444"/>
  <c r="BA444" s="1"/>
  <c r="AX444"/>
  <c r="AW444"/>
  <c r="AV444"/>
  <c r="AC444"/>
  <c r="H444"/>
  <c r="G444" s="1"/>
  <c r="BT443"/>
  <c r="BS443"/>
  <c r="BR443"/>
  <c r="BQ443"/>
  <c r="BP443"/>
  <c r="BO443"/>
  <c r="BN443"/>
  <c r="BL443" s="1"/>
  <c r="BM443"/>
  <c r="BK443"/>
  <c r="BJ443"/>
  <c r="BI443"/>
  <c r="BH443"/>
  <c r="BG443"/>
  <c r="BF443"/>
  <c r="BE443"/>
  <c r="BD443"/>
  <c r="BC443"/>
  <c r="BB443"/>
  <c r="BA443" s="1"/>
  <c r="AZ443" s="1"/>
  <c r="AX443"/>
  <c r="AW443"/>
  <c r="AV443"/>
  <c r="AC443"/>
  <c r="H443"/>
  <c r="G443"/>
  <c r="BT442"/>
  <c r="BS442"/>
  <c r="BR442"/>
  <c r="BQ442"/>
  <c r="BP442"/>
  <c r="BO442"/>
  <c r="BN442"/>
  <c r="BM442"/>
  <c r="BL442" s="1"/>
  <c r="BK442"/>
  <c r="BJ442"/>
  <c r="BI442"/>
  <c r="BH442"/>
  <c r="BG442"/>
  <c r="BF442"/>
  <c r="BE442"/>
  <c r="BD442"/>
  <c r="BC442"/>
  <c r="BB442"/>
  <c r="BA442"/>
  <c r="AX442"/>
  <c r="AW442"/>
  <c r="AV442"/>
  <c r="AC442"/>
  <c r="G442" s="1"/>
  <c r="H442"/>
  <c r="BT441"/>
  <c r="BS441"/>
  <c r="BR441"/>
  <c r="BQ441"/>
  <c r="BP441"/>
  <c r="BO441"/>
  <c r="BN441"/>
  <c r="BM441"/>
  <c r="BL441" s="1"/>
  <c r="BK441"/>
  <c r="BJ441"/>
  <c r="BI441"/>
  <c r="BH441"/>
  <c r="BG441"/>
  <c r="BF441"/>
  <c r="BE441"/>
  <c r="BD441"/>
  <c r="BC441"/>
  <c r="BA441" s="1"/>
  <c r="BB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X439"/>
  <c r="AW439"/>
  <c r="AV439"/>
  <c r="AC439"/>
  <c r="H439"/>
  <c r="G439" s="1"/>
  <c r="BT438"/>
  <c r="BS438"/>
  <c r="BR438"/>
  <c r="BQ438"/>
  <c r="BP438"/>
  <c r="BO438"/>
  <c r="BN438"/>
  <c r="BL438" s="1"/>
  <c r="BM438"/>
  <c r="BK438"/>
  <c r="BJ438"/>
  <c r="BI438"/>
  <c r="BH438"/>
  <c r="BG438"/>
  <c r="BF438"/>
  <c r="BE438"/>
  <c r="BD438"/>
  <c r="BC438"/>
  <c r="BB438"/>
  <c r="BA438" s="1"/>
  <c r="AX438"/>
  <c r="AW438"/>
  <c r="AV438"/>
  <c r="AC438"/>
  <c r="H438"/>
  <c r="G438" s="1"/>
  <c r="BT437"/>
  <c r="BS437"/>
  <c r="BR437"/>
  <c r="BQ437"/>
  <c r="BP437"/>
  <c r="BO437"/>
  <c r="BN437"/>
  <c r="BM437"/>
  <c r="BL437"/>
  <c r="BK437"/>
  <c r="BJ437"/>
  <c r="BI437"/>
  <c r="BH437"/>
  <c r="BG437"/>
  <c r="BF437"/>
  <c r="BE437"/>
  <c r="BD437"/>
  <c r="BC437"/>
  <c r="BB437"/>
  <c r="BA437" s="1"/>
  <c r="AZ437" s="1"/>
  <c r="AX437"/>
  <c r="AW437"/>
  <c r="AV437"/>
  <c r="AC437"/>
  <c r="G437" s="1"/>
  <c r="H437"/>
  <c r="BT436"/>
  <c r="BS436"/>
  <c r="BR436"/>
  <c r="BQ436"/>
  <c r="BP436"/>
  <c r="BO436"/>
  <c r="BN436"/>
  <c r="BM436"/>
  <c r="BL436" s="1"/>
  <c r="BK436"/>
  <c r="BJ436"/>
  <c r="BI436"/>
  <c r="BH436"/>
  <c r="BG436"/>
  <c r="BF436"/>
  <c r="BE436"/>
  <c r="BD436"/>
  <c r="BC436"/>
  <c r="BA436" s="1"/>
  <c r="BB436"/>
  <c r="AX436"/>
  <c r="AW436"/>
  <c r="AV436"/>
  <c r="AC436"/>
  <c r="H436"/>
  <c r="G436"/>
  <c r="BT435"/>
  <c r="BS435"/>
  <c r="BR435"/>
  <c r="BQ435"/>
  <c r="BP435"/>
  <c r="BO435"/>
  <c r="BN435"/>
  <c r="BM435"/>
  <c r="BL435" s="1"/>
  <c r="BK435"/>
  <c r="BJ435"/>
  <c r="BI435"/>
  <c r="BH435"/>
  <c r="BG435"/>
  <c r="BF435"/>
  <c r="BE435"/>
  <c r="BD435"/>
  <c r="BC435"/>
  <c r="BB435"/>
  <c r="BA435"/>
  <c r="AZ435" s="1"/>
  <c r="AX435"/>
  <c r="AW435"/>
  <c r="AV435"/>
  <c r="AC435"/>
  <c r="H435"/>
  <c r="G435" s="1"/>
  <c r="BT434"/>
  <c r="BS434"/>
  <c r="BR434"/>
  <c r="BQ434"/>
  <c r="BP434"/>
  <c r="BO434"/>
  <c r="BN434"/>
  <c r="BM434"/>
  <c r="BL434"/>
  <c r="BK434"/>
  <c r="BJ434"/>
  <c r="BI434"/>
  <c r="BH434"/>
  <c r="BG434"/>
  <c r="BF434"/>
  <c r="BE434"/>
  <c r="BD434"/>
  <c r="BC434"/>
  <c r="BB434"/>
  <c r="BA434" s="1"/>
  <c r="AX434"/>
  <c r="AW434"/>
  <c r="AV434"/>
  <c r="AC434"/>
  <c r="H434"/>
  <c r="G434" s="1"/>
  <c r="BT433"/>
  <c r="BS433"/>
  <c r="BR433"/>
  <c r="BQ433"/>
  <c r="BP433"/>
  <c r="BO433"/>
  <c r="BN433"/>
  <c r="BL433" s="1"/>
  <c r="BM433"/>
  <c r="BK433"/>
  <c r="BJ433"/>
  <c r="BI433"/>
  <c r="BH433"/>
  <c r="BG433"/>
  <c r="BF433"/>
  <c r="BE433"/>
  <c r="BD433"/>
  <c r="BC433"/>
  <c r="BB433"/>
  <c r="BA433" s="1"/>
  <c r="AX433"/>
  <c r="AW433"/>
  <c r="AV433"/>
  <c r="AC433"/>
  <c r="H433"/>
  <c r="G433" s="1"/>
  <c r="BT432"/>
  <c r="BS432"/>
  <c r="BR432"/>
  <c r="BQ432"/>
  <c r="BP432"/>
  <c r="BO432"/>
  <c r="BN432"/>
  <c r="BM432"/>
  <c r="BL432"/>
  <c r="BK432"/>
  <c r="BJ432"/>
  <c r="BI432"/>
  <c r="BH432"/>
  <c r="BG432"/>
  <c r="BF432"/>
  <c r="BE432"/>
  <c r="BD432"/>
  <c r="BC432"/>
  <c r="BB432"/>
  <c r="BA432" s="1"/>
  <c r="AZ432" s="1"/>
  <c r="AX432"/>
  <c r="AW432"/>
  <c r="AV432"/>
  <c r="AC432"/>
  <c r="G432" s="1"/>
  <c r="H432"/>
  <c r="BT431"/>
  <c r="BS431"/>
  <c r="BR431"/>
  <c r="BQ431"/>
  <c r="BP431"/>
  <c r="BO431"/>
  <c r="BN431"/>
  <c r="BM431"/>
  <c r="BL431" s="1"/>
  <c r="BK431"/>
  <c r="BJ431"/>
  <c r="BI431"/>
  <c r="BH431"/>
  <c r="BG431"/>
  <c r="BF431"/>
  <c r="BE431"/>
  <c r="BD431"/>
  <c r="BC431"/>
  <c r="BA431" s="1"/>
  <c r="BB431"/>
  <c r="AX431"/>
  <c r="AW431"/>
  <c r="AV431"/>
  <c r="AC431"/>
  <c r="H431"/>
  <c r="G431"/>
  <c r="BT430"/>
  <c r="BS430"/>
  <c r="BR430"/>
  <c r="BQ430"/>
  <c r="BP430"/>
  <c r="BO430"/>
  <c r="BN430"/>
  <c r="BM430"/>
  <c r="BL430" s="1"/>
  <c r="BK430"/>
  <c r="BJ430"/>
  <c r="BI430"/>
  <c r="BH430"/>
  <c r="BG430"/>
  <c r="BF430"/>
  <c r="BE430"/>
  <c r="BD430"/>
  <c r="BC430"/>
  <c r="BB430"/>
  <c r="BA430"/>
  <c r="AX430"/>
  <c r="AW430"/>
  <c r="AV430"/>
  <c r="AC430"/>
  <c r="G430" s="1"/>
  <c r="H430"/>
  <c r="BT429"/>
  <c r="BS429"/>
  <c r="BR429"/>
  <c r="BQ429"/>
  <c r="BP429"/>
  <c r="BO429"/>
  <c r="BN429"/>
  <c r="BM429"/>
  <c r="BL429" s="1"/>
  <c r="BK429"/>
  <c r="BJ429"/>
  <c r="BI429"/>
  <c r="BH429"/>
  <c r="BG429"/>
  <c r="BF429"/>
  <c r="BE429"/>
  <c r="BD429"/>
  <c r="BC429"/>
  <c r="BA429" s="1"/>
  <c r="BB429"/>
  <c r="AX429"/>
  <c r="AW429"/>
  <c r="AV429"/>
  <c r="AC429"/>
  <c r="H429"/>
  <c r="G429" s="1"/>
  <c r="BT428"/>
  <c r="BS428"/>
  <c r="BR428"/>
  <c r="BQ428"/>
  <c r="BP428"/>
  <c r="BO428"/>
  <c r="BN428"/>
  <c r="BL428" s="1"/>
  <c r="BM428"/>
  <c r="BK428"/>
  <c r="BJ428"/>
  <c r="BI428"/>
  <c r="BH428"/>
  <c r="BG428"/>
  <c r="BF428"/>
  <c r="BE428"/>
  <c r="BD428"/>
  <c r="BC428"/>
  <c r="BB428"/>
  <c r="BA428" s="1"/>
  <c r="AX428"/>
  <c r="AW428"/>
  <c r="AV428"/>
  <c r="AC428"/>
  <c r="H428"/>
  <c r="G428" s="1"/>
  <c r="BT427"/>
  <c r="BS427"/>
  <c r="BR427"/>
  <c r="BQ427"/>
  <c r="BP427"/>
  <c r="BO427"/>
  <c r="BN427"/>
  <c r="BM427"/>
  <c r="BL427"/>
  <c r="BK427"/>
  <c r="BJ427"/>
  <c r="BI427"/>
  <c r="BH427"/>
  <c r="BG427"/>
  <c r="BF427"/>
  <c r="BE427"/>
  <c r="BD427"/>
  <c r="BC427"/>
  <c r="BB427"/>
  <c r="BA427" s="1"/>
  <c r="AZ427" s="1"/>
  <c r="AX427"/>
  <c r="AW427"/>
  <c r="AV427"/>
  <c r="AC427"/>
  <c r="G427" s="1"/>
  <c r="H427"/>
  <c r="BT426"/>
  <c r="BS426"/>
  <c r="BR426"/>
  <c r="BQ426"/>
  <c r="BP426"/>
  <c r="BO426"/>
  <c r="BN426"/>
  <c r="BM426"/>
  <c r="BL426" s="1"/>
  <c r="BK426"/>
  <c r="BJ426"/>
  <c r="BI426"/>
  <c r="BH426"/>
  <c r="BG426"/>
  <c r="BF426"/>
  <c r="BE426"/>
  <c r="BD426"/>
  <c r="BC426"/>
  <c r="BA426" s="1"/>
  <c r="BB426"/>
  <c r="AX426"/>
  <c r="AW426"/>
  <c r="AV426"/>
  <c r="AC426"/>
  <c r="H426"/>
  <c r="G426"/>
  <c r="BT425"/>
  <c r="BS425"/>
  <c r="BR425"/>
  <c r="BQ425"/>
  <c r="BP425"/>
  <c r="BO425"/>
  <c r="BN425"/>
  <c r="BM425"/>
  <c r="BL425" s="1"/>
  <c r="BK425"/>
  <c r="BJ425"/>
  <c r="BI425"/>
  <c r="BH425"/>
  <c r="BG425"/>
  <c r="BF425"/>
  <c r="BE425"/>
  <c r="BD425"/>
  <c r="BC425"/>
  <c r="BB425"/>
  <c r="BA425"/>
  <c r="AZ425" s="1"/>
  <c r="AX425"/>
  <c r="AW425"/>
  <c r="AV425"/>
  <c r="AC425"/>
  <c r="H425"/>
  <c r="G425" s="1"/>
  <c r="BT424"/>
  <c r="BS424"/>
  <c r="BR424"/>
  <c r="BQ424"/>
  <c r="BP424"/>
  <c r="BO424"/>
  <c r="BN424"/>
  <c r="BM424"/>
  <c r="BL424"/>
  <c r="BK424"/>
  <c r="BJ424"/>
  <c r="BI424"/>
  <c r="BH424"/>
  <c r="BG424"/>
  <c r="BF424"/>
  <c r="BE424"/>
  <c r="BD424"/>
  <c r="BC424"/>
  <c r="BB424"/>
  <c r="BA424" s="1"/>
  <c r="AZ424" s="1"/>
  <c r="AX424"/>
  <c r="AW424"/>
  <c r="AV424"/>
  <c r="AC424"/>
  <c r="G424" s="1"/>
  <c r="H424"/>
  <c r="BT423"/>
  <c r="BS423"/>
  <c r="BR423"/>
  <c r="BQ423"/>
  <c r="BP423"/>
  <c r="BO423"/>
  <c r="BN423"/>
  <c r="BM423"/>
  <c r="BL423" s="1"/>
  <c r="BK423"/>
  <c r="BJ423"/>
  <c r="BI423"/>
  <c r="BH423"/>
  <c r="BG423"/>
  <c r="BF423"/>
  <c r="BE423"/>
  <c r="BD423"/>
  <c r="BC423"/>
  <c r="BA423" s="1"/>
  <c r="BB423"/>
  <c r="AX423"/>
  <c r="AW423"/>
  <c r="AV423"/>
  <c r="AC423"/>
  <c r="H423"/>
  <c r="G423"/>
  <c r="BT422"/>
  <c r="BS422"/>
  <c r="BR422"/>
  <c r="BQ422"/>
  <c r="BP422"/>
  <c r="BO422"/>
  <c r="BN422"/>
  <c r="BM422"/>
  <c r="BL422" s="1"/>
  <c r="BK422"/>
  <c r="BJ422"/>
  <c r="BI422"/>
  <c r="BH422"/>
  <c r="BG422"/>
  <c r="BF422"/>
  <c r="BE422"/>
  <c r="BD422"/>
  <c r="BC422"/>
  <c r="BB422"/>
  <c r="BA422"/>
  <c r="AX422"/>
  <c r="AW422"/>
  <c r="AV422"/>
  <c r="AC422"/>
  <c r="G422" s="1"/>
  <c r="H422"/>
  <c r="BT421"/>
  <c r="BS421"/>
  <c r="BR421"/>
  <c r="BQ421"/>
  <c r="BP421"/>
  <c r="BO421"/>
  <c r="BN421"/>
  <c r="BM421"/>
  <c r="BL421" s="1"/>
  <c r="BK421"/>
  <c r="BJ421"/>
  <c r="BI421"/>
  <c r="BH421"/>
  <c r="BG421"/>
  <c r="BF421"/>
  <c r="BE421"/>
  <c r="BD421"/>
  <c r="BC421"/>
  <c r="BA421" s="1"/>
  <c r="BB421"/>
  <c r="AX421"/>
  <c r="AW421"/>
  <c r="AV421"/>
  <c r="AC421"/>
  <c r="H421"/>
  <c r="G421" s="1"/>
  <c r="BT420"/>
  <c r="BS420"/>
  <c r="BR420"/>
  <c r="BQ420"/>
  <c r="BP420"/>
  <c r="BO420"/>
  <c r="BN420"/>
  <c r="BL420" s="1"/>
  <c r="BM420"/>
  <c r="BK420"/>
  <c r="BJ420"/>
  <c r="BI420"/>
  <c r="BH420"/>
  <c r="BG420"/>
  <c r="BF420"/>
  <c r="BE420"/>
  <c r="BD420"/>
  <c r="BC420"/>
  <c r="BB420"/>
  <c r="BA420" s="1"/>
  <c r="AX420"/>
  <c r="AW420"/>
  <c r="AV420"/>
  <c r="AC420"/>
  <c r="H420"/>
  <c r="G420"/>
  <c r="BT419"/>
  <c r="BS419"/>
  <c r="BR419"/>
  <c r="BQ419"/>
  <c r="BP419"/>
  <c r="BO419"/>
  <c r="BN419"/>
  <c r="BM419"/>
  <c r="BL419" s="1"/>
  <c r="BK419"/>
  <c r="BJ419"/>
  <c r="BI419"/>
  <c r="BH419"/>
  <c r="BG419"/>
  <c r="BF419"/>
  <c r="BE419"/>
  <c r="BD419"/>
  <c r="BC419"/>
  <c r="BB419"/>
  <c r="BA419"/>
  <c r="AZ419" s="1"/>
  <c r="AX419"/>
  <c r="AW419"/>
  <c r="AV419"/>
  <c r="AC419"/>
  <c r="H419"/>
  <c r="G419" s="1"/>
  <c r="BT418"/>
  <c r="BS418"/>
  <c r="BR418"/>
  <c r="BQ418"/>
  <c r="BP418"/>
  <c r="BO418"/>
  <c r="BN418"/>
  <c r="BM418"/>
  <c r="BL418"/>
  <c r="BK418"/>
  <c r="BJ418"/>
  <c r="BI418"/>
  <c r="BH418"/>
  <c r="BG418"/>
  <c r="BF418"/>
  <c r="BE418"/>
  <c r="BD418"/>
  <c r="BC418"/>
  <c r="BB418"/>
  <c r="BA418" s="1"/>
  <c r="AX418"/>
  <c r="AW418"/>
  <c r="AV418"/>
  <c r="AC418"/>
  <c r="H418"/>
  <c r="G418" s="1"/>
  <c r="BT417"/>
  <c r="BS417"/>
  <c r="BR417"/>
  <c r="BQ417"/>
  <c r="BP417"/>
  <c r="BO417"/>
  <c r="BN417"/>
  <c r="BL417" s="1"/>
  <c r="BM417"/>
  <c r="BK417"/>
  <c r="BJ417"/>
  <c r="BI417"/>
  <c r="BH417"/>
  <c r="BG417"/>
  <c r="BF417"/>
  <c r="BE417"/>
  <c r="BD417"/>
  <c r="BC417"/>
  <c r="BB417"/>
  <c r="BA417" s="1"/>
  <c r="AX417"/>
  <c r="AW417"/>
  <c r="AV417"/>
  <c r="AC417"/>
  <c r="H417"/>
  <c r="G417"/>
  <c r="BT416"/>
  <c r="BS416"/>
  <c r="BR416"/>
  <c r="BQ416"/>
  <c r="BP416"/>
  <c r="BO416"/>
  <c r="BN416"/>
  <c r="BM416"/>
  <c r="BL416" s="1"/>
  <c r="BK416"/>
  <c r="BJ416"/>
  <c r="BI416"/>
  <c r="BH416"/>
  <c r="BG416"/>
  <c r="BF416"/>
  <c r="BE416"/>
  <c r="BD416"/>
  <c r="BC416"/>
  <c r="BB416"/>
  <c r="BA416"/>
  <c r="AZ416" s="1"/>
  <c r="AX416"/>
  <c r="AW416"/>
  <c r="AV416"/>
  <c r="AC416"/>
  <c r="H416"/>
  <c r="G416" s="1"/>
  <c r="BT415"/>
  <c r="BS415"/>
  <c r="BR415"/>
  <c r="BQ415"/>
  <c r="BP415"/>
  <c r="BO415"/>
  <c r="BN415"/>
  <c r="BM415"/>
  <c r="BL415"/>
  <c r="BK415"/>
  <c r="BJ415"/>
  <c r="BI415"/>
  <c r="BH415"/>
  <c r="BG415"/>
  <c r="BF415"/>
  <c r="BE415"/>
  <c r="BD415"/>
  <c r="BC415"/>
  <c r="BB415"/>
  <c r="BA415" s="1"/>
  <c r="AX415"/>
  <c r="AW415"/>
  <c r="AV415"/>
  <c r="AC415"/>
  <c r="H415"/>
  <c r="G415" s="1"/>
  <c r="BT414"/>
  <c r="BS414"/>
  <c r="BR414"/>
  <c r="BQ414"/>
  <c r="BP414"/>
  <c r="BO414"/>
  <c r="BN414"/>
  <c r="BL414" s="1"/>
  <c r="BM414"/>
  <c r="BK414"/>
  <c r="BJ414"/>
  <c r="BI414"/>
  <c r="BH414"/>
  <c r="BG414"/>
  <c r="BF414"/>
  <c r="BE414"/>
  <c r="BD414"/>
  <c r="BC414"/>
  <c r="BB414"/>
  <c r="BA414" s="1"/>
  <c r="AX414"/>
  <c r="AW414"/>
  <c r="AV414"/>
  <c r="AC414"/>
  <c r="H414"/>
  <c r="G414" s="1"/>
  <c r="BT413"/>
  <c r="BS413"/>
  <c r="BR413"/>
  <c r="BQ413"/>
  <c r="BP413"/>
  <c r="BO413"/>
  <c r="BN413"/>
  <c r="BM413"/>
  <c r="BL413"/>
  <c r="BK413"/>
  <c r="BJ413"/>
  <c r="BI413"/>
  <c r="BH413"/>
  <c r="BG413"/>
  <c r="BF413"/>
  <c r="BE413"/>
  <c r="BD413"/>
  <c r="BC413"/>
  <c r="BB413"/>
  <c r="BA413" s="1"/>
  <c r="AZ413" s="1"/>
  <c r="AX413"/>
  <c r="AW413"/>
  <c r="AV413"/>
  <c r="AC413"/>
  <c r="G413" s="1"/>
  <c r="H413"/>
  <c r="BT412"/>
  <c r="BS412"/>
  <c r="BR412"/>
  <c r="BQ412"/>
  <c r="BP412"/>
  <c r="BO412"/>
  <c r="BN412"/>
  <c r="BM412"/>
  <c r="BL412" s="1"/>
  <c r="BK412"/>
  <c r="BJ412"/>
  <c r="BI412"/>
  <c r="BH412"/>
  <c r="BG412"/>
  <c r="BF412"/>
  <c r="BE412"/>
  <c r="BD412"/>
  <c r="BC412"/>
  <c r="BA412" s="1"/>
  <c r="BB412"/>
  <c r="AX412"/>
  <c r="AW412"/>
  <c r="AV412"/>
  <c r="AC412"/>
  <c r="H412"/>
  <c r="G412" s="1"/>
  <c r="BT411"/>
  <c r="BS411"/>
  <c r="BR411"/>
  <c r="BQ411"/>
  <c r="BP411"/>
  <c r="BO411"/>
  <c r="BN411"/>
  <c r="BL411" s="1"/>
  <c r="BM411"/>
  <c r="BK411"/>
  <c r="BJ411"/>
  <c r="BI411"/>
  <c r="BH411"/>
  <c r="BG411"/>
  <c r="BF411"/>
  <c r="BE411"/>
  <c r="BD411"/>
  <c r="BC411"/>
  <c r="BB411"/>
  <c r="BA411" s="1"/>
  <c r="AZ411" s="1"/>
  <c r="AX411"/>
  <c r="AW411"/>
  <c r="AV411"/>
  <c r="AC411"/>
  <c r="H411"/>
  <c r="G411"/>
  <c r="BT410"/>
  <c r="BS410"/>
  <c r="BR410"/>
  <c r="BQ410"/>
  <c r="BP410"/>
  <c r="BO410"/>
  <c r="BN410"/>
  <c r="BM410"/>
  <c r="BL410" s="1"/>
  <c r="BK410"/>
  <c r="BJ410"/>
  <c r="BI410"/>
  <c r="BH410"/>
  <c r="BG410"/>
  <c r="BF410"/>
  <c r="BE410"/>
  <c r="BD410"/>
  <c r="BC410"/>
  <c r="BB410"/>
  <c r="BA410"/>
  <c r="AX410"/>
  <c r="AW410"/>
  <c r="AV410"/>
  <c r="AC410"/>
  <c r="G410" s="1"/>
  <c r="H410"/>
  <c r="BT409"/>
  <c r="BS409"/>
  <c r="BR409"/>
  <c r="BQ409"/>
  <c r="BP409"/>
  <c r="BO409"/>
  <c r="BN409"/>
  <c r="BM409"/>
  <c r="BL409" s="1"/>
  <c r="BK409"/>
  <c r="BJ409"/>
  <c r="BI409"/>
  <c r="BH409"/>
  <c r="BG409"/>
  <c r="BF409"/>
  <c r="BE409"/>
  <c r="BD409"/>
  <c r="BC409"/>
  <c r="BA409" s="1"/>
  <c r="AZ409" s="1"/>
  <c r="BB409"/>
  <c r="AX409"/>
  <c r="AW409"/>
  <c r="AV409"/>
  <c r="AC409"/>
  <c r="H409"/>
  <c r="G409" s="1"/>
  <c r="BT408"/>
  <c r="BS408"/>
  <c r="BR408"/>
  <c r="BQ408"/>
  <c r="BP408"/>
  <c r="BO408"/>
  <c r="BN408"/>
  <c r="BL408" s="1"/>
  <c r="BM408"/>
  <c r="BK408"/>
  <c r="BJ408"/>
  <c r="BI408"/>
  <c r="BH408"/>
  <c r="BG408"/>
  <c r="BF408"/>
  <c r="BE408"/>
  <c r="BD408"/>
  <c r="BC408"/>
  <c r="BB408"/>
  <c r="BA408" s="1"/>
  <c r="AZ408" s="1"/>
  <c r="AX408"/>
  <c r="AW408"/>
  <c r="AV408"/>
  <c r="AC408"/>
  <c r="H408"/>
  <c r="G408"/>
  <c r="BT407"/>
  <c r="BS407"/>
  <c r="BR407"/>
  <c r="BQ407"/>
  <c r="BP407"/>
  <c r="BO407"/>
  <c r="BN407"/>
  <c r="BM407"/>
  <c r="BL407" s="1"/>
  <c r="BK407"/>
  <c r="BJ407"/>
  <c r="BI407"/>
  <c r="BH407"/>
  <c r="BG407"/>
  <c r="BF407"/>
  <c r="BE407"/>
  <c r="BD407"/>
  <c r="BC407"/>
  <c r="BB407"/>
  <c r="BA407"/>
  <c r="AX407"/>
  <c r="AW407"/>
  <c r="AV407"/>
  <c r="AC407"/>
  <c r="G407" s="1"/>
  <c r="H407"/>
  <c r="BT406"/>
  <c r="BS406"/>
  <c r="BR406"/>
  <c r="BQ406"/>
  <c r="BP406"/>
  <c r="BO406"/>
  <c r="BN406"/>
  <c r="BM406"/>
  <c r="BL406" s="1"/>
  <c r="BK406"/>
  <c r="BJ406"/>
  <c r="BI406"/>
  <c r="BH406"/>
  <c r="BG406"/>
  <c r="BF406"/>
  <c r="BE406"/>
  <c r="BD406"/>
  <c r="BC406"/>
  <c r="BA406" s="1"/>
  <c r="BB406"/>
  <c r="AX406"/>
  <c r="AW406"/>
  <c r="AV406"/>
  <c r="AC406"/>
  <c r="H406"/>
  <c r="G406" s="1"/>
  <c r="BT405"/>
  <c r="BS405"/>
  <c r="BR405"/>
  <c r="BQ405"/>
  <c r="BP405"/>
  <c r="BO405"/>
  <c r="BN405"/>
  <c r="BL405" s="1"/>
  <c r="BM405"/>
  <c r="BK405"/>
  <c r="BJ405"/>
  <c r="BI405"/>
  <c r="BH405"/>
  <c r="BG405"/>
  <c r="BF405"/>
  <c r="BE405"/>
  <c r="BD405"/>
  <c r="BC405"/>
  <c r="BB405"/>
  <c r="BA405" s="1"/>
  <c r="AX405"/>
  <c r="AW405"/>
  <c r="AV405"/>
  <c r="AC405"/>
  <c r="H405"/>
  <c r="G405"/>
  <c r="BT404"/>
  <c r="BS404"/>
  <c r="BR404"/>
  <c r="BQ404"/>
  <c r="BP404"/>
  <c r="BO404"/>
  <c r="BN404"/>
  <c r="BM404"/>
  <c r="BL404" s="1"/>
  <c r="BK404"/>
  <c r="BJ404"/>
  <c r="BI404"/>
  <c r="BH404"/>
  <c r="BG404"/>
  <c r="BF404"/>
  <c r="BE404"/>
  <c r="BD404"/>
  <c r="BC404"/>
  <c r="BB404"/>
  <c r="BA404"/>
  <c r="AZ404" s="1"/>
  <c r="AX404"/>
  <c r="AW404"/>
  <c r="AV404"/>
  <c r="AC404"/>
  <c r="H404"/>
  <c r="G404" s="1"/>
  <c r="BT403"/>
  <c r="BS403"/>
  <c r="BR403"/>
  <c r="BQ403"/>
  <c r="BP403"/>
  <c r="BO403"/>
  <c r="BN403"/>
  <c r="BM403"/>
  <c r="BL403"/>
  <c r="BK403"/>
  <c r="BJ403"/>
  <c r="BI403"/>
  <c r="BH403"/>
  <c r="BG403"/>
  <c r="BF403"/>
  <c r="BE403"/>
  <c r="BD403"/>
  <c r="BC403"/>
  <c r="BB403"/>
  <c r="BA403" s="1"/>
  <c r="AX403"/>
  <c r="AW403"/>
  <c r="AV403"/>
  <c r="AC403"/>
  <c r="H403"/>
  <c r="G403" s="1"/>
  <c r="BT402"/>
  <c r="BS402"/>
  <c r="BR402"/>
  <c r="BQ402"/>
  <c r="BP402"/>
  <c r="BO402"/>
  <c r="BN402"/>
  <c r="BL402" s="1"/>
  <c r="BM402"/>
  <c r="BK402"/>
  <c r="BJ402"/>
  <c r="BI402"/>
  <c r="BH402"/>
  <c r="BG402"/>
  <c r="BF402"/>
  <c r="BE402"/>
  <c r="BD402"/>
  <c r="BC402"/>
  <c r="BB402"/>
  <c r="BA402" s="1"/>
  <c r="AX402"/>
  <c r="AW402"/>
  <c r="AV402"/>
  <c r="AC402"/>
  <c r="H402"/>
  <c r="G402"/>
  <c r="BT401"/>
  <c r="BS401"/>
  <c r="BR401"/>
  <c r="BQ401"/>
  <c r="BP401"/>
  <c r="BO401"/>
  <c r="BN401"/>
  <c r="BM401"/>
  <c r="BL401" s="1"/>
  <c r="BK401"/>
  <c r="BJ401"/>
  <c r="BI401"/>
  <c r="BH401"/>
  <c r="BG401"/>
  <c r="BF401"/>
  <c r="BE401"/>
  <c r="BD401"/>
  <c r="BC401"/>
  <c r="BB401"/>
  <c r="BA401"/>
  <c r="AX401"/>
  <c r="AW401"/>
  <c r="AV401"/>
  <c r="AC401"/>
  <c r="G401" s="1"/>
  <c r="H401"/>
  <c r="BT400"/>
  <c r="BS400"/>
  <c r="BR400"/>
  <c r="BQ400"/>
  <c r="BP400"/>
  <c r="BO400"/>
  <c r="BN400"/>
  <c r="BM400"/>
  <c r="BL400" s="1"/>
  <c r="BK400"/>
  <c r="BJ400"/>
  <c r="BI400"/>
  <c r="BH400"/>
  <c r="BG400"/>
  <c r="BF400"/>
  <c r="BE400"/>
  <c r="BD400"/>
  <c r="BC400"/>
  <c r="BA400" s="1"/>
  <c r="BB400"/>
  <c r="AX400"/>
  <c r="AW400"/>
  <c r="AV400"/>
  <c r="AC400"/>
  <c r="H400"/>
  <c r="G400" s="1"/>
  <c r="BT399"/>
  <c r="BS399"/>
  <c r="BR399"/>
  <c r="BQ399"/>
  <c r="BP399"/>
  <c r="BO399"/>
  <c r="BN399"/>
  <c r="BL399" s="1"/>
  <c r="BM399"/>
  <c r="BK399"/>
  <c r="BJ399"/>
  <c r="BI399"/>
  <c r="BH399"/>
  <c r="BG399"/>
  <c r="BF399"/>
  <c r="BE399"/>
  <c r="BD399"/>
  <c r="BC399"/>
  <c r="BB399"/>
  <c r="BA399" s="1"/>
  <c r="AX399"/>
  <c r="AW399"/>
  <c r="AV399"/>
  <c r="AC399"/>
  <c r="H399"/>
  <c r="G399" s="1"/>
  <c r="BT398"/>
  <c r="BS398"/>
  <c r="BR398"/>
  <c r="BQ398"/>
  <c r="BP398"/>
  <c r="BO398"/>
  <c r="BN398"/>
  <c r="BM398"/>
  <c r="BL398"/>
  <c r="BK398"/>
  <c r="BJ398"/>
  <c r="BI398"/>
  <c r="BH398"/>
  <c r="BG398"/>
  <c r="BF398"/>
  <c r="BE398"/>
  <c r="BD398"/>
  <c r="BC398"/>
  <c r="BB398"/>
  <c r="BA398" s="1"/>
  <c r="AX398"/>
  <c r="AW398"/>
  <c r="AV398"/>
  <c r="AC398"/>
  <c r="H398"/>
  <c r="G398" s="1"/>
  <c r="BT397"/>
  <c r="BS397"/>
  <c r="BR397"/>
  <c r="BQ397"/>
  <c r="BP397"/>
  <c r="BO397"/>
  <c r="BN397"/>
  <c r="BL397" s="1"/>
  <c r="BM397"/>
  <c r="BK397"/>
  <c r="BJ397"/>
  <c r="BI397"/>
  <c r="BH397"/>
  <c r="BG397"/>
  <c r="BF397"/>
  <c r="BE397"/>
  <c r="BD397"/>
  <c r="BC397"/>
  <c r="BB397"/>
  <c r="BA397" s="1"/>
  <c r="AZ397" s="1"/>
  <c r="AX397"/>
  <c r="AW397"/>
  <c r="AV397"/>
  <c r="AC397"/>
  <c r="H397"/>
  <c r="G397"/>
  <c r="BT396"/>
  <c r="BS396"/>
  <c r="BR396"/>
  <c r="BQ396"/>
  <c r="BP396"/>
  <c r="BO396"/>
  <c r="BN396"/>
  <c r="BM396"/>
  <c r="BL396" s="1"/>
  <c r="BK396"/>
  <c r="BJ396"/>
  <c r="BI396"/>
  <c r="BH396"/>
  <c r="BG396"/>
  <c r="BF396"/>
  <c r="BE396"/>
  <c r="BD396"/>
  <c r="BC396"/>
  <c r="BB396"/>
  <c r="BA396"/>
  <c r="AZ396" s="1"/>
  <c r="AX396"/>
  <c r="AW396"/>
  <c r="AV396"/>
  <c r="AC396"/>
  <c r="H396"/>
  <c r="G396" s="1"/>
  <c r="BT395"/>
  <c r="BS395"/>
  <c r="BR395"/>
  <c r="BQ395"/>
  <c r="BP395"/>
  <c r="BO395"/>
  <c r="BN395"/>
  <c r="BM395"/>
  <c r="BL395"/>
  <c r="BK395"/>
  <c r="BJ395"/>
  <c r="BI395"/>
  <c r="BH395"/>
  <c r="BG395"/>
  <c r="BF395"/>
  <c r="BE395"/>
  <c r="BD395"/>
  <c r="BC395"/>
  <c r="BB395"/>
  <c r="BA395" s="1"/>
  <c r="AZ395" s="1"/>
  <c r="AX395"/>
  <c r="AW395"/>
  <c r="AV395"/>
  <c r="AC395"/>
  <c r="G395" s="1"/>
  <c r="H395"/>
  <c r="BT394"/>
  <c r="BS394"/>
  <c r="BR394"/>
  <c r="BQ394"/>
  <c r="BP394"/>
  <c r="BO394"/>
  <c r="BN394"/>
  <c r="BM394"/>
  <c r="BL394" s="1"/>
  <c r="BK394"/>
  <c r="BJ394"/>
  <c r="BI394"/>
  <c r="BH394"/>
  <c r="BG394"/>
  <c r="BF394"/>
  <c r="BE394"/>
  <c r="BD394"/>
  <c r="BC394"/>
  <c r="BA394" s="1"/>
  <c r="BB394"/>
  <c r="AX394"/>
  <c r="AW394"/>
  <c r="AV394"/>
  <c r="AC394"/>
  <c r="H394"/>
  <c r="G394"/>
  <c r="BT393"/>
  <c r="BS393"/>
  <c r="BR393"/>
  <c r="BQ393"/>
  <c r="BP393"/>
  <c r="BO393"/>
  <c r="BN393"/>
  <c r="BM393"/>
  <c r="BL393" s="1"/>
  <c r="BK393"/>
  <c r="BJ393"/>
  <c r="BI393"/>
  <c r="BH393"/>
  <c r="BG393"/>
  <c r="BF393"/>
  <c r="BE393"/>
  <c r="BD393"/>
  <c r="BC393"/>
  <c r="BB393"/>
  <c r="BA393"/>
  <c r="AX393"/>
  <c r="AW393"/>
  <c r="AV393"/>
  <c r="AC393"/>
  <c r="H393"/>
  <c r="G393" s="1"/>
  <c r="BT392"/>
  <c r="BS392"/>
  <c r="BR392"/>
  <c r="BQ392"/>
  <c r="BP392"/>
  <c r="BO392"/>
  <c r="BN392"/>
  <c r="BM392"/>
  <c r="BL392"/>
  <c r="BK392"/>
  <c r="BJ392"/>
  <c r="BI392"/>
  <c r="BH392"/>
  <c r="BG392"/>
  <c r="BF392"/>
  <c r="BE392"/>
  <c r="BD392"/>
  <c r="BC392"/>
  <c r="BB392"/>
  <c r="BA392" s="1"/>
  <c r="AZ392" s="1"/>
  <c r="AX392"/>
  <c r="AW392"/>
  <c r="AV392"/>
  <c r="AC392"/>
  <c r="G392" s="1"/>
  <c r="H392"/>
  <c r="BT391"/>
  <c r="BS391"/>
  <c r="BR391"/>
  <c r="BQ391"/>
  <c r="BP391"/>
  <c r="BO391"/>
  <c r="BN391"/>
  <c r="BM391"/>
  <c r="BL391" s="1"/>
  <c r="BK391"/>
  <c r="BJ391"/>
  <c r="BI391"/>
  <c r="BH391"/>
  <c r="BG391"/>
  <c r="BF391"/>
  <c r="BE391"/>
  <c r="BD391"/>
  <c r="BC391"/>
  <c r="BA391" s="1"/>
  <c r="BB391"/>
  <c r="AX391"/>
  <c r="AW391"/>
  <c r="AV391"/>
  <c r="AC391"/>
  <c r="H391"/>
  <c r="G391"/>
  <c r="BT390"/>
  <c r="BS390"/>
  <c r="BR390"/>
  <c r="BQ390"/>
  <c r="BP390"/>
  <c r="BO390"/>
  <c r="BN390"/>
  <c r="BM390"/>
  <c r="BL390" s="1"/>
  <c r="BK390"/>
  <c r="BJ390"/>
  <c r="BI390"/>
  <c r="BH390"/>
  <c r="BG390"/>
  <c r="BF390"/>
  <c r="BE390"/>
  <c r="BD390"/>
  <c r="BC390"/>
  <c r="BB390"/>
  <c r="BA390"/>
  <c r="AX390"/>
  <c r="AW390"/>
  <c r="AV390"/>
  <c r="AC390"/>
  <c r="G390" s="1"/>
  <c r="H390"/>
  <c r="BT389"/>
  <c r="BS389"/>
  <c r="BR389"/>
  <c r="BQ389"/>
  <c r="BP389"/>
  <c r="BO389"/>
  <c r="BN389"/>
  <c r="BM389"/>
  <c r="BL389" s="1"/>
  <c r="BK389"/>
  <c r="BJ389"/>
  <c r="BI389"/>
  <c r="BH389"/>
  <c r="BG389"/>
  <c r="BF389"/>
  <c r="BE389"/>
  <c r="BD389"/>
  <c r="BC389"/>
  <c r="BA389" s="1"/>
  <c r="AZ389" s="1"/>
  <c r="BB389"/>
  <c r="AX389"/>
  <c r="AW389"/>
  <c r="AV389"/>
  <c r="AC389"/>
  <c r="H389"/>
  <c r="G389" s="1"/>
  <c r="H62" i="40"/>
  <c r="I62" s="1"/>
  <c r="C62" s="1"/>
  <c r="H61"/>
  <c r="I61"/>
  <c r="C61" s="1"/>
  <c r="H60"/>
  <c r="H59"/>
  <c r="H58"/>
  <c r="I58" s="1"/>
  <c r="C58" s="1"/>
  <c r="H57"/>
  <c r="I57" s="1"/>
  <c r="C57" s="1"/>
  <c r="H56"/>
  <c r="I56"/>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45" s="1"/>
  <c r="K139"/>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c r="E48"/>
  <c r="F48" s="1"/>
  <c r="I55" i="34"/>
  <c r="J55" s="1"/>
  <c r="G55"/>
  <c r="H55" s="1"/>
  <c r="E55"/>
  <c r="F55" s="1"/>
  <c r="I50" i="40"/>
  <c r="J50" s="1"/>
  <c r="G50"/>
  <c r="H50" s="1"/>
  <c r="E50"/>
  <c r="F50"/>
  <c r="I55" i="39"/>
  <c r="J55" s="1"/>
  <c r="G55"/>
  <c r="H55" s="1"/>
  <c r="E55"/>
  <c r="F55" s="1"/>
  <c r="I42" i="36"/>
  <c r="J42" s="1"/>
  <c r="G42"/>
  <c r="H42" s="1"/>
  <c r="E42"/>
  <c r="F42" s="1"/>
  <c r="I44" i="35"/>
  <c r="J44" s="1"/>
  <c r="G44"/>
  <c r="H44" s="1"/>
  <c r="E44"/>
  <c r="F44" s="1"/>
  <c r="I54" i="33"/>
  <c r="J54"/>
  <c r="G54"/>
  <c r="E54"/>
  <c r="F54" s="1"/>
  <c r="H14" i="3"/>
  <c r="AC14"/>
  <c r="G14" s="1"/>
  <c r="H15"/>
  <c r="AC15"/>
  <c r="H16"/>
  <c r="AC16"/>
  <c r="H17"/>
  <c r="AC17"/>
  <c r="H18"/>
  <c r="AC18"/>
  <c r="BB18"/>
  <c r="BC18"/>
  <c r="BD18"/>
  <c r="BE18"/>
  <c r="BF18"/>
  <c r="BG18"/>
  <c r="BH18"/>
  <c r="BI18"/>
  <c r="BJ18"/>
  <c r="BK18"/>
  <c r="BM18"/>
  <c r="BN18"/>
  <c r="BO18"/>
  <c r="BP18"/>
  <c r="BR18"/>
  <c r="BS18"/>
  <c r="BT18"/>
  <c r="H19"/>
  <c r="G19" s="1"/>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G481" s="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G487" s="1"/>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G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G497" s="1"/>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G505" s="1"/>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G511" s="1"/>
  <c r="BB511"/>
  <c r="BC511"/>
  <c r="BD511"/>
  <c r="BE511"/>
  <c r="BF511"/>
  <c r="BG511"/>
  <c r="BH511"/>
  <c r="BI511"/>
  <c r="BJ511"/>
  <c r="BK511"/>
  <c r="BM511"/>
  <c r="BN511"/>
  <c r="BO511"/>
  <c r="BP511"/>
  <c r="BQ511"/>
  <c r="BR511"/>
  <c r="BS511"/>
  <c r="BT511"/>
  <c r="H512"/>
  <c r="AC512"/>
  <c r="G512" s="1"/>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G520" s="1"/>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G524" s="1"/>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G528" s="1"/>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G531" s="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G535" s="1"/>
  <c r="BB535"/>
  <c r="BC535"/>
  <c r="BD535"/>
  <c r="BE535"/>
  <c r="BF535"/>
  <c r="BG535"/>
  <c r="BH535"/>
  <c r="BI535"/>
  <c r="BJ535"/>
  <c r="BK535"/>
  <c r="BM535"/>
  <c r="BN535"/>
  <c r="BO535"/>
  <c r="BP535"/>
  <c r="BQ535"/>
  <c r="BR535"/>
  <c r="BS535"/>
  <c r="BT535"/>
  <c r="H536"/>
  <c r="G536"/>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G540" s="1"/>
  <c r="BB540"/>
  <c r="BC540"/>
  <c r="BD540"/>
  <c r="BE540"/>
  <c r="BF540"/>
  <c r="BG540"/>
  <c r="BH540"/>
  <c r="BI540"/>
  <c r="BJ540"/>
  <c r="BK540"/>
  <c r="BM540"/>
  <c r="BN540"/>
  <c r="BO540"/>
  <c r="BP540"/>
  <c r="BR540"/>
  <c r="BS540"/>
  <c r="BT540"/>
  <c r="H541"/>
  <c r="AC541"/>
  <c r="G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G543" s="1"/>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G551" s="1"/>
  <c r="AC551"/>
  <c r="BB551"/>
  <c r="BC551"/>
  <c r="BD551"/>
  <c r="BE551"/>
  <c r="BF551"/>
  <c r="BG551"/>
  <c r="BH551"/>
  <c r="BI551"/>
  <c r="BJ551"/>
  <c r="BK551"/>
  <c r="BM551"/>
  <c r="BN551"/>
  <c r="BO551"/>
  <c r="BP551"/>
  <c r="BQ551"/>
  <c r="BR551"/>
  <c r="BS551"/>
  <c r="BT551"/>
  <c r="H552"/>
  <c r="G552" s="1"/>
  <c r="AC552"/>
  <c r="BB552"/>
  <c r="BC552"/>
  <c r="BD552"/>
  <c r="BE552"/>
  <c r="BF552"/>
  <c r="BG552"/>
  <c r="BH552"/>
  <c r="BI552"/>
  <c r="BJ552"/>
  <c r="BK552"/>
  <c r="BM552"/>
  <c r="BN552"/>
  <c r="BO552"/>
  <c r="BP552"/>
  <c r="BR552"/>
  <c r="BS552"/>
  <c r="BT552"/>
  <c r="H553"/>
  <c r="G553" s="1"/>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G559" s="1"/>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G568" s="1"/>
  <c r="AC568"/>
  <c r="BB568"/>
  <c r="BC568"/>
  <c r="BD568"/>
  <c r="BE568"/>
  <c r="BF568"/>
  <c r="BG568"/>
  <c r="BH568"/>
  <c r="BI568"/>
  <c r="BJ568"/>
  <c r="BK568"/>
  <c r="BM568"/>
  <c r="BN568"/>
  <c r="BO568"/>
  <c r="BP568"/>
  <c r="BR568"/>
  <c r="BS568"/>
  <c r="BT568"/>
  <c r="H569"/>
  <c r="G569"/>
  <c r="AC569"/>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c r="AA16" s="1"/>
  <c r="B81"/>
  <c r="B79"/>
  <c r="F14" s="1"/>
  <c r="AA14" s="1"/>
  <c r="M76"/>
  <c r="L76"/>
  <c r="K76"/>
  <c r="J76"/>
  <c r="I76"/>
  <c r="H76"/>
  <c r="G76"/>
  <c r="F76"/>
  <c r="E76"/>
  <c r="D76"/>
  <c r="C76"/>
  <c r="P45"/>
  <c r="P44"/>
  <c r="V43"/>
  <c r="T43"/>
  <c r="R43"/>
  <c r="P43"/>
  <c r="Q42"/>
  <c r="Z42" s="1"/>
  <c r="Q41"/>
  <c r="Z41"/>
  <c r="Q40"/>
  <c r="Z40" s="1"/>
  <c r="Q39"/>
  <c r="Z39"/>
  <c r="Q38"/>
  <c r="Z38" s="1"/>
  <c r="Q37"/>
  <c r="Z37"/>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c r="Q43"/>
  <c r="Z43" s="1"/>
  <c r="Q44"/>
  <c r="Z44" s="1"/>
  <c r="Q45"/>
  <c r="Z45" s="1"/>
  <c r="Q46"/>
  <c r="Z46" s="1"/>
  <c r="Q47"/>
  <c r="Z47" s="1"/>
  <c r="Q40"/>
  <c r="Z40"/>
  <c r="Q38"/>
  <c r="Z38" s="1"/>
  <c r="Q39"/>
  <c r="Z39" s="1"/>
  <c r="M118"/>
  <c r="L118"/>
  <c r="K118"/>
  <c r="J118"/>
  <c r="I118"/>
  <c r="H118"/>
  <c r="G118"/>
  <c r="F118"/>
  <c r="E118"/>
  <c r="D118"/>
  <c r="C118"/>
  <c r="B133"/>
  <c r="B131"/>
  <c r="B129"/>
  <c r="D128"/>
  <c r="D124"/>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c r="AC39" s="1"/>
  <c r="B108"/>
  <c r="C23"/>
  <c r="C19"/>
  <c r="C17"/>
  <c r="C15"/>
  <c r="B112"/>
  <c r="D107"/>
  <c r="E107"/>
  <c r="D105"/>
  <c r="E105" s="1"/>
  <c r="F105" s="1"/>
  <c r="G105" s="1"/>
  <c r="H36"/>
  <c r="D103"/>
  <c r="J35"/>
  <c r="AC35" s="1"/>
  <c r="F97"/>
  <c r="E97"/>
  <c r="D97"/>
  <c r="C97"/>
  <c r="D96"/>
  <c r="E96"/>
  <c r="D94"/>
  <c r="M90"/>
  <c r="L90"/>
  <c r="K90"/>
  <c r="J90"/>
  <c r="I90"/>
  <c r="H90"/>
  <c r="G90"/>
  <c r="F90"/>
  <c r="E90"/>
  <c r="D90"/>
  <c r="C90"/>
  <c r="D89"/>
  <c r="B86"/>
  <c r="B84"/>
  <c r="H27"/>
  <c r="U27" s="1"/>
  <c r="B82"/>
  <c r="J26" s="1"/>
  <c r="D79"/>
  <c r="E79" s="1"/>
  <c r="F79" s="1"/>
  <c r="D75"/>
  <c r="E75"/>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s="1"/>
  <c r="Q38"/>
  <c r="Z38"/>
  <c r="Q37"/>
  <c r="Z37" s="1"/>
  <c r="Q36"/>
  <c r="Z36"/>
  <c r="Q35"/>
  <c r="Z35" s="1"/>
  <c r="Q34"/>
  <c r="Z34" s="1"/>
  <c r="Q33"/>
  <c r="Z33" s="1"/>
  <c r="Q32"/>
  <c r="Z32" s="1"/>
  <c r="Q31"/>
  <c r="Z31" s="1"/>
  <c r="J31"/>
  <c r="Q30"/>
  <c r="Z30"/>
  <c r="J30"/>
  <c r="W30" s="1"/>
  <c r="H30"/>
  <c r="AB30" s="1"/>
  <c r="F30"/>
  <c r="Q29"/>
  <c r="Z29"/>
  <c r="H29"/>
  <c r="U29" s="1"/>
  <c r="Q28"/>
  <c r="Z28" s="1"/>
  <c r="Q27"/>
  <c r="Z27" s="1"/>
  <c r="Q26"/>
  <c r="Z26" s="1"/>
  <c r="Q25"/>
  <c r="Z25" s="1"/>
  <c r="F25"/>
  <c r="AA25" s="1"/>
  <c r="Q23"/>
  <c r="Z23" s="1"/>
  <c r="Q19"/>
  <c r="Z19" s="1"/>
  <c r="Q17"/>
  <c r="Z17"/>
  <c r="Q15"/>
  <c r="Z15" s="1"/>
  <c r="Q14"/>
  <c r="Z14"/>
  <c r="Q13"/>
  <c r="Z13" s="1"/>
  <c r="Q12"/>
  <c r="Z12"/>
  <c r="Q11"/>
  <c r="Z11" s="1"/>
  <c r="Q10"/>
  <c r="Z10"/>
  <c r="F10"/>
  <c r="AA10" s="1"/>
  <c r="Q9"/>
  <c r="Z9"/>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c r="W24" s="1"/>
  <c r="B71"/>
  <c r="J23" s="1"/>
  <c r="D70"/>
  <c r="H22"/>
  <c r="AB22" s="1"/>
  <c r="D68"/>
  <c r="E68" s="1"/>
  <c r="D64"/>
  <c r="E64" s="1"/>
  <c r="F64" s="1"/>
  <c r="G64" s="1"/>
  <c r="J16"/>
  <c r="D62"/>
  <c r="E62" s="1"/>
  <c r="B59"/>
  <c r="B57"/>
  <c r="J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c r="H26"/>
  <c r="AB26" s="1"/>
  <c r="Q25"/>
  <c r="Z25" s="1"/>
  <c r="Q24"/>
  <c r="Z24" s="1"/>
  <c r="H24"/>
  <c r="AB24" s="1"/>
  <c r="Q23"/>
  <c r="Z23" s="1"/>
  <c r="H23"/>
  <c r="AB23" s="1"/>
  <c r="F23"/>
  <c r="AA23" s="1"/>
  <c r="Q22"/>
  <c r="Z22"/>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B77"/>
  <c r="B75"/>
  <c r="J24" s="1"/>
  <c r="B73"/>
  <c r="B57"/>
  <c r="B61"/>
  <c r="B59"/>
  <c r="H12" s="1"/>
  <c r="B131" i="34"/>
  <c r="B129"/>
  <c r="B127"/>
  <c r="B99"/>
  <c r="B97"/>
  <c r="B95"/>
  <c r="B93"/>
  <c r="B75"/>
  <c r="B73"/>
  <c r="B71"/>
  <c r="B130" i="33"/>
  <c r="B128"/>
  <c r="H45" s="1"/>
  <c r="B126"/>
  <c r="B98"/>
  <c r="F31" s="1"/>
  <c r="B96"/>
  <c r="B94"/>
  <c r="B74"/>
  <c r="B72"/>
  <c r="B70"/>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Q35"/>
  <c r="Z35" s="1"/>
  <c r="Q34"/>
  <c r="Z34" s="1"/>
  <c r="J34"/>
  <c r="AC34" s="1"/>
  <c r="H34"/>
  <c r="AB34" s="1"/>
  <c r="F34"/>
  <c r="AA34" s="1"/>
  <c r="Q33"/>
  <c r="Z33"/>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s="1"/>
  <c r="Q20"/>
  <c r="Z20"/>
  <c r="Q16"/>
  <c r="Z16" s="1"/>
  <c r="Q14"/>
  <c r="Z14" s="1"/>
  <c r="Q13"/>
  <c r="Z13" s="1"/>
  <c r="Q12"/>
  <c r="Z12" s="1"/>
  <c r="J12"/>
  <c r="W12" s="1"/>
  <c r="F12"/>
  <c r="AA12" s="1"/>
  <c r="Q11"/>
  <c r="Z11" s="1"/>
  <c r="Q10"/>
  <c r="Z10" s="1"/>
  <c r="Q9"/>
  <c r="Z9" s="1"/>
  <c r="J9"/>
  <c r="W9" s="1"/>
  <c r="F9"/>
  <c r="AA9" s="1"/>
  <c r="J8"/>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P50"/>
  <c r="P49"/>
  <c r="V48"/>
  <c r="T48"/>
  <c r="R48"/>
  <c r="P48"/>
  <c r="Q47"/>
  <c r="Z47" s="1"/>
  <c r="Q46"/>
  <c r="Z46" s="1"/>
  <c r="Q45"/>
  <c r="Z45" s="1"/>
  <c r="Q44"/>
  <c r="Z44" s="1"/>
  <c r="H44"/>
  <c r="AB44" s="1"/>
  <c r="Q43"/>
  <c r="Z43" s="1"/>
  <c r="F43"/>
  <c r="AA43" s="1"/>
  <c r="Q42"/>
  <c r="Z42" s="1"/>
  <c r="Q41"/>
  <c r="Z41"/>
  <c r="Q40"/>
  <c r="Z40" s="1"/>
  <c r="F40"/>
  <c r="S40" s="1"/>
  <c r="Q39"/>
  <c r="Z39"/>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J9"/>
  <c r="AC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s="1"/>
  <c r="J40"/>
  <c r="AC40" s="1"/>
  <c r="H40"/>
  <c r="AA40"/>
  <c r="Q39"/>
  <c r="Z39" s="1"/>
  <c r="J39"/>
  <c r="AC39" s="1"/>
  <c r="Q38"/>
  <c r="Z38" s="1"/>
  <c r="J38"/>
  <c r="AC38" s="1"/>
  <c r="H38"/>
  <c r="AB38" s="1"/>
  <c r="F38"/>
  <c r="AA38" s="1"/>
  <c r="Q37"/>
  <c r="Z37" s="1"/>
  <c r="Q36"/>
  <c r="Z36"/>
  <c r="Q35"/>
  <c r="Z35" s="1"/>
  <c r="H35"/>
  <c r="AB35" s="1"/>
  <c r="Q34"/>
  <c r="Z34" s="1"/>
  <c r="Q33"/>
  <c r="Z33" s="1"/>
  <c r="J33"/>
  <c r="AC33" s="1"/>
  <c r="H33"/>
  <c r="AB33" s="1"/>
  <c r="F33"/>
  <c r="AA33" s="1"/>
  <c r="Q32"/>
  <c r="Z32" s="1"/>
  <c r="Q31"/>
  <c r="Z31"/>
  <c r="Q30"/>
  <c r="Z30" s="1"/>
  <c r="Q29"/>
  <c r="Z29"/>
  <c r="Q28"/>
  <c r="Z28" s="1"/>
  <c r="Q27"/>
  <c r="Z27"/>
  <c r="Q26"/>
  <c r="Z26" s="1"/>
  <c r="Q25"/>
  <c r="Z25"/>
  <c r="Q23"/>
  <c r="Z23" s="1"/>
  <c r="Q19"/>
  <c r="Z19" s="1"/>
  <c r="Q17"/>
  <c r="Z17" s="1"/>
  <c r="Q15"/>
  <c r="Z15" s="1"/>
  <c r="F15"/>
  <c r="AA15" s="1"/>
  <c r="Q14"/>
  <c r="Z14" s="1"/>
  <c r="Q13"/>
  <c r="Z13" s="1"/>
  <c r="Q12"/>
  <c r="Z12" s="1"/>
  <c r="J12"/>
  <c r="W12" s="1"/>
  <c r="H12"/>
  <c r="U12" s="1"/>
  <c r="F12"/>
  <c r="S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F5" s="1"/>
  <c r="BG13"/>
  <c r="BG5" s="1"/>
  <c r="BH13"/>
  <c r="BI13"/>
  <c r="BJ13"/>
  <c r="BK13"/>
  <c r="BM13"/>
  <c r="BN13"/>
  <c r="BO13"/>
  <c r="BP13"/>
  <c r="BS13"/>
  <c r="BT13"/>
  <c r="BB570"/>
  <c r="BA570" s="1"/>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s="1"/>
  <c r="H571"/>
  <c r="G571" s="1"/>
  <c r="H572"/>
  <c r="G572" s="1"/>
  <c r="F5"/>
  <c r="G27" i="6"/>
  <c r="F34" i="21"/>
  <c r="AA34" s="1"/>
  <c r="H34"/>
  <c r="U34" s="1"/>
  <c r="F43"/>
  <c r="S43" s="1"/>
  <c r="H38"/>
  <c r="AB38" s="1"/>
  <c r="H43"/>
  <c r="AB43" s="1"/>
  <c r="F32"/>
  <c r="S32" s="1"/>
  <c r="F38"/>
  <c r="S38" s="1"/>
  <c r="F36"/>
  <c r="S36" s="1"/>
  <c r="F39"/>
  <c r="AA39" s="1"/>
  <c r="J40"/>
  <c r="W40" s="1"/>
  <c r="H35"/>
  <c r="AB35" s="1"/>
  <c r="J8"/>
  <c r="AC8" s="1"/>
  <c r="J9"/>
  <c r="AC9" s="1"/>
  <c r="H8"/>
  <c r="AB8" s="1"/>
  <c r="H9"/>
  <c r="AB9" s="1"/>
  <c r="H10"/>
  <c r="U10" s="1"/>
  <c r="H39"/>
  <c r="AB39" s="1"/>
  <c r="J34"/>
  <c r="W34" s="1"/>
  <c r="H36"/>
  <c r="U36" s="1"/>
  <c r="F35"/>
  <c r="AA35" s="1"/>
  <c r="J33"/>
  <c r="W33" s="1"/>
  <c r="H33"/>
  <c r="U33" s="1"/>
  <c r="F33"/>
  <c r="J10"/>
  <c r="AC10" s="1"/>
  <c r="H26"/>
  <c r="AB26" s="1"/>
  <c r="F19"/>
  <c r="AA19" s="1"/>
  <c r="H19"/>
  <c r="AB19" s="1"/>
  <c r="J19"/>
  <c r="W19" s="1"/>
  <c r="J12"/>
  <c r="H12"/>
  <c r="U12" s="1"/>
  <c r="J26"/>
  <c r="W26" s="1"/>
  <c r="F26"/>
  <c r="AA26" s="1"/>
  <c r="S10" i="39"/>
  <c r="U30" i="37"/>
  <c r="E103"/>
  <c r="F103"/>
  <c r="F39"/>
  <c r="S39" s="1"/>
  <c r="W39"/>
  <c r="F29" i="36"/>
  <c r="AA29" s="1"/>
  <c r="F16"/>
  <c r="AA16" s="1"/>
  <c r="U22"/>
  <c r="W22"/>
  <c r="U26"/>
  <c r="AC31"/>
  <c r="J33"/>
  <c r="W33" s="1"/>
  <c r="AC27" i="35"/>
  <c r="U31"/>
  <c r="S34"/>
  <c r="S31"/>
  <c r="W31"/>
  <c r="U34"/>
  <c r="F36" i="34"/>
  <c r="S36" s="1"/>
  <c r="W9"/>
  <c r="S34"/>
  <c r="W39"/>
  <c r="H39" i="33"/>
  <c r="AB39" s="1"/>
  <c r="F26"/>
  <c r="AA26" s="1"/>
  <c r="U33"/>
  <c r="W38"/>
  <c r="S40"/>
  <c r="S33"/>
  <c r="W33"/>
  <c r="U38"/>
  <c r="H39" i="37"/>
  <c r="AB39" s="1"/>
  <c r="AB27" i="35"/>
  <c r="S10" i="40"/>
  <c r="W10"/>
  <c r="S11"/>
  <c r="U11"/>
  <c r="S36"/>
  <c r="U36"/>
  <c r="S40" i="39"/>
  <c r="S36"/>
  <c r="F11" i="21"/>
  <c r="S11" s="1"/>
  <c r="C29" i="39"/>
  <c r="C23"/>
  <c r="U36"/>
  <c r="H32" i="33"/>
  <c r="AB32" s="1"/>
  <c r="H11" i="21"/>
  <c r="U11" s="1"/>
  <c r="J11"/>
  <c r="W11" s="1"/>
  <c r="F100" i="40"/>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W14" s="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AA38"/>
  <c r="W35" i="35"/>
  <c r="W46" i="33"/>
  <c r="U30"/>
  <c r="AB40" i="37"/>
  <c r="J36"/>
  <c r="AC36" s="1"/>
  <c r="AB28" i="36"/>
  <c r="U46" i="21"/>
  <c r="AC30"/>
  <c r="W30"/>
  <c r="S28"/>
  <c r="AA28"/>
  <c r="AC14"/>
  <c r="W31" i="34"/>
  <c r="S46" i="33"/>
  <c r="U36" i="37"/>
  <c r="AB31" i="33"/>
  <c r="AA27"/>
  <c r="S45" i="21"/>
  <c r="U28"/>
  <c r="G529" i="3"/>
  <c r="G521"/>
  <c r="G517"/>
  <c r="G513"/>
  <c r="G508"/>
  <c r="G499"/>
  <c r="G493"/>
  <c r="G485"/>
  <c r="G17"/>
  <c r="G565"/>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AZ569" s="1"/>
  <c r="BA565"/>
  <c r="BA561"/>
  <c r="AZ561" s="1"/>
  <c r="BA559"/>
  <c r="AZ559" s="1"/>
  <c r="BA557"/>
  <c r="AZ557" s="1"/>
  <c r="BA555"/>
  <c r="AZ555"/>
  <c r="BA551"/>
  <c r="AZ551" s="1"/>
  <c r="BA545"/>
  <c r="BA543"/>
  <c r="BA541"/>
  <c r="AZ541" s="1"/>
  <c r="BA531"/>
  <c r="BA521"/>
  <c r="BA509"/>
  <c r="BA505"/>
  <c r="BA501"/>
  <c r="BA493"/>
  <c r="AZ493"/>
  <c r="BA487"/>
  <c r="BA19"/>
  <c r="BA572"/>
  <c r="AZ572" s="1"/>
  <c r="BA566"/>
  <c r="BA562"/>
  <c r="BA560"/>
  <c r="BA558"/>
  <c r="BA556"/>
  <c r="BA554"/>
  <c r="BA550"/>
  <c r="BA546"/>
  <c r="BA544"/>
  <c r="BA540"/>
  <c r="BA536"/>
  <c r="BA532"/>
  <c r="BA528"/>
  <c r="BA524"/>
  <c r="BA520"/>
  <c r="BA516"/>
  <c r="BA512"/>
  <c r="BA508"/>
  <c r="BA502"/>
  <c r="BA498"/>
  <c r="BA492"/>
  <c r="AZ492"/>
  <c r="BA488"/>
  <c r="BA484"/>
  <c r="BA20"/>
  <c r="G566"/>
  <c r="G562"/>
  <c r="G560"/>
  <c r="G558"/>
  <c r="G556"/>
  <c r="G554"/>
  <c r="G550"/>
  <c r="G546"/>
  <c r="BL543"/>
  <c r="AZ543"/>
  <c r="BA542"/>
  <c r="AZ542" s="1"/>
  <c r="AC542"/>
  <c r="G542" s="1"/>
  <c r="BQ542"/>
  <c r="BL542"/>
  <c r="BQ568"/>
  <c r="BQ566"/>
  <c r="BQ564"/>
  <c r="BL564" s="1"/>
  <c r="BQ562"/>
  <c r="BL562"/>
  <c r="AZ562"/>
  <c r="BQ560"/>
  <c r="BL560" s="1"/>
  <c r="AZ560" s="1"/>
  <c r="BQ558"/>
  <c r="BL558"/>
  <c r="BQ556"/>
  <c r="BL556" s="1"/>
  <c r="BQ554"/>
  <c r="BQ552"/>
  <c r="BL552" s="1"/>
  <c r="BQ550"/>
  <c r="BL550"/>
  <c r="AZ550" s="1"/>
  <c r="BQ548"/>
  <c r="BQ546"/>
  <c r="BL546"/>
  <c r="BQ544"/>
  <c r="BL544" s="1"/>
  <c r="G544"/>
  <c r="G538"/>
  <c r="G534"/>
  <c r="G530"/>
  <c r="G526"/>
  <c r="G522"/>
  <c r="BQ540"/>
  <c r="BL540" s="1"/>
  <c r="AZ540" s="1"/>
  <c r="BQ538"/>
  <c r="BL538"/>
  <c r="BQ536"/>
  <c r="BQ534"/>
  <c r="BL534"/>
  <c r="BQ532"/>
  <c r="BL532" s="1"/>
  <c r="BQ530"/>
  <c r="BQ528"/>
  <c r="BQ526"/>
  <c r="BL526" s="1"/>
  <c r="BQ524"/>
  <c r="BL524"/>
  <c r="BQ522"/>
  <c r="BQ520"/>
  <c r="BL520" s="1"/>
  <c r="AZ520" s="1"/>
  <c r="BQ518"/>
  <c r="BQ516"/>
  <c r="BL516" s="1"/>
  <c r="BQ514"/>
  <c r="BL514"/>
  <c r="BQ512"/>
  <c r="BQ510"/>
  <c r="BL510" s="1"/>
  <c r="BQ508"/>
  <c r="BL508"/>
  <c r="AC506"/>
  <c r="G506" s="1"/>
  <c r="BQ506"/>
  <c r="G502"/>
  <c r="G498"/>
  <c r="BQ504"/>
  <c r="BQ502"/>
  <c r="BL502"/>
  <c r="BQ500"/>
  <c r="BL500" s="1"/>
  <c r="BQ498"/>
  <c r="BQ496"/>
  <c r="AC494"/>
  <c r="BQ494"/>
  <c r="BL493"/>
  <c r="G492"/>
  <c r="G488"/>
  <c r="G484"/>
  <c r="G20"/>
  <c r="BQ492"/>
  <c r="BL492" s="1"/>
  <c r="BQ490"/>
  <c r="BQ488"/>
  <c r="BL488"/>
  <c r="BQ486"/>
  <c r="BQ484"/>
  <c r="BL484"/>
  <c r="AZ484" s="1"/>
  <c r="BQ482"/>
  <c r="BL482" s="1"/>
  <c r="BQ20"/>
  <c r="BL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AC41" i="34"/>
  <c r="H42" i="33"/>
  <c r="U42" s="1"/>
  <c r="J43"/>
  <c r="AC43" s="1"/>
  <c r="G79" i="37"/>
  <c r="J23"/>
  <c r="W23" s="1"/>
  <c r="F17"/>
  <c r="AA17" s="1"/>
  <c r="AB43" i="33"/>
  <c r="D3" i="21"/>
  <c r="AC33" i="36"/>
  <c r="AC12" i="35"/>
  <c r="W23"/>
  <c r="AC23" i="37"/>
  <c r="S27"/>
  <c r="U39"/>
  <c r="AC8"/>
  <c r="S25"/>
  <c r="AC36" i="34"/>
  <c r="AB8"/>
  <c r="AC37" i="33"/>
  <c r="AA13"/>
  <c r="AC45"/>
  <c r="AC33" i="21"/>
  <c r="F43" i="33"/>
  <c r="AA43" s="1"/>
  <c r="AB44"/>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U31"/>
  <c r="E90" i="40"/>
  <c r="F21"/>
  <c r="S21" s="1"/>
  <c r="W36"/>
  <c r="U40" i="39"/>
  <c r="F90" i="40"/>
  <c r="G90" s="1"/>
  <c r="J21"/>
  <c r="AC21" s="1"/>
  <c r="S27" i="31"/>
  <c r="AZ558" i="3"/>
  <c r="G483"/>
  <c r="G515"/>
  <c r="G507"/>
  <c r="G501"/>
  <c r="BA15"/>
  <c r="BL17"/>
  <c r="BL15"/>
  <c r="BA14"/>
  <c r="AZ14" s="1"/>
  <c r="BT5"/>
  <c r="J57" i="39"/>
  <c r="H13" i="40"/>
  <c r="U13" s="1"/>
  <c r="H12" i="48"/>
  <c r="I4" i="4"/>
  <c r="K141" i="21"/>
  <c r="K143"/>
  <c r="K144"/>
  <c r="I59" i="40"/>
  <c r="C59" s="1"/>
  <c r="I60"/>
  <c r="C60" s="1"/>
  <c r="G297" i="3"/>
  <c r="BL298"/>
  <c r="AZ298" s="1"/>
  <c r="G299"/>
  <c r="BL300"/>
  <c r="BA302"/>
  <c r="AZ302"/>
  <c r="BA303"/>
  <c r="AZ303" s="1"/>
  <c r="BL303"/>
  <c r="G304"/>
  <c r="BA305"/>
  <c r="AZ305"/>
  <c r="G321"/>
  <c r="BL322"/>
  <c r="G323"/>
  <c r="BL324"/>
  <c r="BA326"/>
  <c r="AZ326"/>
  <c r="BA327"/>
  <c r="BL327"/>
  <c r="G328"/>
  <c r="BA329"/>
  <c r="AZ329"/>
  <c r="G337"/>
  <c r="BL338"/>
  <c r="G339"/>
  <c r="BL340"/>
  <c r="BA342"/>
  <c r="AZ342"/>
  <c r="BA343"/>
  <c r="BL343"/>
  <c r="G344"/>
  <c r="BA345"/>
  <c r="AZ345" s="1"/>
  <c r="G353"/>
  <c r="BL354"/>
  <c r="G355"/>
  <c r="BL356"/>
  <c r="G357"/>
  <c r="BL358"/>
  <c r="G359"/>
  <c r="BA360"/>
  <c r="AZ360"/>
  <c r="BA361"/>
  <c r="BL361"/>
  <c r="G362"/>
  <c r="BA363"/>
  <c r="G371"/>
  <c r="BL372"/>
  <c r="G373"/>
  <c r="BL374"/>
  <c r="BA376"/>
  <c r="AZ376" s="1"/>
  <c r="BA377"/>
  <c r="BL377"/>
  <c r="AZ377" s="1"/>
  <c r="G378"/>
  <c r="BA379"/>
  <c r="BA114"/>
  <c r="AZ114"/>
  <c r="BL115"/>
  <c r="AZ115" s="1"/>
  <c r="G116"/>
  <c r="BA118"/>
  <c r="AZ118"/>
  <c r="BL119"/>
  <c r="AZ119"/>
  <c r="G120"/>
  <c r="BA122"/>
  <c r="AZ122" s="1"/>
  <c r="BL123"/>
  <c r="AZ123"/>
  <c r="G124"/>
  <c r="BA126"/>
  <c r="AZ126"/>
  <c r="BL127"/>
  <c r="AZ127" s="1"/>
  <c r="G128"/>
  <c r="BA130"/>
  <c r="AZ130"/>
  <c r="BL131"/>
  <c r="AZ131"/>
  <c r="G132"/>
  <c r="BA134"/>
  <c r="AZ134"/>
  <c r="BL135"/>
  <c r="AZ135" s="1"/>
  <c r="G136"/>
  <c r="BA138"/>
  <c r="AZ138" s="1"/>
  <c r="BL139"/>
  <c r="AZ139"/>
  <c r="G140"/>
  <c r="BA142"/>
  <c r="AZ142" s="1"/>
  <c r="BL143"/>
  <c r="G144"/>
  <c r="BA146"/>
  <c r="AZ146" s="1"/>
  <c r="BL147"/>
  <c r="AZ147"/>
  <c r="G148"/>
  <c r="BA150"/>
  <c r="AZ150"/>
  <c r="BL151"/>
  <c r="AZ151"/>
  <c r="BA153"/>
  <c r="AZ153"/>
  <c r="BL154"/>
  <c r="G155"/>
  <c r="BA157"/>
  <c r="AZ157"/>
  <c r="BL158"/>
  <c r="G159"/>
  <c r="BA161"/>
  <c r="AZ161"/>
  <c r="BL162"/>
  <c r="AZ162" s="1"/>
  <c r="G163"/>
  <c r="BA165"/>
  <c r="AZ165"/>
  <c r="BL166"/>
  <c r="AZ166" s="1"/>
  <c r="G167"/>
  <c r="BA169"/>
  <c r="AZ169"/>
  <c r="BL170"/>
  <c r="AZ170" s="1"/>
  <c r="G171"/>
  <c r="BA173"/>
  <c r="AZ173"/>
  <c r="BL174"/>
  <c r="G175"/>
  <c r="BA178"/>
  <c r="AZ178"/>
  <c r="BL179"/>
  <c r="AZ179" s="1"/>
  <c r="G180"/>
  <c r="AZ23"/>
  <c r="AZ35"/>
  <c r="AZ43"/>
  <c r="AZ47"/>
  <c r="AZ51"/>
  <c r="AZ55"/>
  <c r="AZ59"/>
  <c r="G537"/>
  <c r="BL181"/>
  <c r="AZ181" s="1"/>
  <c r="G182"/>
  <c r="BA184"/>
  <c r="AZ184" s="1"/>
  <c r="BL185"/>
  <c r="G186"/>
  <c r="BA188"/>
  <c r="AZ188" s="1"/>
  <c r="BL189"/>
  <c r="AZ189"/>
  <c r="G190"/>
  <c r="BA192"/>
  <c r="AZ192" s="1"/>
  <c r="BL193"/>
  <c r="AZ193"/>
  <c r="G194"/>
  <c r="BA196"/>
  <c r="AZ196"/>
  <c r="BL197"/>
  <c r="AZ197"/>
  <c r="G198"/>
  <c r="BA200"/>
  <c r="AZ200"/>
  <c r="BL201"/>
  <c r="AZ201" s="1"/>
  <c r="AZ66"/>
  <c r="AZ70"/>
  <c r="AZ74"/>
  <c r="AZ78"/>
  <c r="AZ82"/>
  <c r="AZ185"/>
  <c r="AZ84"/>
  <c r="AZ86"/>
  <c r="AZ90"/>
  <c r="AZ94"/>
  <c r="AZ98"/>
  <c r="AZ102"/>
  <c r="AZ106"/>
  <c r="AZ110"/>
  <c r="G491"/>
  <c r="BA298"/>
  <c r="BA299"/>
  <c r="AZ299"/>
  <c r="BL299"/>
  <c r="G300"/>
  <c r="G303"/>
  <c r="BL304"/>
  <c r="BA306"/>
  <c r="AZ306"/>
  <c r="BA307"/>
  <c r="BL307"/>
  <c r="G308"/>
  <c r="G319"/>
  <c r="BL320"/>
  <c r="BA322"/>
  <c r="BA323"/>
  <c r="AZ323"/>
  <c r="BL323"/>
  <c r="G324"/>
  <c r="G327"/>
  <c r="BL328"/>
  <c r="BA330"/>
  <c r="AZ330" s="1"/>
  <c r="BA331"/>
  <c r="BL331"/>
  <c r="AZ331" s="1"/>
  <c r="G332"/>
  <c r="G335"/>
  <c r="BL336"/>
  <c r="BA338"/>
  <c r="AZ338" s="1"/>
  <c r="BA339"/>
  <c r="BL339"/>
  <c r="G340"/>
  <c r="G343"/>
  <c r="BL344"/>
  <c r="BA346"/>
  <c r="AZ346"/>
  <c r="BA347"/>
  <c r="AZ347" s="1"/>
  <c r="BL347"/>
  <c r="G348"/>
  <c r="G351"/>
  <c r="BL352"/>
  <c r="BA354"/>
  <c r="BA355"/>
  <c r="AZ355"/>
  <c r="BL355"/>
  <c r="G356"/>
  <c r="AZ143"/>
  <c r="BA358"/>
  <c r="AZ358" s="1"/>
  <c r="BA359"/>
  <c r="BL359"/>
  <c r="AZ359"/>
  <c r="G360"/>
  <c r="G361"/>
  <c r="BL362"/>
  <c r="BA364"/>
  <c r="AZ364"/>
  <c r="BA365"/>
  <c r="BL365"/>
  <c r="AZ365" s="1"/>
  <c r="G366"/>
  <c r="G369"/>
  <c r="BL370"/>
  <c r="BA372"/>
  <c r="AZ372" s="1"/>
  <c r="BA373"/>
  <c r="BL373"/>
  <c r="AZ373" s="1"/>
  <c r="G374"/>
  <c r="G377"/>
  <c r="BL378"/>
  <c r="BA380"/>
  <c r="AZ380" s="1"/>
  <c r="BA381"/>
  <c r="AZ381"/>
  <c r="BL381"/>
  <c r="G382"/>
  <c r="G385"/>
  <c r="AZ154"/>
  <c r="AZ158"/>
  <c r="AZ174"/>
  <c r="AZ183"/>
  <c r="AZ187"/>
  <c r="AZ191"/>
  <c r="AZ195"/>
  <c r="AZ199"/>
  <c r="AZ203"/>
  <c r="G523"/>
  <c r="BL297"/>
  <c r="AZ297"/>
  <c r="G298"/>
  <c r="BA300"/>
  <c r="BL301"/>
  <c r="AZ301"/>
  <c r="G302"/>
  <c r="BA304"/>
  <c r="BL305"/>
  <c r="G306"/>
  <c r="BA308"/>
  <c r="AZ308" s="1"/>
  <c r="BL309"/>
  <c r="G310"/>
  <c r="BA310"/>
  <c r="AZ310" s="1"/>
  <c r="BL311"/>
  <c r="G312"/>
  <c r="BA312"/>
  <c r="AZ312" s="1"/>
  <c r="BL313"/>
  <c r="G314"/>
  <c r="BA314"/>
  <c r="AZ314" s="1"/>
  <c r="BL315"/>
  <c r="AZ315" s="1"/>
  <c r="G316"/>
  <c r="BA316"/>
  <c r="AZ316" s="1"/>
  <c r="BL317"/>
  <c r="G318"/>
  <c r="BA320"/>
  <c r="AZ320" s="1"/>
  <c r="BL321"/>
  <c r="G322"/>
  <c r="BA324"/>
  <c r="BL325"/>
  <c r="AZ325" s="1"/>
  <c r="G326"/>
  <c r="BA328"/>
  <c r="BL329"/>
  <c r="G330"/>
  <c r="BA332"/>
  <c r="AZ332" s="1"/>
  <c r="BL333"/>
  <c r="G334"/>
  <c r="BA336"/>
  <c r="AZ336" s="1"/>
  <c r="BL337"/>
  <c r="G338"/>
  <c r="BA340"/>
  <c r="AZ340" s="1"/>
  <c r="BL341"/>
  <c r="G342"/>
  <c r="BA344"/>
  <c r="AZ344" s="1"/>
  <c r="BL345"/>
  <c r="G346"/>
  <c r="BA348"/>
  <c r="AZ348" s="1"/>
  <c r="BL349"/>
  <c r="AZ349" s="1"/>
  <c r="G350"/>
  <c r="BA352"/>
  <c r="AZ352" s="1"/>
  <c r="BL353"/>
  <c r="G354"/>
  <c r="BA356"/>
  <c r="AZ356" s="1"/>
  <c r="BL357"/>
  <c r="G358"/>
  <c r="BA362"/>
  <c r="AZ362" s="1"/>
  <c r="BL363"/>
  <c r="G364"/>
  <c r="BA366"/>
  <c r="AZ366" s="1"/>
  <c r="BL367"/>
  <c r="AZ367" s="1"/>
  <c r="AZ205"/>
  <c r="AZ209"/>
  <c r="AZ213"/>
  <c r="AZ217"/>
  <c r="AZ229"/>
  <c r="AZ233"/>
  <c r="AZ237"/>
  <c r="AZ241"/>
  <c r="AZ309"/>
  <c r="AZ317"/>
  <c r="AZ321"/>
  <c r="AZ333"/>
  <c r="AZ337"/>
  <c r="AZ341"/>
  <c r="AZ353"/>
  <c r="AZ357"/>
  <c r="AZ363"/>
  <c r="G368"/>
  <c r="BA370"/>
  <c r="AZ370" s="1"/>
  <c r="BL371"/>
  <c r="AZ371" s="1"/>
  <c r="G372"/>
  <c r="BA374"/>
  <c r="AZ374"/>
  <c r="BL375"/>
  <c r="G376"/>
  <c r="BA378"/>
  <c r="AZ378"/>
  <c r="BL379"/>
  <c r="AZ379"/>
  <c r="G380"/>
  <c r="BA382"/>
  <c r="AZ382" s="1"/>
  <c r="BL383"/>
  <c r="G384"/>
  <c r="AZ249"/>
  <c r="AZ253"/>
  <c r="AZ257"/>
  <c r="AZ265"/>
  <c r="AZ375"/>
  <c r="AZ383"/>
  <c r="AZ270"/>
  <c r="AZ274"/>
  <c r="AZ278"/>
  <c r="AZ282"/>
  <c r="AZ286"/>
  <c r="AZ290"/>
  <c r="AZ295"/>
  <c r="AZ311"/>
  <c r="AZ313"/>
  <c r="AZ319"/>
  <c r="AZ335"/>
  <c r="AZ339"/>
  <c r="AZ351"/>
  <c r="AZ361"/>
  <c r="AZ369"/>
  <c r="AZ385"/>
  <c r="AZ390"/>
  <c r="AZ394"/>
  <c r="AZ398"/>
  <c r="AZ410"/>
  <c r="AZ414"/>
  <c r="AZ418"/>
  <c r="AZ422"/>
  <c r="AZ426"/>
  <c r="AZ430"/>
  <c r="AZ434"/>
  <c r="AZ438"/>
  <c r="AZ442"/>
  <c r="AZ446"/>
  <c r="AZ450"/>
  <c r="AZ455"/>
  <c r="AZ459"/>
  <c r="AZ463"/>
  <c r="AZ467"/>
  <c r="AZ471"/>
  <c r="AZ475"/>
  <c r="AZ479"/>
  <c r="H7" i="48"/>
  <c r="H113" i="46"/>
  <c r="H17"/>
  <c r="F33"/>
  <c r="F35"/>
  <c r="F37"/>
  <c r="H16" i="48"/>
  <c r="H9"/>
  <c r="H8"/>
  <c r="C12" i="46"/>
  <c r="AB16" i="35"/>
  <c r="AB15" i="37"/>
  <c r="U43" i="21"/>
  <c r="AA13" i="40"/>
  <c r="E78"/>
  <c r="F78" s="1"/>
  <c r="G78" s="1"/>
  <c r="H78" s="1"/>
  <c r="I78" s="1"/>
  <c r="J78" s="1"/>
  <c r="K78" s="1"/>
  <c r="L78" s="1"/>
  <c r="M78" s="1"/>
  <c r="BH5" i="3"/>
  <c r="R16" i="4"/>
  <c r="P16"/>
  <c r="D3" i="35"/>
  <c r="G4" i="4"/>
  <c r="S37" i="34"/>
  <c r="J16" i="35"/>
  <c r="W16" s="1"/>
  <c r="AC26" i="36"/>
  <c r="W25" i="35"/>
  <c r="AZ300" i="3"/>
  <c r="AZ354"/>
  <c r="AZ322"/>
  <c r="H13" i="39"/>
  <c r="AB13" s="1"/>
  <c r="F13"/>
  <c r="AA13" s="1"/>
  <c r="J13"/>
  <c r="AC13" s="1"/>
  <c r="AA36" i="35"/>
  <c r="H11" i="37"/>
  <c r="AB11" s="1"/>
  <c r="W37"/>
  <c r="AA30" i="33"/>
  <c r="AA36" i="37"/>
  <c r="S42" i="33"/>
  <c r="U32"/>
  <c r="AB17" i="37"/>
  <c r="AZ488" i="3"/>
  <c r="AZ508"/>
  <c r="AZ516"/>
  <c r="AZ524"/>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BL571" i="3"/>
  <c r="BA571"/>
  <c r="AZ571" s="1"/>
  <c r="BL570"/>
  <c r="AZ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H29"/>
  <c r="U29" s="1"/>
  <c r="F34"/>
  <c r="AA34" s="1"/>
  <c r="H34"/>
  <c r="AB34" s="1"/>
  <c r="J34"/>
  <c r="AC34" s="1"/>
  <c r="F39"/>
  <c r="H39"/>
  <c r="AB39" s="1"/>
  <c r="J39"/>
  <c r="J29" i="35"/>
  <c r="AC29" s="1"/>
  <c r="F29"/>
  <c r="S29" s="1"/>
  <c r="W30" i="36"/>
  <c r="AC30"/>
  <c r="F37" i="39"/>
  <c r="S37" s="1"/>
  <c r="H37"/>
  <c r="U37" s="1"/>
  <c r="J37"/>
  <c r="W37" s="1"/>
  <c r="BL568" i="3"/>
  <c r="BA568"/>
  <c r="AZ568"/>
  <c r="BL567"/>
  <c r="AZ567" s="1"/>
  <c r="BA567"/>
  <c r="BL566"/>
  <c r="AZ566" s="1"/>
  <c r="BL565"/>
  <c r="AZ565"/>
  <c r="BA564"/>
  <c r="AZ564" s="1"/>
  <c r="BA563"/>
  <c r="AZ563"/>
  <c r="BL554"/>
  <c r="AZ554" s="1"/>
  <c r="BA553"/>
  <c r="AZ553"/>
  <c r="BA552"/>
  <c r="AZ552" s="1"/>
  <c r="BL549"/>
  <c r="BA549"/>
  <c r="BL548"/>
  <c r="BA548"/>
  <c r="BL547"/>
  <c r="BA547"/>
  <c r="BL539"/>
  <c r="BA539"/>
  <c r="AZ539" s="1"/>
  <c r="BA538"/>
  <c r="AZ538"/>
  <c r="BL537"/>
  <c r="BA537"/>
  <c r="BL536"/>
  <c r="AZ536"/>
  <c r="BA535"/>
  <c r="AZ535" s="1"/>
  <c r="BA534"/>
  <c r="AZ534"/>
  <c r="BA533"/>
  <c r="AZ533" s="1"/>
  <c r="BL531"/>
  <c r="AZ531"/>
  <c r="BL530"/>
  <c r="BA530"/>
  <c r="BL529"/>
  <c r="BA529"/>
  <c r="BL528"/>
  <c r="AZ528" s="1"/>
  <c r="BA527"/>
  <c r="AZ527"/>
  <c r="BA526"/>
  <c r="AZ526" s="1"/>
  <c r="BA525"/>
  <c r="AZ525"/>
  <c r="BL523"/>
  <c r="AZ523" s="1"/>
  <c r="BA523"/>
  <c r="BL522"/>
  <c r="BA522"/>
  <c r="AZ522" s="1"/>
  <c r="BL521"/>
  <c r="AZ521"/>
  <c r="BA519"/>
  <c r="AZ519" s="1"/>
  <c r="BL518"/>
  <c r="BA518"/>
  <c r="AZ518" s="1"/>
  <c r="BL517"/>
  <c r="BA517"/>
  <c r="AZ517"/>
  <c r="BL515"/>
  <c r="BA515"/>
  <c r="BA514"/>
  <c r="AZ514"/>
  <c r="BL513"/>
  <c r="AZ513" s="1"/>
  <c r="BA513"/>
  <c r="BL512"/>
  <c r="AZ512" s="1"/>
  <c r="BA511"/>
  <c r="AZ511"/>
  <c r="BA510"/>
  <c r="AZ510" s="1"/>
  <c r="BL509"/>
  <c r="AZ509"/>
  <c r="BL507"/>
  <c r="BA507"/>
  <c r="AZ507" s="1"/>
  <c r="BL506"/>
  <c r="BA506"/>
  <c r="AZ506" s="1"/>
  <c r="BL505"/>
  <c r="AZ505"/>
  <c r="BL504"/>
  <c r="BA504"/>
  <c r="BA503"/>
  <c r="AZ503"/>
  <c r="BA500"/>
  <c r="AZ500" s="1"/>
  <c r="BL499"/>
  <c r="BA499"/>
  <c r="AZ499"/>
  <c r="BL498"/>
  <c r="AZ498" s="1"/>
  <c r="BL497"/>
  <c r="BA497"/>
  <c r="BL496"/>
  <c r="AZ496" s="1"/>
  <c r="BA496"/>
  <c r="BA495"/>
  <c r="AZ495" s="1"/>
  <c r="BL494"/>
  <c r="BA494"/>
  <c r="AZ494"/>
  <c r="G494"/>
  <c r="BA491"/>
  <c r="AZ491"/>
  <c r="BL490"/>
  <c r="BA490"/>
  <c r="AZ490" s="1"/>
  <c r="BL489"/>
  <c r="BA489"/>
  <c r="AZ489" s="1"/>
  <c r="BL487"/>
  <c r="AZ487"/>
  <c r="BL486"/>
  <c r="BA486"/>
  <c r="BA485"/>
  <c r="AZ485"/>
  <c r="BA483"/>
  <c r="AZ483" s="1"/>
  <c r="BA482"/>
  <c r="AZ482"/>
  <c r="BL481"/>
  <c r="AZ481" s="1"/>
  <c r="BJ5"/>
  <c r="BA481"/>
  <c r="BB5"/>
  <c r="BL19"/>
  <c r="AZ19" s="1"/>
  <c r="BA18"/>
  <c r="F114" i="34"/>
  <c r="G114" s="1"/>
  <c r="H114" s="1"/>
  <c r="I114" s="1"/>
  <c r="J114" s="1"/>
  <c r="K114" s="1"/>
  <c r="L114" s="1"/>
  <c r="M114" s="1"/>
  <c r="H38"/>
  <c r="U38" s="1"/>
  <c r="H30" i="40"/>
  <c r="AB30" s="1"/>
  <c r="G100"/>
  <c r="J30" s="1"/>
  <c r="AC30" s="1"/>
  <c r="F38"/>
  <c r="AA38" s="1"/>
  <c r="AA36" i="34"/>
  <c r="AC12" i="21"/>
  <c r="W12"/>
  <c r="U8"/>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c r="H23"/>
  <c r="U23" s="1"/>
  <c r="H41"/>
  <c r="AB41" s="1"/>
  <c r="F41"/>
  <c r="AA41" s="1"/>
  <c r="J41"/>
  <c r="H36" i="33"/>
  <c r="AB36" s="1"/>
  <c r="H37" i="34"/>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391" i="3"/>
  <c r="AZ399"/>
  <c r="AZ403"/>
  <c r="AZ407"/>
  <c r="AZ415"/>
  <c r="AZ423"/>
  <c r="AZ431"/>
  <c r="AZ439"/>
  <c r="AZ454"/>
  <c r="B41" i="1"/>
  <c r="J42" i="40"/>
  <c r="AC42" s="1"/>
  <c r="J40"/>
  <c r="AC40" s="1"/>
  <c r="J34"/>
  <c r="AC34" s="1"/>
  <c r="H16"/>
  <c r="AB16" s="1"/>
  <c r="H14"/>
  <c r="U14" s="1"/>
  <c r="F32"/>
  <c r="AA32" s="1"/>
  <c r="AZ401" i="3"/>
  <c r="AZ428"/>
  <c r="AZ433"/>
  <c r="AZ436"/>
  <c r="AZ441"/>
  <c r="AZ444"/>
  <c r="AZ449"/>
  <c r="AZ452"/>
  <c r="M1" i="46"/>
  <c r="M6"/>
  <c r="M10"/>
  <c r="N2"/>
  <c r="N5"/>
  <c r="F58" s="1"/>
  <c r="F47"/>
  <c r="H49" s="1"/>
  <c r="N7"/>
  <c r="AZ456" i="3"/>
  <c r="AZ458"/>
  <c r="AZ461"/>
  <c r="AZ466"/>
  <c r="AZ469"/>
  <c r="AZ474"/>
  <c r="AZ477"/>
  <c r="AZ388"/>
  <c r="AZ212"/>
  <c r="AZ228"/>
  <c r="AZ231"/>
  <c r="AZ236"/>
  <c r="AZ244"/>
  <c r="AZ247"/>
  <c r="AZ252"/>
  <c r="AZ260"/>
  <c r="AZ263"/>
  <c r="AZ268"/>
  <c r="AZ273"/>
  <c r="AZ276"/>
  <c r="AZ281"/>
  <c r="AZ284"/>
  <c r="AZ289"/>
  <c r="AZ292"/>
  <c r="AZ121"/>
  <c r="AZ124"/>
  <c r="AZ137"/>
  <c r="AZ140"/>
  <c r="AZ152"/>
  <c r="M7" i="46"/>
  <c r="M11"/>
  <c r="N3"/>
  <c r="N6"/>
  <c r="N10"/>
  <c r="AZ164" i="3"/>
  <c r="AZ167"/>
  <c r="AZ177"/>
  <c r="AZ180"/>
  <c r="AZ24"/>
  <c r="AZ32"/>
  <c r="AZ40"/>
  <c r="AZ48"/>
  <c r="AZ56"/>
  <c r="AZ63"/>
  <c r="AZ71"/>
  <c r="AZ79"/>
  <c r="AZ91"/>
  <c r="AZ99"/>
  <c r="AZ107"/>
  <c r="AZ112"/>
  <c r="H47" i="46"/>
  <c r="J13" i="40"/>
  <c r="W13" s="1"/>
  <c r="W40"/>
  <c r="F34" i="44"/>
  <c r="F27" i="43"/>
  <c r="F66" i="9"/>
  <c r="P72" s="1"/>
  <c r="F71"/>
  <c r="F72"/>
  <c r="AC14" i="40"/>
  <c r="W35"/>
  <c r="S33"/>
  <c r="S47" i="39"/>
  <c r="U37" i="34"/>
  <c r="AB37"/>
  <c r="AC41" i="40"/>
  <c r="W41"/>
  <c r="U41"/>
  <c r="J23"/>
  <c r="AC23" s="1"/>
  <c r="G92"/>
  <c r="F23"/>
  <c r="S23" s="1"/>
  <c r="AC15"/>
  <c r="W15"/>
  <c r="W14" i="39"/>
  <c r="U23" i="35"/>
  <c r="AB23"/>
  <c r="H20"/>
  <c r="U20" s="1"/>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46" i="34"/>
  <c r="AC30"/>
  <c r="AA14"/>
  <c r="W12"/>
  <c r="U29" i="33"/>
  <c r="AC13"/>
  <c r="U17" i="34"/>
  <c r="AA11"/>
  <c r="W32" i="33"/>
  <c r="H15"/>
  <c r="U15" s="1"/>
  <c r="AA11"/>
  <c r="S13" i="39"/>
  <c r="U16" i="40"/>
  <c r="W34"/>
  <c r="AB34"/>
  <c r="AB42"/>
  <c r="U42"/>
  <c r="AC16"/>
  <c r="W32"/>
  <c r="H25"/>
  <c r="AB25" s="1"/>
  <c r="F94"/>
  <c r="G94" s="1"/>
  <c r="J37" i="34"/>
  <c r="AC37" s="1"/>
  <c r="J36" i="33"/>
  <c r="W36" s="1"/>
  <c r="S41" i="40"/>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43" i="39"/>
  <c r="G96" i="37"/>
  <c r="H96"/>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U13" i="39"/>
  <c r="AC16" i="35"/>
  <c r="AC13" i="40"/>
  <c r="J11" i="34"/>
  <c r="W11" s="1"/>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C58" i="21" l="1"/>
  <c r="D58" s="1"/>
  <c r="E58" s="1"/>
  <c r="F58" s="1"/>
  <c r="G58" s="1"/>
  <c r="H58" s="1"/>
  <c r="I58" s="1"/>
  <c r="J58" s="1"/>
  <c r="K58" s="1"/>
  <c r="L58" s="1"/>
  <c r="M58" s="1"/>
  <c r="N58" s="1"/>
  <c r="O58" s="1"/>
  <c r="I7"/>
  <c r="E7"/>
  <c r="G7"/>
  <c r="C18" i="9"/>
  <c r="D18" s="1"/>
  <c r="M44" s="1"/>
  <c r="AB19" i="39"/>
  <c r="AA19"/>
  <c r="AA43" i="21"/>
  <c r="U40"/>
  <c r="AC40"/>
  <c r="S19"/>
  <c r="U19"/>
  <c r="U17"/>
  <c r="S10"/>
  <c r="AB10"/>
  <c r="W9"/>
  <c r="U9"/>
  <c r="W8"/>
  <c r="S8"/>
  <c r="W42"/>
  <c r="U42"/>
  <c r="W41"/>
  <c r="AA41"/>
  <c r="AB41"/>
  <c r="AA40"/>
  <c r="U39"/>
  <c r="AA38"/>
  <c r="U38"/>
  <c r="AB36"/>
  <c r="AA36"/>
  <c r="AC36"/>
  <c r="S35"/>
  <c r="AC35"/>
  <c r="AB34"/>
  <c r="S34"/>
  <c r="AB33"/>
  <c r="AA32"/>
  <c r="F36" i="44"/>
  <c r="D23" i="15"/>
  <c r="S17" i="34"/>
  <c r="AC47" i="39"/>
  <c r="F29"/>
  <c r="AA29" s="1"/>
  <c r="AZ328" i="3"/>
  <c r="AZ304"/>
  <c r="AZ307"/>
  <c r="AZ343"/>
  <c r="S10" i="35"/>
  <c r="S23" i="37"/>
  <c r="AA23"/>
  <c r="AZ544" i="3"/>
  <c r="AZ556"/>
  <c r="AA31" i="33"/>
  <c r="S31"/>
  <c r="AB32" i="40"/>
  <c r="AZ502" i="3"/>
  <c r="S28" i="34"/>
  <c r="AA28"/>
  <c r="U27" i="33"/>
  <c r="AB27"/>
  <c r="U45"/>
  <c r="AB45"/>
  <c r="AC24" i="35"/>
  <c r="W24"/>
  <c r="AC36" i="33"/>
  <c r="AB23" i="40"/>
  <c r="U47" i="39"/>
  <c r="AB14" i="40"/>
  <c r="AZ324" i="3"/>
  <c r="AZ327"/>
  <c r="AC9" i="33"/>
  <c r="W9"/>
  <c r="AC23" i="36"/>
  <c r="W23"/>
  <c r="J17" i="40"/>
  <c r="F86"/>
  <c r="G86" s="1"/>
  <c r="AC28" i="33"/>
  <c r="AB30" i="21"/>
  <c r="S46"/>
  <c r="BI5" i="3"/>
  <c r="F9" i="33"/>
  <c r="AA9" s="1"/>
  <c r="H12" i="36"/>
  <c r="U12" s="1"/>
  <c r="F26" i="37"/>
  <c r="AA26" s="1"/>
  <c r="G547" i="3"/>
  <c r="AZ20"/>
  <c r="AB14" i="21"/>
  <c r="AB13"/>
  <c r="AB13" i="35"/>
  <c r="AC34" i="36"/>
  <c r="H9" i="33"/>
  <c r="J25" i="37"/>
  <c r="H26"/>
  <c r="AB26" s="1"/>
  <c r="E124" i="39"/>
  <c r="F124" s="1"/>
  <c r="G124" s="1"/>
  <c r="H124" s="1"/>
  <c r="I124" s="1"/>
  <c r="J124" s="1"/>
  <c r="K124" s="1"/>
  <c r="L124" s="1"/>
  <c r="M124" s="1"/>
  <c r="J42"/>
  <c r="AC42" s="1"/>
  <c r="F42"/>
  <c r="H42"/>
  <c r="AB42" s="1"/>
  <c r="AZ402" i="3"/>
  <c r="AZ405"/>
  <c r="AZ406"/>
  <c r="AZ417"/>
  <c r="AZ420"/>
  <c r="AZ421"/>
  <c r="AZ206"/>
  <c r="AZ222"/>
  <c r="S39" i="33"/>
  <c r="AB44" i="21"/>
  <c r="AC13" i="36"/>
  <c r="AB31" i="21"/>
  <c r="J36" i="35"/>
  <c r="G15" i="3"/>
  <c r="AZ393"/>
  <c r="AZ400"/>
  <c r="AZ460"/>
  <c r="AZ368"/>
  <c r="AZ384"/>
  <c r="AZ386"/>
  <c r="H5"/>
  <c r="AZ412"/>
  <c r="AZ429"/>
  <c r="AZ440"/>
  <c r="AZ448"/>
  <c r="AZ453"/>
  <c r="AZ468"/>
  <c r="AZ472"/>
  <c r="AZ218"/>
  <c r="A30" i="64"/>
  <c r="A30" i="51"/>
  <c r="G209" i="3"/>
  <c r="G212"/>
  <c r="BA216"/>
  <c r="AZ216" s="1"/>
  <c r="BA221"/>
  <c r="AZ221" s="1"/>
  <c r="BA226"/>
  <c r="BA227"/>
  <c r="AZ227" s="1"/>
  <c r="G230"/>
  <c r="G233"/>
  <c r="BL234"/>
  <c r="BL239"/>
  <c r="AZ239" s="1"/>
  <c r="BA243"/>
  <c r="AZ243" s="1"/>
  <c r="BA245"/>
  <c r="AZ245" s="1"/>
  <c r="BA248"/>
  <c r="AZ248" s="1"/>
  <c r="AZ250"/>
  <c r="G260"/>
  <c r="G262"/>
  <c r="G265"/>
  <c r="BL272"/>
  <c r="AZ294"/>
  <c r="AZ296"/>
  <c r="AZ116"/>
  <c r="BA208"/>
  <c r="AZ208" s="1"/>
  <c r="BA211"/>
  <c r="AZ211" s="1"/>
  <c r="BL215"/>
  <c r="AZ215" s="1"/>
  <c r="BL218"/>
  <c r="BL223"/>
  <c r="AZ223" s="1"/>
  <c r="AZ242"/>
  <c r="AZ269"/>
  <c r="AZ285"/>
  <c r="AZ293"/>
  <c r="C92" i="9"/>
  <c r="A14" i="55"/>
  <c r="B65" i="63" s="1"/>
  <c r="BA387" i="3"/>
  <c r="AZ387" s="1"/>
  <c r="BL207"/>
  <c r="AZ207" s="1"/>
  <c r="BL210"/>
  <c r="AZ210" s="1"/>
  <c r="G214"/>
  <c r="G220"/>
  <c r="BL220"/>
  <c r="AZ220" s="1"/>
  <c r="G225"/>
  <c r="BL225"/>
  <c r="AZ225" s="1"/>
  <c r="BL226"/>
  <c r="G227"/>
  <c r="BA232"/>
  <c r="AZ232" s="1"/>
  <c r="AZ234"/>
  <c r="G244"/>
  <c r="G246"/>
  <c r="G249"/>
  <c r="BL255"/>
  <c r="AZ255" s="1"/>
  <c r="BA259"/>
  <c r="AZ259" s="1"/>
  <c r="BA261"/>
  <c r="AZ261" s="1"/>
  <c r="BA264"/>
  <c r="AZ264" s="1"/>
  <c r="AZ266"/>
  <c r="AZ272"/>
  <c r="AZ280"/>
  <c r="AZ288"/>
  <c r="G228"/>
  <c r="AZ258"/>
  <c r="AZ132"/>
  <c r="AZ160"/>
  <c r="AZ163"/>
  <c r="AZ172"/>
  <c r="AZ198"/>
  <c r="BA129"/>
  <c r="AZ129" s="1"/>
  <c r="BL125"/>
  <c r="AZ125" s="1"/>
  <c r="BL128"/>
  <c r="AZ128" s="1"/>
  <c r="AZ145"/>
  <c r="AZ155"/>
  <c r="AZ168"/>
  <c r="AZ182"/>
  <c r="AZ194"/>
  <c r="AZ26"/>
  <c r="AZ33"/>
  <c r="BA46"/>
  <c r="BA49"/>
  <c r="AZ49" s="1"/>
  <c r="AZ75"/>
  <c r="BL31"/>
  <c r="AZ31" s="1"/>
  <c r="AZ34"/>
  <c r="BL37"/>
  <c r="AZ60"/>
  <c r="G22"/>
  <c r="G27"/>
  <c r="BL27"/>
  <c r="AZ27" s="1"/>
  <c r="BL28"/>
  <c r="AZ28" s="1"/>
  <c r="G29"/>
  <c r="G39"/>
  <c r="BL39"/>
  <c r="AZ39" s="1"/>
  <c r="BL42"/>
  <c r="BL45"/>
  <c r="BL46"/>
  <c r="G47"/>
  <c r="AZ53"/>
  <c r="AZ72"/>
  <c r="AZ85"/>
  <c r="AZ88"/>
  <c r="AZ97"/>
  <c r="AZ101"/>
  <c r="AZ103"/>
  <c r="I21" i="57"/>
  <c r="D1"/>
  <c r="E10" s="1"/>
  <c r="AZ21" i="3"/>
  <c r="AZ22"/>
  <c r="AZ37"/>
  <c r="AZ42"/>
  <c r="AZ45"/>
  <c r="AB44" i="39"/>
  <c r="U34"/>
  <c r="S33"/>
  <c r="W33"/>
  <c r="AB29"/>
  <c r="U27"/>
  <c r="W27"/>
  <c r="AB25"/>
  <c r="S23"/>
  <c r="AB17"/>
  <c r="S1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AC21"/>
  <c r="AC17"/>
  <c r="S14"/>
  <c r="AB15"/>
  <c r="U11"/>
  <c r="U41"/>
  <c r="U23"/>
  <c r="AB38"/>
  <c r="U31"/>
  <c r="AB31"/>
  <c r="S25"/>
  <c r="S38"/>
  <c r="S22" i="31"/>
  <c r="M43" i="9"/>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C16" s="1"/>
  <c r="C5" s="1"/>
  <c r="E17"/>
  <c r="D71"/>
  <c r="D84"/>
  <c r="E80" s="1"/>
  <c r="B78" s="1"/>
  <c r="D69"/>
  <c r="E69" s="1"/>
  <c r="B67" s="1"/>
  <c r="E47"/>
  <c r="B45" s="1"/>
  <c r="E58"/>
  <c r="C52" i="15"/>
  <c r="A4" i="64"/>
  <c r="A4" i="51"/>
  <c r="C51" i="10"/>
  <c r="H58" i="46"/>
  <c r="H61"/>
  <c r="H62"/>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L48"/>
  <c r="J17" i="44"/>
  <c r="M8"/>
  <c r="L47" i="15"/>
  <c r="F8" i="44"/>
  <c r="M8" i="15"/>
  <c r="M29" i="44"/>
  <c r="F36" i="15"/>
  <c r="F43" i="44"/>
  <c r="M26" i="15"/>
  <c r="M6"/>
  <c r="M24"/>
  <c r="L48" i="44"/>
  <c r="F28"/>
  <c r="M11"/>
  <c r="M28"/>
  <c r="F26" i="15"/>
  <c r="M10" i="44"/>
  <c r="F15"/>
  <c r="F11"/>
  <c r="F7" i="15"/>
  <c r="F40"/>
  <c r="F37"/>
  <c r="F38"/>
  <c r="F18" i="44"/>
  <c r="F45"/>
  <c r="F10"/>
  <c r="F13" i="15"/>
  <c r="M23"/>
  <c r="F40" i="44"/>
  <c r="M30"/>
  <c r="F42" i="15"/>
  <c r="M29"/>
  <c r="J15"/>
  <c r="M26" i="44"/>
  <c r="F9"/>
  <c r="M31"/>
  <c r="M9" i="15"/>
  <c r="M28"/>
  <c r="F6"/>
  <c r="M22"/>
  <c r="F43"/>
  <c r="L49" i="44"/>
  <c r="J36" i="15"/>
  <c r="F38" i="44"/>
  <c r="F9" i="15"/>
  <c r="F16"/>
  <c r="M25" i="44"/>
  <c r="F39"/>
  <c r="F8" i="15"/>
  <c r="M24" i="44"/>
  <c r="M27" i="15"/>
  <c r="U42" i="39" l="1"/>
  <c r="S29"/>
  <c r="AB11" i="46"/>
  <c r="AB13" s="1"/>
  <c r="AC23" i="21"/>
  <c r="AA15"/>
  <c r="AZ226" i="3"/>
  <c r="AA42" i="39"/>
  <c r="S42"/>
  <c r="W25" i="37"/>
  <c r="AC25"/>
  <c r="H75" i="46"/>
  <c r="C7"/>
  <c r="AB9" i="33"/>
  <c r="U9"/>
  <c r="W20" i="36"/>
  <c r="AZ46" i="3"/>
  <c r="AC36" i="35"/>
  <c r="W36"/>
  <c r="G6" i="1"/>
  <c r="L58" i="15"/>
  <c r="Q74" s="1"/>
  <c r="L59"/>
  <c r="Q75" s="1"/>
  <c r="J53"/>
  <c r="F1" s="1"/>
  <c r="I54"/>
  <c r="I55" i="44"/>
  <c r="J54"/>
  <c r="L60"/>
  <c r="Q63" s="1"/>
  <c r="L59"/>
  <c r="Q75" s="1"/>
  <c r="J60"/>
  <c r="J58"/>
  <c r="J56" s="1"/>
  <c r="J59" s="1"/>
  <c r="Q52" s="1"/>
  <c r="L57"/>
  <c r="J61"/>
  <c r="Q50" s="1"/>
  <c r="E86" i="3"/>
  <c r="AE11" i="46"/>
  <c r="AE13" s="1"/>
  <c r="F29" i="6"/>
  <c r="F28"/>
  <c r="Q73" i="44"/>
  <c r="C10" i="15"/>
  <c r="C12" i="44"/>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H7"/>
  <c r="AB7" s="1"/>
  <c r="T49" s="1"/>
  <c r="G49" s="1"/>
  <c r="G53" s="1"/>
  <c r="H53" s="1"/>
  <c r="E48" i="35"/>
  <c r="F48" s="1"/>
  <c r="G48" s="1"/>
  <c r="H48" s="1"/>
  <c r="I48" s="1"/>
  <c r="J48" s="1"/>
  <c r="K48" s="1"/>
  <c r="L48" s="1"/>
  <c r="M48" s="1"/>
  <c r="N48" s="1"/>
  <c r="O48" s="1"/>
  <c r="H7"/>
  <c r="AB7" s="1"/>
  <c r="T38" s="1"/>
  <c r="G38" s="1"/>
  <c r="G42" s="1"/>
  <c r="H42" s="1"/>
  <c r="E46" i="36"/>
  <c r="F46" s="1"/>
  <c r="G46" s="1"/>
  <c r="H46" s="1"/>
  <c r="I46" s="1"/>
  <c r="J46" s="1"/>
  <c r="K46" s="1"/>
  <c r="L46" s="1"/>
  <c r="M46" s="1"/>
  <c r="N46" s="1"/>
  <c r="O46" s="1"/>
  <c r="F7"/>
  <c r="J7"/>
  <c r="W7"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C27"/>
  <c r="Q72"/>
  <c r="F50"/>
  <c r="F63"/>
  <c r="F67"/>
  <c r="M7"/>
  <c r="F49"/>
  <c r="F70"/>
  <c r="C6"/>
  <c r="L56"/>
  <c r="J57"/>
  <c r="J55" s="1"/>
  <c r="J58" s="1"/>
  <c r="Q51" s="1"/>
  <c r="F65"/>
  <c r="G66" i="36"/>
  <c r="J18"/>
  <c r="AE8" i="1"/>
  <c r="F33" i="44"/>
  <c r="F58" i="15"/>
  <c r="F31"/>
  <c r="M19" i="44"/>
  <c r="M17" i="15"/>
  <c r="AE6" i="1"/>
  <c r="C18" i="44"/>
  <c r="C16" i="15"/>
  <c r="AE7" i="1"/>
  <c r="K105" i="46" l="1"/>
  <c r="F107"/>
  <c r="C105"/>
  <c r="C104"/>
  <c r="K104"/>
  <c r="J105"/>
  <c r="F106"/>
  <c r="K107"/>
  <c r="J109"/>
  <c r="J107"/>
  <c r="H7" i="36"/>
  <c r="AB7" s="1"/>
  <c r="T36" s="1"/>
  <c r="G36" s="1"/>
  <c r="G40" s="1"/>
  <c r="H40" s="1"/>
  <c r="J7" i="35"/>
  <c r="AC7" s="1"/>
  <c r="V38" s="1"/>
  <c r="I38" s="1"/>
  <c r="F7" i="34"/>
  <c r="F7" i="35"/>
  <c r="J7" i="34"/>
  <c r="F103" i="46"/>
  <c r="C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G41"/>
  <c r="H41" s="1"/>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C5" i="15"/>
  <c r="Q61"/>
  <c r="Q62"/>
  <c r="Q53"/>
  <c r="C48"/>
  <c r="C20" i="11"/>
  <c r="C21" s="1"/>
  <c r="C22" s="1"/>
  <c r="C23" s="1"/>
  <c r="B2" s="1"/>
  <c r="AC12" i="40"/>
  <c r="W12"/>
  <c r="E46" i="37"/>
  <c r="F46" s="1"/>
  <c r="C48" i="33"/>
  <c r="C49"/>
  <c r="B3" s="1"/>
  <c r="B2" s="1"/>
  <c r="F46" i="44"/>
  <c r="F41" i="15"/>
  <c r="L52" i="44"/>
  <c r="F7" i="67"/>
  <c r="F68" i="15" l="1"/>
  <c r="I53" i="34"/>
  <c r="J53" s="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3" i="11" s="1"/>
  <c r="AY6" i="3"/>
  <c r="R43" i="37"/>
  <c r="C27" i="46"/>
  <c r="R50" i="34"/>
  <c r="C50" s="1"/>
  <c r="B3" s="1"/>
  <c r="B2" s="1"/>
  <c r="E49"/>
  <c r="C39" i="35"/>
  <c r="B3" s="1"/>
  <c r="B2" s="1"/>
  <c r="AC7" i="21"/>
  <c r="V48" s="1"/>
  <c r="I48" s="1"/>
  <c r="W7"/>
  <c r="U7"/>
  <c r="AB7"/>
  <c r="T48" s="1"/>
  <c r="G48" s="1"/>
  <c r="S7"/>
  <c r="AA7"/>
  <c r="R48" s="1"/>
  <c r="F72" i="39"/>
  <c r="G70"/>
  <c r="F67" i="40"/>
  <c r="G65"/>
  <c r="J24" i="15"/>
  <c r="C32"/>
  <c r="C38"/>
  <c r="J20" i="44"/>
  <c r="J26"/>
  <c r="C17" i="15"/>
  <c r="E7" i="67"/>
  <c r="C19" i="44"/>
  <c r="G46" i="37" l="1"/>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4" i="15"/>
  <c r="C16" i="44"/>
  <c r="C18" i="15" l="1"/>
  <c r="C15"/>
  <c r="C20" i="44"/>
  <c r="C17"/>
  <c r="B3" i="67"/>
  <c r="B4"/>
  <c r="T16" i="1"/>
  <c r="C17" i="12"/>
  <c r="C14"/>
  <c r="H27" i="6"/>
  <c r="R20"/>
  <c r="R7" i="1" s="1"/>
  <c r="R24" i="6"/>
  <c r="D16"/>
  <c r="D30"/>
  <c r="R23"/>
  <c r="R25"/>
  <c r="R21"/>
  <c r="R8" i="1" s="1"/>
  <c r="R19" i="6"/>
  <c r="D27"/>
  <c r="A6" i="51"/>
  <c r="B7" i="63" s="1"/>
  <c r="A20" i="64"/>
  <c r="A6"/>
  <c r="A20" i="51"/>
  <c r="B15" i="63" s="1"/>
  <c r="N5" i="54"/>
  <c r="B43" i="63" s="1"/>
  <c r="R26" i="6"/>
  <c r="C17" i="43"/>
  <c r="C14"/>
  <c r="J65" i="40"/>
  <c r="I67"/>
  <c r="J70" i="39"/>
  <c r="I72"/>
  <c r="C47" i="15"/>
  <c r="F37" i="44"/>
  <c r="M23"/>
  <c r="R6" i="1" l="1"/>
  <c r="C21" i="44"/>
  <c r="C22" s="1"/>
  <c r="C25" s="1"/>
  <c r="C19" i="15"/>
  <c r="C20" s="1"/>
  <c r="C23" s="1"/>
  <c r="C36" i="44"/>
  <c r="J22"/>
  <c r="C18" i="12"/>
  <c r="D31" i="6"/>
  <c r="I6" s="1"/>
  <c r="R27"/>
  <c r="C18" i="43"/>
  <c r="K70" i="39"/>
  <c r="J72"/>
  <c r="K65" i="40"/>
  <c r="J67"/>
  <c r="C65" i="15"/>
  <c r="C59"/>
  <c r="F35"/>
  <c r="M21"/>
  <c r="J20" l="1"/>
  <c r="C34"/>
  <c r="F62"/>
  <c r="C61" s="1"/>
  <c r="R16" i="1"/>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C10" i="12" s="1"/>
  <c r="Q76" i="15"/>
  <c r="Q58"/>
  <c r="Q63" s="1"/>
  <c r="E54" i="39"/>
  <c r="F54" s="1"/>
  <c r="E53"/>
  <c r="F53" s="1"/>
  <c r="E48" i="40"/>
  <c r="F48" s="1"/>
  <c r="E49"/>
  <c r="F49" s="1"/>
  <c r="C50" i="39"/>
  <c r="C49"/>
  <c r="I54"/>
  <c r="J54" s="1"/>
  <c r="C45" i="40"/>
  <c r="C44"/>
  <c r="I49"/>
  <c r="J49" s="1"/>
  <c r="B3" i="15" l="1"/>
  <c r="C8" i="12" s="1"/>
  <c r="C6"/>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35" i="12" l="1"/>
  <c r="C33" s="1"/>
  <c r="C28"/>
  <c r="C26" s="1"/>
  <c r="C31" s="1"/>
  <c r="C30" s="1"/>
  <c r="L43" i="9"/>
  <c r="B3" i="40"/>
  <c r="B4"/>
  <c r="B5"/>
  <c r="B3" i="39"/>
  <c r="B4"/>
  <c r="B5"/>
  <c r="C20" i="9"/>
  <c r="C21"/>
  <c r="C36" i="12" l="1"/>
  <c r="B2" s="1"/>
  <c r="B5" s="1"/>
  <c r="C45" i="9"/>
  <c r="H14" i="66" s="1"/>
  <c r="B7" s="1"/>
  <c r="D19" i="9"/>
  <c r="B4" i="12" l="1"/>
  <c r="B3"/>
  <c r="L44" i="9"/>
  <c r="G19"/>
  <c r="D22"/>
  <c r="D7" i="66"/>
  <c r="C7"/>
  <c r="D20" i="9"/>
  <c r="D21"/>
  <c r="G22" l="1"/>
  <c r="K21"/>
  <c r="G21"/>
  <c r="G20"/>
  <c r="C32"/>
  <c r="N43"/>
  <c r="D45"/>
  <c r="E45"/>
  <c r="O40"/>
  <c r="F45"/>
  <c r="O38" l="1"/>
  <c r="C35"/>
  <c r="F42" s="1"/>
  <c r="C34"/>
  <c r="C33"/>
  <c r="C42"/>
  <c r="O43"/>
  <c r="K31"/>
  <c r="K32" s="1"/>
  <c r="R7" i="54"/>
  <c r="B52" i="63" s="1"/>
  <c r="C44" i="9" l="1"/>
  <c r="D14" i="66"/>
  <c r="N68" i="9"/>
  <c r="R5" i="54"/>
  <c r="B48" i="63" s="1"/>
  <c r="D63" i="9"/>
  <c r="K25"/>
  <c r="K26"/>
  <c r="N38"/>
  <c r="K28" s="1"/>
  <c r="D42"/>
  <c r="Q5" i="54" s="1"/>
  <c r="B47" i="63" s="1"/>
  <c r="M38" i="9"/>
  <c r="K27" s="1"/>
  <c r="E42"/>
  <c r="P5" i="54" s="1"/>
  <c r="B46" i="63" s="1"/>
  <c r="C111" i="9" l="1"/>
  <c r="C104" s="1"/>
  <c r="C90"/>
  <c r="C82"/>
  <c r="C81" s="1"/>
  <c r="C85" s="1"/>
  <c r="C86" s="1"/>
  <c r="D72" s="1"/>
  <c r="C96"/>
  <c r="C91" s="1"/>
  <c r="D77"/>
  <c r="N75" s="1"/>
  <c r="C103"/>
  <c r="D70"/>
  <c r="D71"/>
  <c r="D66" s="1"/>
  <c r="N72" s="1"/>
  <c r="F14" i="66"/>
  <c r="E14"/>
  <c r="B5"/>
  <c r="G14"/>
  <c r="B6" s="1"/>
  <c r="O39" i="9"/>
  <c r="E44"/>
  <c r="N69"/>
  <c r="F44"/>
  <c r="D44"/>
  <c r="C6" i="66" l="1"/>
  <c r="D6"/>
  <c r="K29" i="9"/>
  <c r="K30" s="1"/>
  <c r="R6" i="54"/>
  <c r="B50" i="63" s="1"/>
  <c r="M84" i="9"/>
  <c r="N84" s="1"/>
  <c r="M83"/>
  <c r="N83" s="1"/>
  <c r="M88"/>
  <c r="N88" s="1"/>
  <c r="M87"/>
  <c r="N87" s="1"/>
  <c r="M86"/>
  <c r="N86" s="1"/>
  <c r="M85"/>
  <c r="N85" s="1"/>
  <c r="C5" i="66"/>
  <c r="D5"/>
  <c r="C113" i="9"/>
  <c r="C97"/>
  <c r="N76"/>
  <c r="C98" l="1"/>
  <c r="E98" s="1"/>
  <c r="E99" s="1"/>
  <c r="N89"/>
  <c r="O89" s="1"/>
  <c r="C114"/>
  <c r="E114" s="1"/>
  <c r="E115" s="1"/>
  <c r="C115" l="1"/>
  <c r="D76" s="1"/>
  <c r="D74" s="1"/>
  <c r="N74" s="1"/>
  <c r="O77" s="1"/>
  <c r="O78" s="1"/>
  <c r="C99"/>
  <c r="O79" l="1"/>
  <c r="C46" s="1"/>
  <c r="Q77"/>
  <c r="K33" l="1"/>
  <c r="K34" s="1"/>
  <c r="O41"/>
  <c r="R8" i="54" s="1"/>
  <c r="B54" i="63" s="1"/>
  <c r="E46" i="9"/>
  <c r="F46"/>
  <c r="I14" i="66"/>
  <c r="B8" s="1"/>
  <c r="D46" i="9"/>
  <c r="O81"/>
  <c r="O80"/>
  <c r="D8" i="66" l="1"/>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<sst xmlns="http://schemas.openxmlformats.org/spreadsheetml/2006/main" count="7040" uniqueCount="3102">
  <si>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</si>
  <si>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</si>
  <si>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</si>
  <si>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</si>
  <si>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</si>
  <si>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</si>
  <si>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</si>
  <si>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</si>
  <si>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</si>
  <si>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</si>
  <si>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</si>
  <si>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</si>
  <si>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</si>
  <si>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</si>
  <si>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</si>
  <si>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</si>
  <si>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</si>
  <si>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</si>
  <si>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</si>
  <si>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</si>
  <si>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</si>
  <si>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</si>
  <si>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</si>
  <si>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</si>
  <si>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</si>
  <si>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</si>
  <si>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</si>
  <si>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</si>
  <si>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</si>
  <si>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</si>
  <si>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</si>
  <si>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</si>
  <si>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</si>
  <si>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</si>
  <si>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</si>
  <si>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</si>
  <si>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</si>
  <si>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</si>
  <si>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</si>
  <si>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</si>
  <si>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</si>
  <si>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</si>
  <si>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</si>
  <si>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</si>
  <si>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</si>
  <si>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</si>
  <si>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</si>
  <si>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</si>
  <si>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</si>
  <si>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</si>
  <si>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</si>
  <si>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</si>
  <si>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</si>
  <si>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</si>
  <si>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</si>
  <si>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</si>
  <si>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</si>
  <si>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</si>
  <si>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</si>
  <si>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</si>
  <si>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</si>
  <si>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</si>
  <si>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</si>
  <si>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</si>
  <si>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</si>
  <si>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</si>
  <si>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</si>
  <si>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</si>
  <si>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</si>
  <si>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</si>
  <si>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</si>
  <si>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</si>
  <si>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</si>
  <si>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</si>
  <si>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</si>
  <si>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</si>
  <si>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</si>
  <si>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</si>
  <si>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</si>
  <si>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</si>
  <si>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</si>
  <si>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</si>
  <si>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</si>
  <si>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</si>
  <si>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</si>
  <si>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</si>
  <si>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</si>
  <si>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</si>
  <si>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</si>
  <si>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</si>
  <si>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</si>
  <si>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</si>
  <si>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</si>
  <si>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</si>
  <si>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</si>
  <si>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</si>
  <si>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</si>
  <si>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</si>
  <si>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</si>
  <si>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</si>
  <si>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</si>
  <si>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</si>
  <si>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</si>
  <si>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</si>
  <si>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</si>
  <si>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</si>
  <si>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</si>
  <si>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</si>
  <si>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</si>
  <si>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</si>
  <si>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</si>
  <si>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</si>
  <si>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</si>
  <si>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</si>
  <si>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</si>
  <si>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</si>
  <si>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</si>
  <si>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</si>
  <si>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</si>
  <si>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</si>
  <si>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</si>
  <si>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</si>
  <si>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</si>
  <si>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</si>
  <si>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</si>
  <si>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</si>
  <si>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</si>
  <si>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</si>
  <si>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</si>
  <si>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</si>
  <si>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</si>
  <si>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</si>
  <si>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</si>
  <si>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</si>
  <si>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</si>
  <si>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</si>
  <si>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</si>
  <si>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</si>
  <si>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</si>
  <si>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</si>
  <si>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</si>
  <si>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</si>
  <si>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</si>
  <si>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</si>
  <si>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</si>
  <si>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</si>
  <si>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</si>
  <si>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</si>
  <si>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</si>
  <si>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</si>
  <si>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</si>
  <si>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</si>
  <si>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</si>
  <si>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</si>
  <si>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</si>
  <si>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</si>
  <si>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</si>
  <si>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</si>
  <si>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</si>
  <si>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</si>
  <si>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</si>
  <si>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</si>
  <si>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</si>
  <si>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</si>
  <si>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</si>
  <si>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</si>
  <si>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</si>
  <si>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</si>
  <si>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</si>
  <si>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</si>
  <si>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</si>
  <si>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</si>
  <si>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</si>
  <si>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</si>
  <si>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</si>
  <si>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</si>
  <si>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</si>
  <si>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</si>
  <si>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</si>
  <si>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</si>
  <si>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</si>
  <si>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</si>
  <si>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</si>
  <si>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</si>
  <si>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</si>
  <si>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</si>
  <si>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</si>
  <si>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</si>
  <si>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</si>
  <si>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</si>
  <si>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</si>
  <si>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</si>
  <si>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</si>
  <si>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</si>
  <si>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</si>
  <si>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</si>
  <si>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</si>
  <si>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</si>
  <si>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</si>
  <si>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</si>
  <si>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</si>
  <si>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</si>
  <si>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</si>
  <si>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</si>
  <si>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</si>
  <si>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</si>
  <si>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</si>
  <si>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</si>
  <si>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</si>
  <si>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</si>
  <si>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</si>
  <si>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</si>
  <si>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</si>
  <si>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</si>
  <si>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</si>
  <si>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</si>
  <si>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</si>
  <si>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</si>
  <si>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</si>
  <si>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</si>
  <si>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</si>
  <si>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</si>
  <si>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</si>
  <si>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</si>
  <si>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</si>
  <si>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</si>
  <si>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</si>
  <si>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</si>
  <si>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</si>
  <si>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</si>
  <si>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</si>
  <si>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</si>
  <si>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</si>
  <si>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</si>
  <si>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</si>
  <si>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</si>
  <si>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</si>
  <si>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</si>
  <si>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</si>
  <si>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</si>
  <si>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</si>
  <si>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</si>
  <si>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</si>
  <si>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</si>
  <si>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</si>
  <si>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</si>
  <si>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</si>
  <si>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</si>
  <si>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</si>
  <si>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</si>
  <si>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</si>
  <si>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</si>
  <si>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</si>
  <si>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</si>
  <si>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</si>
  <si>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</si>
  <si>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</si>
  <si>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</si>
  <si>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</si>
  <si>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</si>
  <si>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</si>
  <si>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</si>
  <si>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</si>
  <si>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</si>
  <si>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</si>
  <si>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</si>
  <si>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</si>
  <si>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</si>
  <si>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</si>
  <si>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</si>
  <si>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</si>
  <si>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</si>
  <si>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</si>
  <si>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</si>
  <si>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</si>
  <si>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</si>
  <si>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</si>
  <si>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</si>
  <si>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</si>
  <si>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</si>
  <si>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</si>
  <si>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</si>
  <si>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</si>
  <si>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</si>
  <si>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</si>
  <si>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</si>
  <si>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</si>
  <si>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</si>
  <si>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</si>
  <si>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</si>
  <si>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</si>
  <si>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</si>
  <si>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</si>
  <si>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</si>
  <si>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</si>
  <si>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</si>
  <si>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</si>
  <si>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</si>
  <si>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</si>
  <si>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</si>
  <si>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</si>
  <si>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</si>
  <si>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</si>
  <si>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</si>
  <si>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</si>
  <si>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</si>
  <si>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</si>
  <si>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</si>
  <si>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</si>
  <si>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</si>
  <si>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</si>
  <si>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</si>
  <si>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</si>
  <si>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</si>
  <si>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</si>
  <si>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</si>
  <si>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</si>
  <si>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</si>
  <si>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</si>
  <si>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</si>
  <si>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</si>
  <si>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</si>
  <si>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</si>
  <si>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</si>
  <si>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</si>
  <si>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</si>
  <si>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</si>
  <si>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</si>
  <si>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</si>
  <si>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</si>
  <si>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</si>
  <si>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</si>
  <si>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</si>
  <si>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</si>
  <si>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</si>
  <si>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</si>
  <si>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</si>
  <si>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</si>
  <si>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</si>
  <si>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</si>
  <si>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</si>
  <si>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</si>
  <si>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</si>
  <si>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</si>
  <si>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</si>
  <si>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</si>
  <si>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</si>
  <si>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</si>
  <si>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</si>
  <si>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</si>
  <si>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</si>
  <si>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</si>
  <si>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</si>
  <si>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</si>
  <si>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</si>
  <si>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</si>
  <si>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</si>
  <si>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</si>
  <si>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</si>
  <si>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</si>
  <si>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</si>
  <si>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</si>
  <si>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</si>
  <si>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</si>
  <si>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</si>
  <si>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</si>
  <si>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</si>
  <si>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</si>
  <si>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</si>
  <si>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</si>
  <si>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</si>
  <si>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</si>
  <si>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</si>
  <si>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</si>
  <si>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</si>
  <si>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</si>
  <si>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</si>
  <si>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</si>
  <si>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</si>
  <si>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</si>
  <si>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</si>
  <si>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</si>
  <si>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</si>
  <si>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</si>
  <si>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</si>
  <si>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</si>
  <si>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</si>
  <si>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</si>
  <si>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</si>
  <si>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</si>
  <si>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</si>
  <si>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</si>
  <si>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</si>
  <si>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</si>
  <si>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</si>
  <si>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</si>
  <si>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</si>
  <si>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</si>
  <si>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</si>
  <si>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</si>
  <si>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</si>
  <si>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</si>
  <si>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</si>
  <si>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</si>
  <si>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</si>
  <si>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</si>
  <si>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</si>
  <si>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</si>
  <si>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</si>
  <si>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</si>
  <si>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</si>
  <si>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</si>
  <si>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</si>
  <si>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</si>
  <si>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</si>
  <si>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</si>
  <si>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</si>
  <si>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</si>
  <si>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</si>
  <si>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</si>
  <si>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</si>
  <si>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</si>
  <si>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</si>
  <si>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</si>
  <si>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</si>
  <si>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</si>
  <si>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</si>
  <si>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</si>
  <si>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</si>
  <si>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</si>
  <si>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</si>
  <si>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</si>
  <si>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</si>
  <si>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</si>
  <si>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</si>
  <si>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</si>
  <si>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</si>
  <si>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</si>
  <si>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</si>
  <si>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</si>
  <si>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</si>
  <si>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</si>
  <si>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</si>
  <si>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</si>
  <si>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</si>
  <si>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</si>
  <si>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</si>
  <si>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</si>
  <si>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</si>
  <si>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</si>
  <si>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</si>
  <si>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</si>
  <si>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</si>
  <si>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</si>
  <si>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</si>
  <si>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</si>
  <si>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</si>
  <si>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</si>
  <si>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</si>
  <si>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</si>
  <si>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</si>
  <si>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</si>
  <si>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</si>
  <si>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</si>
  <si>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</si>
  <si>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</si>
  <si>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</si>
  <si>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</si>
  <si>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</si>
  <si>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</si>
  <si>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</si>
  <si>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</si>
  <si>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</si>
  <si>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</si>
  <si>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</si>
  <si>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</si>
  <si>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</si>
  <si>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</si>
  <si>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</si>
  <si>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</si>
  <si>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</si>
  <si>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</si>
  <si>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</si>
  <si>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</si>
  <si>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</si>
  <si>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</si>
  <si>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</si>
  <si>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</si>
  <si>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</si>
  <si>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</si>
  <si>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</si>
  <si>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</si>
  <si>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</si>
  <si>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</si>
  <si>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</si>
  <si>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</si>
  <si>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</si>
  <si>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</si>
  <si>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</si>
  <si>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</si>
  <si>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</si>
  <si>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</si>
  <si>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</si>
  <si>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</si>
  <si>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</si>
  <si>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</si>
  <si>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</si>
  <si>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</si>
  <si>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</si>
  <si>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</si>
  <si>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</si>
  <si>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</si>
  <si>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</si>
  <si>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</si>
  <si>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</si>
  <si>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</si>
  <si>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</si>
  <si>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</si>
  <si>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</si>
  <si>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</si>
  <si>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</si>
  <si>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</si>
  <si>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</si>
  <si>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</si>
  <si>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</si>
  <si>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</si>
  <si>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</si>
  <si>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</si>
  <si>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</si>
  <si>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</si>
  <si>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</si>
  <si>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</si>
  <si>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</si>
  <si>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</si>
  <si>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</si>
  <si>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</si>
  <si>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</si>
  <si>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</si>
  <si>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</si>
  <si>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</si>
  <si>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</si>
  <si>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</si>
  <si>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</si>
  <si>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</si>
  <si>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</si>
  <si>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</si>
  <si>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</si>
  <si>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</si>
  <si>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</si>
  <si>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</si>
  <si>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</si>
  <si>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</si>
  <si>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</si>
  <si>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</si>
  <si>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</si>
  <si>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</si>
  <si>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</si>
  <si>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</si>
  <si>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</si>
  <si>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</si>
  <si>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</si>
  <si>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</si>
  <si>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</si>
  <si>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</si>
  <si>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</si>
  <si>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</si>
  <si>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</si>
  <si>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</si>
  <si>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</si>
  <si>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</si>
  <si>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</si>
  <si>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</si>
  <si>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</si>
  <si>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</si>
  <si>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</si>
  <si>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</si>
  <si>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</si>
  <si>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</si>
  <si>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</si>
  <si>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</si>
  <si>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</si>
  <si>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</si>
  <si>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</si>
  <si>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</si>
  <si>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</si>
  <si>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</si>
  <si>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</si>
  <si>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</si>
  <si>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</si>
  <si>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</si>
  <si>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</si>
  <si>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</si>
  <si>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</si>
  <si>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</si>
  <si>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</si>
  <si>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</si>
  <si>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</si>
  <si>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</si>
  <si>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</si>
  <si>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</si>
  <si>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</si>
  <si>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</si>
  <si>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</si>
  <si>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</si>
  <si>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</si>
  <si>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</si>
  <si>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</si>
  <si>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</si>
  <si>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</si>
  <si>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</si>
  <si>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</si>
  <si>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</si>
  <si>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</si>
  <si>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</si>
  <si>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</si>
  <si>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</si>
  <si>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</si>
  <si>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</si>
  <si>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</si>
  <si>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</si>
  <si>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</si>
  <si>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</si>
  <si>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</si>
  <si>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</si>
  <si>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</si>
  <si>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</si>
  <si>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</si>
  <si>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</si>
  <si>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</si>
  <si>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</si>
  <si>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</si>
  <si>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</si>
  <si>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</si>
  <si>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</si>
  <si>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</si>
  <si>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</si>
  <si>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</si>
  <si>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</si>
  <si>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</si>
  <si>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</si>
  <si>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</si>
  <si>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</si>
  <si>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</si>
  <si>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</si>
  <si>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</si>
  <si>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</si>
  <si>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</si>
  <si>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</si>
  <si>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</si>
  <si>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</si>
  <si>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</si>
  <si>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</si>
  <si>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</si>
  <si>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</si>
  <si>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</si>
  <si>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</si>
  <si>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</si>
  <si>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</si>
  <si>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</si>
  <si>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</si>
  <si>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</si>
  <si>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</si>
  <si>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</si>
  <si>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</si>
  <si>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</si>
  <si>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</si>
  <si>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</si>
  <si>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</si>
  <si>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</si>
  <si>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</si>
  <si>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</si>
  <si>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</si>
  <si>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</si>
  <si>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</si>
  <si>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</si>
  <si>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</si>
  <si>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</si>
  <si>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</si>
  <si>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</si>
  <si>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</si>
  <si>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</si>
  <si>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</si>
  <si>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</si>
  <si>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</si>
  <si>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</si>
  <si>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</si>
  <si>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</si>
  <si>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</si>
  <si>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</si>
  <si>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</si>
  <si>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</si>
  <si>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</si>
  <si>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</si>
  <si>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</si>
  <si>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</si>
  <si>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</si>
  <si>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</si>
  <si>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</si>
  <si>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</si>
  <si>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</si>
  <si>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</si>
  <si>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</si>
  <si>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</si>
  <si>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</si>
  <si>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</si>
  <si>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</si>
  <si>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</si>
  <si>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</si>
  <si>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</si>
  <si>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</si>
  <si>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</si>
  <si>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</si>
  <si>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</si>
  <si>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</si>
  <si>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</si>
  <si>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</si>
  <si>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</si>
  <si>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</si>
  <si>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</si>
  <si>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</si>
  <si>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</si>
  <si>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</si>
  <si>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</si>
  <si>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</si>
  <si>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</si>
  <si>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</si>
  <si>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</si>
  <si>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</si>
  <si>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</si>
  <si>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</si>
  <si>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</si>
  <si>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</si>
  <si>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</si>
  <si>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</si>
  <si>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</si>
  <si>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</si>
  <si>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</si>
  <si>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</si>
  <si>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</si>
  <si>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</si>
  <si>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</si>
  <si>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</si>
  <si>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</si>
  <si>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</si>
  <si>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</si>
  <si>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</si>
  <si>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</si>
  <si>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</si>
  <si>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</si>
  <si>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</si>
  <si>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</si>
  <si>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</si>
  <si>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</si>
  <si>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</si>
  <si>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</si>
  <si>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</si>
  <si>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</si>
  <si>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</si>
  <si>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</si>
  <si>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</si>
  <si>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</si>
  <si>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</si>
  <si>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</si>
  <si>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</si>
  <si>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</si>
  <si>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</si>
  <si>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</si>
  <si>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</si>
  <si>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</si>
  <si>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</si>
  <si>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</si>
  <si>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</si>
  <si>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</si>
  <si>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</si>
  <si>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</si>
  <si>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</si>
  <si>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</si>
  <si>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</si>
  <si>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</si>
  <si>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</si>
  <si>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</si>
  <si>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</si>
  <si>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</si>
  <si>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</si>
  <si>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</si>
  <si>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</si>
  <si>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</si>
  <si>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</si>
  <si>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</si>
  <si>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</si>
  <si>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</si>
  <si>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</si>
  <si>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</si>
  <si>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</si>
  <si>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</si>
  <si>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</si>
  <si>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</si>
  <si>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</si>
  <si>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</si>
  <si>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</si>
  <si>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</si>
  <si>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</si>
  <si>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</si>
  <si>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</si>
  <si>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</si>
  <si>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</si>
  <si>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</si>
  <si>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</si>
  <si>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</si>
  <si>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</si>
  <si>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</si>
  <si>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</si>
  <si>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</si>
  <si>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</si>
  <si>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</si>
  <si>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</si>
  <si>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</si>
  <si>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</si>
  <si>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</si>
  <si>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</si>
  <si>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</si>
  <si>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</si>
  <si>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</si>
  <si>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</si>
  <si>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</si>
  <si>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</si>
  <si>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</si>
  <si>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</si>
  <si>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</si>
  <si>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</si>
  <si>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</si>
  <si>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</si>
  <si>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</si>
  <si>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</si>
  <si>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</si>
  <si>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</si>
  <si>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</si>
  <si>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</si>
  <si>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</si>
  <si>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</si>
  <si>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</si>
  <si>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</si>
  <si>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</si>
  <si>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</si>
  <si>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</si>
  <si>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</si>
  <si>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</si>
  <si>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</si>
  <si>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</si>
  <si>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</si>
  <si>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</si>
  <si>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</si>
  <si>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</si>
  <si>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</si>
  <si>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</si>
  <si>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</si>
  <si>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</si>
  <si>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</si>
  <si>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</si>
  <si>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</si>
  <si>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</si>
  <si>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</si>
  <si>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</si>
  <si>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</si>
  <si>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</si>
  <si>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</si>
  <si>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</si>
  <si>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</si>
  <si>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</si>
  <si>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</si>
  <si>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</si>
  <si>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</si>
  <si>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</si>
  <si>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</si>
  <si>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</si>
  <si>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</si>
  <si>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</si>
  <si>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</si>
  <si>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</si>
  <si>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</si>
  <si>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</si>
  <si>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</si>
  <si>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</si>
  <si>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</si>
  <si>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</si>
  <si>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</si>
  <si>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</si>
  <si>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</si>
  <si>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</si>
  <si>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</si>
  <si>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</si>
  <si>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</si>
  <si>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</si>
  <si>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</si>
  <si>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</si>
  <si>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</si>
  <si>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</si>
  <si>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</si>
  <si>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</si>
  <si>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</si>
  <si>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</si>
  <si>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</si>
  <si>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</si>
  <si>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</si>
  <si>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</si>
  <si>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</si>
  <si>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</si>
  <si>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</si>
  <si>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</si>
  <si>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</si>
  <si>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</si>
  <si>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</si>
  <si>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</si>
  <si>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</si>
  <si>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</si>
  <si>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</si>
  <si>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</si>
  <si>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</si>
  <si>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</si>
  <si>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</si>
  <si>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</si>
  <si>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</si>
  <si>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</si>
  <si>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</si>
  <si>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</si>
  <si>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</si>
  <si>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</si>
  <si>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</si>
  <si>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</si>
  <si>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</si>
  <si>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</si>
  <si>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</si>
  <si>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</si>
  <si>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</si>
  <si>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</si>
  <si>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</si>
  <si>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</si>
  <si>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</si>
  <si>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</si>
  <si>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</si>
  <si>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</si>
  <si>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</si>
  <si>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</si>
  <si>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</si>
  <si>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</si>
  <si>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</si>
  <si>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</si>
  <si>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</si>
  <si>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</si>
  <si>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</si>
  <si>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</si>
  <si>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</si>
  <si>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</si>
  <si>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</si>
  <si>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</si>
  <si>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</si>
  <si>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</si>
  <si>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</si>
  <si>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</si>
  <si>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</si>
  <si>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</si>
  <si>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</si>
  <si>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</si>
  <si>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</si>
  <si>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</si>
  <si>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</si>
  <si>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</si>
  <si>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</si>
  <si>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</si>
  <si>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</si>
  <si>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</si>
  <si>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</si>
  <si>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</si>
  <si>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</si>
  <si>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</si>
  <si>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</si>
  <si>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</si>
  <si>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</si>
  <si>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</si>
  <si>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</si>
  <si>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</si>
  <si>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</si>
  <si>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</si>
  <si>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</si>
  <si>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</si>
  <si>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</si>
  <si>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</si>
  <si>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</si>
  <si>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</si>
  <si>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</si>
  <si>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</si>
  <si>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</si>
  <si>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</si>
  <si>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</si>
  <si>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</si>
  <si>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</si>
  <si>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</si>
  <si>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</si>
  <si>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</si>
  <si>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</si>
  <si>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</si>
  <si>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</si>
  <si>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</si>
  <si>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</si>
  <si>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</si>
  <si>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</si>
  <si>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</si>
  <si>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</si>
  <si>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</si>
  <si>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</si>
  <si>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</si>
  <si>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</si>
  <si>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</si>
  <si>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</si>
  <si>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</si>
  <si>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</si>
  <si>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</si>
  <si>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</si>
  <si>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</si>
  <si>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</si>
  <si>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</si>
  <si>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</si>
  <si>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</si>
  <si>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</si>
  <si>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</si>
  <si>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</si>
  <si>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</si>
  <si>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</si>
  <si>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</si>
  <si>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</si>
  <si>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</si>
  <si>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</si>
  <si>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</si>
  <si>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</si>
  <si>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</si>
  <si>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</si>
  <si>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</si>
  <si>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</si>
  <si>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</si>
  <si>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</si>
  <si>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</si>
  <si>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</si>
  <si>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</si>
  <si>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</si>
  <si>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</si>
  <si>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</si>
  <si>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</si>
  <si>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</si>
  <si>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</si>
  <si>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</si>
  <si>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</si>
  <si>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</si>
  <si>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</si>
  <si>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</si>
  <si>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</si>
  <si>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</si>
  <si>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</si>
  <si>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</si>
  <si>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</si>
  <si>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</si>
  <si>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</si>
  <si>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</si>
  <si>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</si>
  <si>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</si>
  <si>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</si>
  <si>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</si>
  <si>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</si>
  <si>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</si>
  <si>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</si>
  <si>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</si>
  <si>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</si>
  <si>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</si>
  <si>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</si>
  <si>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</si>
  <si>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</si>
  <si>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</si>
  <si>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</si>
  <si>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</si>
  <si>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</si>
  <si>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</si>
  <si>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</si>
  <si>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</si>
  <si>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</si>
  <si>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</si>
  <si>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</si>
  <si>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</si>
  <si>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</si>
  <si>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</si>
  <si>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</si>
  <si>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</si>
  <si>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</si>
  <si>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</si>
  <si>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</si>
  <si>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</si>
  <si>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</si>
  <si>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</si>
  <si>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</si>
  <si>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</si>
  <si>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</si>
  <si>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</si>
  <si>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</si>
  <si>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</si>
  <si>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</si>
  <si>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</si>
  <si>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</si>
  <si>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</si>
  <si>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</si>
  <si>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</si>
  <si>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</si>
  <si>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</si>
  <si>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</si>
  <si>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</si>
  <si>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</si>
  <si>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</si>
  <si>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</si>
  <si>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</si>
  <si>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</si>
  <si>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</si>
  <si>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</si>
  <si>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</si>
  <si>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</si>
  <si>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</si>
  <si>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</si>
  <si>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</si>
  <si>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</si>
  <si>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</si>
  <si>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</si>
  <si>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</si>
  <si>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</si>
  <si>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</si>
  <si>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</si>
  <si>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</si>
  <si>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</si>
  <si>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</si>
  <si>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</si>
  <si>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</si>
  <si>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</si>
  <si>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</si>
  <si>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</si>
  <si>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</si>
  <si>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</si>
  <si>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</si>
  <si>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</si>
  <si>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</si>
  <si>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</si>
  <si>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</si>
  <si>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</si>
  <si>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</si>
  <si>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</si>
  <si>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</si>
  <si>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</si>
  <si>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</si>
  <si>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</si>
  <si>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</si>
  <si>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</si>
  <si>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</si>
  <si>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</si>
  <si>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</si>
  <si>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</si>
  <si>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</si>
  <si>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</si>
  <si>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</si>
  <si>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</si>
  <si>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</si>
  <si>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</si>
  <si>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</si>
  <si>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</si>
  <si>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</si>
  <si>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</si>
  <si>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</si>
  <si>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</si>
  <si>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</si>
  <si>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</si>
  <si>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</si>
  <si>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</si>
  <si>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</si>
  <si>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</si>
  <si>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</si>
  <si>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</si>
  <si>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</si>
  <si>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</si>
  <si>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</si>
  <si>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</si>
  <si>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</si>
  <si>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</si>
  <si>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</si>
  <si>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</si>
  <si>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</si>
  <si>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</si>
  <si>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</si>
  <si>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</si>
  <si>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</si>
  <si>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</si>
  <si>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</si>
  <si>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</si>
  <si>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</si>
  <si>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</si>
  <si>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</si>
  <si>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</si>
  <si>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</si>
  <si>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</si>
  <si>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</si>
  <si>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</si>
  <si>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</si>
  <si>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</si>
  <si>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</si>
  <si>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</si>
  <si>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</si>
  <si>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</si>
  <si>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</si>
  <si>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</si>
  <si>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</si>
  <si>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</si>
  <si>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</si>
  <si>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</si>
  <si>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</si>
  <si>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</si>
  <si>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</si>
  <si>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</si>
  <si>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</si>
  <si>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</si>
  <si>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</si>
  <si>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</si>
  <si>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</si>
  <si>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</si>
  <si>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</si>
  <si>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</si>
  <si>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</si>
  <si>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</si>
  <si>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</si>
  <si>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</si>
  <si>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</si>
  <si>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</si>
  <si>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</si>
  <si>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</si>
  <si>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</si>
  <si>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</si>
  <si>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</si>
  <si>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</si>
  <si>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</si>
  <si>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</si>
  <si>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</si>
  <si>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</si>
  <si>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</si>
  <si>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</si>
  <si>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</si>
  <si>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</si>
  <si>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</si>
  <si>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</si>
  <si>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</si>
  <si>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</si>
  <si>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</si>
  <si>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</si>
  <si>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</si>
  <si>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</si>
  <si>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</si>
  <si>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</si>
  <si>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</si>
  <si>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</si>
  <si>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</si>
  <si>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</si>
  <si>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</si>
  <si>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</si>
  <si>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</si>
  <si>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</si>
  <si>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</si>
  <si>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</si>
  <si>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</si>
  <si>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</si>
  <si>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</si>
  <si>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</si>
  <si>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</si>
  <si>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</si>
  <si>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</si>
  <si>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</si>
  <si>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</si>
  <si>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</si>
  <si>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</si>
  <si>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</si>
  <si>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</si>
  <si>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</si>
  <si>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</si>
  <si>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</si>
  <si>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</si>
  <si>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</si>
  <si>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</si>
  <si>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</si>
  <si>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</si>
  <si>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</si>
  <si>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</si>
  <si>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</si>
  <si>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</si>
  <si>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</si>
  <si>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</si>
  <si>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</si>
  <si>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</si>
  <si>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</si>
  <si>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</si>
  <si>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</si>
  <si>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</si>
  <si>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</si>
  <si>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</si>
  <si>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</si>
  <si>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</si>
  <si>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</si>
  <si>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</si>
  <si>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</si>
  <si>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</si>
  <si>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</si>
  <si>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</si>
  <si>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</si>
  <si>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</si>
  <si>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</si>
  <si>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</si>
  <si>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</si>
  <si>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</si>
  <si>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</si>
  <si>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</si>
  <si>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</si>
  <si>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</si>
  <si>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</si>
  <si>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</si>
  <si>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</si>
  <si>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</si>
  <si>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</si>
  <si>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</si>
  <si>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</si>
  <si>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</si>
  <si>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</si>
  <si>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</si>
  <si>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</si>
  <si>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</si>
  <si>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</si>
  <si>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</si>
  <si>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</si>
  <si>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</si>
  <si>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</si>
  <si>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</si>
  <si>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</si>
  <si>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</si>
  <si>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</si>
  <si>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</si>
  <si>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</si>
  <si>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</si>
  <si>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</si>
  <si>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</si>
  <si>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</si>
  <si>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</si>
  <si>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</si>
  <si>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</si>
  <si>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</si>
  <si>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</si>
  <si>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</si>
  <si>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</si>
  <si>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</si>
  <si>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</si>
  <si>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</si>
  <si>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</si>
  <si>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</si>
  <si>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</si>
  <si>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</si>
  <si>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</si>
  <si>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</si>
  <si>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</si>
  <si>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</si>
  <si>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</si>
  <si>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</si>
  <si>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</si>
  <si>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</si>
  <si>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</si>
  <si>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</si>
  <si>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</si>
  <si>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</si>
  <si>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</si>
  <si>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</si>
  <si>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</si>
  <si>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</si>
  <si>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</si>
  <si>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</si>
  <si>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</si>
  <si>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</si>
  <si>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</si>
  <si>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</si>
  <si>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</si>
  <si>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</si>
  <si>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</si>
  <si>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</si>
  <si>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</si>
  <si>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</si>
  <si>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</si>
  <si>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</si>
  <si>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</si>
  <si>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</si>
  <si>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</si>
  <si>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</si>
  <si>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</si>
  <si>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</si>
  <si>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</si>
  <si>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</si>
  <si>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</si>
  <si>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</si>
  <si>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</si>
  <si>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</si>
  <si>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</si>
  <si>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</si>
  <si>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</si>
  <si>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</si>
  <si>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</si>
  <si>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</si>
  <si>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</si>
  <si>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</si>
  <si>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</si>
  <si>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</si>
  <si>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</si>
  <si>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</si>
  <si>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</si>
  <si>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</si>
  <si>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</si>
  <si>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</si>
  <si>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</si>
  <si>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</si>
  <si>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</si>
  <si>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</si>
  <si>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</si>
  <si>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</si>
  <si>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</si>
  <si>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</si>
  <si>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</si>
  <si>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</si>
  <si>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</si>
  <si>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</si>
  <si>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</si>
  <si>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</si>
  <si>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</si>
  <si>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</si>
  <si>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</si>
  <si>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</si>
  <si>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</si>
  <si>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</si>
  <si>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</si>
  <si>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</si>
  <si>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</si>
  <si>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</si>
  <si>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</si>
  <si>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</si>
  <si>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</si>
  <si>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</si>
  <si>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</si>
  <si>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</si>
  <si>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</si>
  <si>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</si>
  <si>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</si>
  <si>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</si>
  <si>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</si>
  <si>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</si>
  <si>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</si>
  <si>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</si>
  <si>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</si>
  <si>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</si>
  <si>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</si>
  <si>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</si>
  <si>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</si>
  <si>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</si>
  <si>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</si>
  <si>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</si>
  <si>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</si>
  <si>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</si>
  <si>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</si>
  <si>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</si>
  <si>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</si>
  <si>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</si>
  <si>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</si>
  <si>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</si>
  <si>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</si>
  <si>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</si>
  <si>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</si>
  <si>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</si>
  <si>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</si>
  <si>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</si>
  <si>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</si>
  <si>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</si>
  <si>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</si>
  <si>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</si>
  <si>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</si>
  <si>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</si>
  <si>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</si>
  <si>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</si>
  <si>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</si>
  <si>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</si>
  <si>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</si>
  <si>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</si>
  <si>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</si>
  <si>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</si>
  <si>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</si>
  <si>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</si>
  <si>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</si>
  <si>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</si>
  <si>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</si>
  <si>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</si>
  <si>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</si>
  <si>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</si>
  <si>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</si>
  <si>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</si>
  <si>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</si>
  <si>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</si>
  <si>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</si>
  <si>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</si>
  <si>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</si>
  <si>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</si>
  <si>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</si>
  <si>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</si>
  <si>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</si>
  <si>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</si>
  <si>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</si>
  <si>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</si>
  <si>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</si>
  <si>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</si>
  <si>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</si>
  <si>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</si>
  <si>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</si>
  <si>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</si>
  <si>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</si>
  <si>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</si>
  <si>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</si>
  <si>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</si>
  <si>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</si>
  <si>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</si>
  <si>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</si>
  <si>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</si>
  <si>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</si>
  <si>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</si>
  <si>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</si>
  <si>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</si>
  <si>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</si>
  <si>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</si>
  <si>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</si>
  <si>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</si>
  <si>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</si>
  <si>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</si>
  <si>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</si>
  <si>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</si>
  <si>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</si>
  <si>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</si>
  <si>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</si>
  <si>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</si>
  <si>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</si>
  <si>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</si>
  <si>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</si>
  <si>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</si>
  <si>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</si>
  <si>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</si>
  <si>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</si>
  <si>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</si>
  <si>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</si>
  <si>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</si>
  <si>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</si>
  <si>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</si>
  <si>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</si>
  <si>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</si>
  <si>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</si>
  <si>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</si>
  <si>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</si>
  <si>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</si>
  <si>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</si>
  <si>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</si>
  <si>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</si>
  <si>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</si>
  <si>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</si>
  <si>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</si>
  <si>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</si>
  <si>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</si>
  <si>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</si>
  <si>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</si>
  <si>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</si>
  <si>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</si>
  <si>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</si>
  <si>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</si>
  <si>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</si>
  <si>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</si>
  <si>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</si>
  <si>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</si>
  <si>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</si>
  <si>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</si>
  <si>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</si>
  <si>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</si>
  <si>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</si>
  <si>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</si>
  <si>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</si>
  <si>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</si>
  <si>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</si>
  <si>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</si>
  <si>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</si>
  <si>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</si>
  <si>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</si>
  <si>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</si>
  <si>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</si>
  <si>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</si>
  <si>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</si>
  <si>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</si>
  <si>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</si>
  <si>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</si>
  <si>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</si>
  <si>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</si>
  <si>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</si>
  <si>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</si>
  <si>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</si>
  <si>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</si>
  <si>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</si>
  <si>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</si>
  <si>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</si>
  <si>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</si>
  <si>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</si>
  <si>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</si>
  <si>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</si>
  <si>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</si>
  <si>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</si>
  <si>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</si>
  <si>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</si>
  <si>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</si>
  <si>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</si>
  <si>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</si>
  <si>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</si>
  <si>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</si>
  <si>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</si>
  <si>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</si>
  <si>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</si>
  <si>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</si>
  <si>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</si>
  <si>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</si>
  <si>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</si>
  <si>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</si>
  <si>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</si>
  <si>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</si>
  <si>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</si>
  <si>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</si>
  <si>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</si>
  <si>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</si>
  <si>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</si>
  <si>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</si>
  <si>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</si>
  <si>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</si>
  <si>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</si>
  <si>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</si>
  <si>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</si>
  <si>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</si>
  <si>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</si>
  <si>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</si>
  <si>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</si>
  <si>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</si>
  <si>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</si>
  <si>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</si>
  <si>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</si>
  <si>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</si>
  <si>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</si>
  <si>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</si>
  <si>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</si>
  <si>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</si>
  <si>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</si>
  <si>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</si>
  <si>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</si>
  <si>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</si>
  <si>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</si>
  <si>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</si>
  <si>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</si>
  <si>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</si>
  <si>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</si>
  <si>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</si>
  <si>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</si>
  <si>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</si>
  <si>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</si>
  <si>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</si>
  <si>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</si>
  <si>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</si>
  <si>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</si>
  <si>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</si>
  <si>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</si>
  <si>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</si>
  <si>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</si>
  <si>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</si>
  <si>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</si>
  <si>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</si>
  <si>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</si>
  <si>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</si>
  <si>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</si>
  <si>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</si>
  <si>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</si>
  <si>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</si>
  <si>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</si>
  <si>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</si>
  <si>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</si>
  <si>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</si>
  <si>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</si>
  <si>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</si>
  <si>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</si>
  <si>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</si>
  <si>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</si>
  <si>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</si>
  <si>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</si>
  <si>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</si>
  <si>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</si>
  <si>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</si>
  <si>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</si>
  <si>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</si>
  <si>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</si>
  <si>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</si>
  <si>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</si>
  <si>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</si>
  <si>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</si>
  <si>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</si>
  <si>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</si>
  <si>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</si>
  <si>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</si>
  <si>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</si>
  <si>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</si>
  <si>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</si>
  <si>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</si>
  <si>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</si>
  <si>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</si>
  <si>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</si>
  <si>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</si>
  <si>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</si>
  <si>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</si>
  <si>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</si>
  <si>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</si>
  <si>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</si>
  <si>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</si>
  <si>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</si>
  <si>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</si>
  <si>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</si>
  <si>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</si>
  <si>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</si>
  <si>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</si>
  <si>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</si>
  <si>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</si>
  <si>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</si>
  <si>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</si>
  <si>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</si>
  <si>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</si>
  <si>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</si>
  <si>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</si>
  <si>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</si>
  <si>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</si>
  <si>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</si>
  <si>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</si>
  <si>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</si>
  <si>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</si>
  <si>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</si>
  <si>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</si>
  <si>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</si>
  <si>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</si>
  <si>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</si>
  <si>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</si>
  <si>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</si>
  <si>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</si>
  <si>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</si>
  <si>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</si>
  <si>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</si>
  <si>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</si>
  <si>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</si>
  <si>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</si>
  <si>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</si>
  <si>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</si>
  <si>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</si>
  <si>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</si>
  <si>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</si>
  <si>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</si>
  <si>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</si>
  <si>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</si>
  <si>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</si>
  <si>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</si>
  <si>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</si>
  <si>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</si>
  <si>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</si>
  <si>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</si>
  <si>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</si>
  <si>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</si>
  <si>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</si>
  <si>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</si>
  <si>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</si>
  <si>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</si>
  <si>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</si>
  <si>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</si>
  <si>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</si>
  <si>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</si>
  <si>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</si>
  <si>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</si>
  <si>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</si>
  <si>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</si>
  <si>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</si>
  <si>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</si>
  <si>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</si>
  <si>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</si>
  <si>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</si>
  <si>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</si>
  <si>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</si>
  <si>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</si>
  <si>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</si>
  <si>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</si>
  <si>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</si>
  <si>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</si>
  <si>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</si>
  <si>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</si>
  <si>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</si>
  <si>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</si>
  <si>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</si>
  <si>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</si>
  <si>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</si>
  <si>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</si>
  <si>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</si>
  <si>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</si>
  <si>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</si>
  <si>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</si>
  <si>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</si>
  <si>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</si>
  <si>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</si>
  <si>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</si>
  <si>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</si>
  <si>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</si>
  <si>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</si>
  <si>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</si>
  <si>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</si>
  <si>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</si>
  <si>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</si>
  <si>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</si>
  <si>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</si>
  <si>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</si>
  <si>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</si>
  <si>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</si>
  <si>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</si>
  <si>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</si>
  <si>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</si>
  <si>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</si>
  <si>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</si>
  <si>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</si>
  <si>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</si>
  <si>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</si>
  <si>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</si>
  <si>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</si>
  <si>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</si>
  <si>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</si>
  <si>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</si>
  <si>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</si>
  <si>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</si>
  <si>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</si>
  <si>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</si>
  <si>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</si>
  <si>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</si>
  <si>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</si>
  <si>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</si>
  <si>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</si>
  <si>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</si>
  <si>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</si>
  <si>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</si>
  <si>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</si>
  <si>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</si>
  <si>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</si>
  <si>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</si>
  <si>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</si>
  <si>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</si>
  <si>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</si>
  <si>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</si>
  <si>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</si>
  <si>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</si>
  <si>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</si>
  <si>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</si>
  <si>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</si>
  <si>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</si>
  <si>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</si>
  <si>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</si>
  <si>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</si>
  <si>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</si>
  <si>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</si>
  <si>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</si>
  <si>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</si>
  <si>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</si>
  <si>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</si>
  <si>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</si>
  <si>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</si>
  <si>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</si>
  <si>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</si>
  <si>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</si>
  <si>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</si>
  <si>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</si>
  <si>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</si>
  <si>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</si>
  <si>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</si>
  <si>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</si>
  <si>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</si>
  <si>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</si>
  <si>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</si>
  <si>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</si>
  <si>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</si>
  <si>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</si>
  <si>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</si>
  <si>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</si>
  <si>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</si>
  <si>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</si>
  <si>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</si>
  <si>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</si>
  <si>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</si>
  <si>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</si>
  <si>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</si>
  <si>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</si>
  <si>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</si>
  <si>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</si>
  <si>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</si>
  <si>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</si>
  <si>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</si>
  <si>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</si>
  <si>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</si>
  <si>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</si>
  <si>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</si>
  <si>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</si>
  <si>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</si>
  <si>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</si>
  <si>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</si>
  <si>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</si>
  <si>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</si>
  <si>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</si>
  <si>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</si>
  <si>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</si>
  <si>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</si>
  <si>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</si>
  <si>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</si>
  <si>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</si>
  <si>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</si>
  <si>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</si>
  <si>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</si>
  <si>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</si>
  <si>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</si>
  <si>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</si>
  <si>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</si>
  <si>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</si>
  <si>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</si>
  <si>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</si>
  <si>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</si>
  <si>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</si>
  <si>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</si>
  <si>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</si>
  <si>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</si>
  <si>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</si>
  <si>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</si>
  <si>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</si>
  <si>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</si>
  <si>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</si>
  <si>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</si>
  <si>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</si>
  <si>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</si>
  <si>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</si>
  <si>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</si>
  <si>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</si>
  <si>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</si>
  <si>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</si>
  <si>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</si>
  <si>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</si>
  <si>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</si>
  <si>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</si>
  <si>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</si>
  <si>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</si>
  <si>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</si>
  <si>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</si>
  <si>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</si>
  <si>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</si>
  <si>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</si>
  <si>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</si>
  <si>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</si>
  <si>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</si>
  <si>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</si>
  <si>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</si>
  <si>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</si>
  <si>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</si>
  <si>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</si>
  <si>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</si>
  <si>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</si>
  <si>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</si>
  <si>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</si>
  <si>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</si>
  <si>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</si>
  <si>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</si>
  <si>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</si>
  <si>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</si>
  <si>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</si>
  <si>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</si>
  <si>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</si>
  <si>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</si>
  <si>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</si>
  <si>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</si>
  <si>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</si>
  <si>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</si>
  <si>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</si>
  <si>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</si>
  <si>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</si>
  <si>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</si>
  <si>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</si>
  <si>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</si>
  <si>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</si>
  <si>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</si>
  <si>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</si>
  <si>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</si>
  <si>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</si>
  <si>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</si>
  <si>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</si>
  <si>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</si>
  <si>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</si>
  <si>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</si>
  <si>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</si>
  <si>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</si>
  <si>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</si>
  <si>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</si>
  <si>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</si>
  <si>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</si>
  <si>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</si>
  <si>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</si>
  <si>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</si>
  <si>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</si>
  <si>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</si>
  <si>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</si>
  <si>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</si>
  <si>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</si>
  <si>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</si>
  <si>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</si>
  <si>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</si>
  <si>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</si>
  <si>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</si>
  <si>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</si>
  <si>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</si>
  <si>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</si>
  <si>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</si>
  <si>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</si>
  <si>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</si>
  <si>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</si>
  <si>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</si>
  <si>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</si>
  <si>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</si>
  <si>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</si>
  <si>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</si>
  <si>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</si>
  <si>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</si>
  <si>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</si>
  <si>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</si>
  <si>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</si>
  <si>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</si>
  <si>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</si>
  <si>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</si>
  <si>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</si>
  <si>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</si>
  <si>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</si>
  <si>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</si>
  <si>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</si>
  <si>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</si>
  <si>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</si>
  <si>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</si>
  <si>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</si>
  <si>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</si>
  <si>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</si>
  <si>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</si>
  <si>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</si>
  <si>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</si>
  <si>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</si>
  <si>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</si>
  <si>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</si>
  <si>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</si>
  <si>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</si>
  <si>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</si>
  <si>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</si>
  <si>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</si>
  <si>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</si>
  <si>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</si>
  <si>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</si>
  <si>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</si>
  <si>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</si>
  <si>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</si>
  <si>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</si>
  <si>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</si>
  <si>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</si>
  <si>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</si>
  <si>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</si>
  <si>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</si>
  <si>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</si>
  <si>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</si>
  <si>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</si>
  <si>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</si>
  <si>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</si>
  <si>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</si>
  <si>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</si>
  <si>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</si>
  <si>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</si>
  <si>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</si>
  <si>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</si>
  <si>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</si>
  <si>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</si>
  <si>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</si>
  <si>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</si>
  <si>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</si>
  <si>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</si>
  <si>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</si>
  <si>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</si>
  <si>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</si>
  <si>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</si>
  <si>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</si>
  <si>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</si>
  <si>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</si>
  <si>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</si>
  <si>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</si>
  <si>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</si>
  <si>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</si>
  <si>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</si>
  <si>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</si>
  <si>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</si>
  <si>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</si>
  <si>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</si>
  <si>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</si>
  <si>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</si>
  <si>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</si>
  <si>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</si>
  <si>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</si>
  <si>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</si>
  <si>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</si>
  <si>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</si>
  <si>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</si>
  <si>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</si>
  <si>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</si>
  <si>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</si>
  <si>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</si>
  <si>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</si>
  <si>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</si>
  <si>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</si>
  <si>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</si>
  <si>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</si>
  <si>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</si>
  <si>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</si>
  <si>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</si>
  <si>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</si>
  <si>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</si>
  <si>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</si>
  <si>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</si>
  <si>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</si>
  <si>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</si>
  <si>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</si>
  <si>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</si>
  <si>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</si>
  <si>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</si>
  <si>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</si>
  <si>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</si>
  <si>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</si>
  <si>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</si>
  <si>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</si>
  <si>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</si>
  <si>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</si>
  <si>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</si>
  <si>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</si>
  <si>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</si>
  <si>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</si>
  <si>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</si>
  <si>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</si>
  <si>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</si>
  <si>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</si>
  <si>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</si>
  <si>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</si>
  <si>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</si>
  <si>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</si>
  <si>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</si>
  <si>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</si>
  <si>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</si>
  <si>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</si>
  <si>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</si>
  <si>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</si>
  <si>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</si>
  <si>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</si>
  <si>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</si>
  <si>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</si>
  <si>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</si>
  <si>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</si>
  <si>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</si>
  <si>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</si>
  <si>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</si>
  <si>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</si>
  <si>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</si>
  <si>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</si>
  <si>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</si>
  <si>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</si>
  <si>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</si>
  <si>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</si>
  <si>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</si>
  <si>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</si>
  <si>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</si>
  <si>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</si>
  <si>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</si>
  <si>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</si>
  <si>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</si>
  <si>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</si>
  <si>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</si>
  <si>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</si>
  <si>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</si>
  <si>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</si>
  <si>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</si>
  <si>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</si>
  <si>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</si>
  <si>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</si>
  <si>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</si>
  <si>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</si>
  <si>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</si>
  <si>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</si>
  <si>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</si>
  <si>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</si>
  <si>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</si>
  <si>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</si>
  <si>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</si>
  <si>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</si>
  <si>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</si>
  <si>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</si>
  <si>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</si>
  <si>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</si>
  <si>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</si>
  <si>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</si>
  <si>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</si>
  <si>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</si>
  <si>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</si>
  <si>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</si>
  <si>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</si>
  <si>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</si>
  <si>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</si>
  <si>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</si>
  <si>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</si>
  <si>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</si>
  <si>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</si>
  <si>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</si>
  <si>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</si>
  <si>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</si>
  <si>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</si>
  <si>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</si>
  <si>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</si>
  <si>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</si>
  <si>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</si>
  <si>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</si>
  <si>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</si>
  <si>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</si>
  <si>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</si>
  <si>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</si>
  <si>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</si>
  <si>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</si>
  <si>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</si>
  <si>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</si>
  <si>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</si>
  <si>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</si>
  <si>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</si>
  <si>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</si>
  <si>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</si>
  <si>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</si>
  <si>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</si>
  <si>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</si>
  <si>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</si>
  <si>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</si>
  <si>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</si>
  <si>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</si>
  <si>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</si>
  <si>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</si>
  <si>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</si>
  <si>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</si>
  <si>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</si>
  <si>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</si>
  <si>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</si>
  <si>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</si>
  <si>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</si>
  <si>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</si>
  <si>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</si>
  <si>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</si>
  <si>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</si>
  <si>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</si>
  <si>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</si>
  <si>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</si>
  <si>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</si>
  <si>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</si>
  <si>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</si>
  <si>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</si>
  <si>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</si>
  <si>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</si>
  <si>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</si>
  <si>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</si>
  <si>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</si>
  <si>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</si>
  <si>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</si>
  <si>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</si>
  <si>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</si>
  <si>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</si>
  <si>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</si>
  <si>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</si>
  <si>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</si>
  <si>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</si>
  <si>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</si>
  <si>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</si>
  <si>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</si>
  <si>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</si>
  <si>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</si>
  <si>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</si>
  <si>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</si>
  <si>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</si>
  <si>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</si>
  <si>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</si>
  <si>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</si>
  <si>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</si>
  <si>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</si>
  <si>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</si>
  <si>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</si>
  <si>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</si>
  <si>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</si>
  <si>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</si>
  <si>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</si>
  <si>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</si>
  <si>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</si>
  <si>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</si>
  <si>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</si>
  <si>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</si>
  <si>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</si>
  <si>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</si>
  <si>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</si>
  <si>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</si>
  <si>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</si>
  <si>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</si>
  <si>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</si>
  <si>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</si>
  <si>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</si>
  <si>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</si>
  <si>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</si>
  <si>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</si>
  <si>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</si>
  <si>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</si>
  <si>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</si>
  <si>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</si>
  <si>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</si>
  <si>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</si>
  <si>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</si>
  <si>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</si>
  <si>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</si>
  <si>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</si>
  <si>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</si>
  <si>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</si>
  <si>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</si>
  <si>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</si>
  <si>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</si>
  <si>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</si>
  <si>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</si>
  <si>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</si>
  <si>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</si>
  <si>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</si>
  <si>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</si>
  <si>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</si>
  <si>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</si>
  <si>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</si>
  <si>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</si>
  <si>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</si>
  <si>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</si>
  <si>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</si>
  <si>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</si>
  <si>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</si>
  <si>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</si>
  <si>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</si>
  <si>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</si>
  <si>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</si>
  <si>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</si>
  <si>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</si>
  <si>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</si>
  <si>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</si>
  <si>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</si>
  <si>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</si>
  <si>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</si>
  <si>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</si>
  <si>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</si>
  <si>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</si>
  <si>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</si>
  <si>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</si>
  <si>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</si>
  <si>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</si>
  <si>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</si>
  <si>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</si>
  <si>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</si>
  <si>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</si>
  <si>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</si>
  <si>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</si>
  <si>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</si>
  <si>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</si>
  <si>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</si>
  <si>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</si>
  <si>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</si>
  <si>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</si>
  <si>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</si>
  <si>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</si>
  <si>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</si>
  <si>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</si>
  <si>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</si>
  <si>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</si>
  <si>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</si>
  <si>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</si>
  <si>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</si>
  <si>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</si>
  <si>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</si>
  <si>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</si>
  <si>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</si>
  <si>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</si>
  <si>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</si>
  <si>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</si>
  <si>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</si>
  <si>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</si>
  <si>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</si>
  <si>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</si>
  <si>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</si>
  <si>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</si>
  <si>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</si>
  <si>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</si>
  <si>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</si>
  <si>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</si>
  <si>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</si>
  <si>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</si>
  <si>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</si>
  <si>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</si>
  <si>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</si>
  <si>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</si>
  <si>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</si>
  <si>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</si>
  <si>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</si>
  <si>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</si>
  <si>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</si>
  <si>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</si>
  <si>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</si>
  <si>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</si>
  <si>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</si>
  <si>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</si>
  <si>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</si>
  <si>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</si>
  <si>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</si>
  <si>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</si>
  <si>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</si>
  <si>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</si>
  <si>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</si>
  <si>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</si>
  <si>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</si>
  <si>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</si>
  <si>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</si>
  <si>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</si>
  <si>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</si>
  <si>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</si>
  <si>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</si>
  <si>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</si>
  <si>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</si>
  <si>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</si>
  <si>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</si>
  <si>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</si>
  <si>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</si>
  <si>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</si>
  <si>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</si>
  <si>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</si>
  <si>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</si>
  <si>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</si>
  <si>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</si>
  <si>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</si>
  <si>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</si>
  <si>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</si>
  <si>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</si>
  <si>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</si>
  <si>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</si>
  <si>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</si>
  <si>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</si>
  <si>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</si>
  <si>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</si>
  <si>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</si>
  <si>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</si>
  <si>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</si>
  <si>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</si>
  <si>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</si>
  <si>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</si>
  <si>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</si>
  <si>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</si>
  <si>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</si>
  <si>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</si>
  <si>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</si>
  <si>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</si>
  <si>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</si>
  <si>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</si>
  <si>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</si>
  <si>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</si>
  <si>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</si>
  <si>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</si>
  <si>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</si>
  <si>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</si>
  <si>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</si>
  <si>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</si>
  <si>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</si>
  <si>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</si>
  <si>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</si>
  <si>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</si>
  <si>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</si>
  <si>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</si>
  <si>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</si>
  <si>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</si>
  <si>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</si>
  <si>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</si>
  <si>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</si>
  <si>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</si>
  <si>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</si>
  <si>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</si>
  <si>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</si>
  <si>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</si>
  <si>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</si>
  <si>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</si>
  <si>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</si>
  <si>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</si>
  <si>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</si>
  <si>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</si>
  <si>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</si>
  <si>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</si>
  <si>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</si>
  <si>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</si>
  <si>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</si>
  <si>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</si>
  <si>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</si>
  <si>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</si>
  <si>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</si>
  <si>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</si>
  <si>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</si>
  <si>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</si>
  <si>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</si>
  <si>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</si>
  <si>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</si>
  <si>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</si>
  <si>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</si>
  <si>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</si>
  <si>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</si>
  <si>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</si>
  <si>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</si>
  <si>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</si>
  <si>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</si>
  <si>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</si>
  <si>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</si>
  <si>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</si>
  <si>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</si>
  <si>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</si>
  <si>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</si>
  <si>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</si>
  <si>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</si>
  <si>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</si>
  <si>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</si>
  <si>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</si>
  <si>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</si>
  <si>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</si>
  <si>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</si>
  <si>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</si>
  <si>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</si>
  <si>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</si>
  <si>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</si>
  <si>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</si>
  <si>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</si>
  <si>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</si>
  <si>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</si>
  <si>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</si>
  <si>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</si>
  <si>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</si>
  <si>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</si>
  <si>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</si>
  <si>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</si>
  <si>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</si>
  <si>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</si>
  <si>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</si>
  <si>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</si>
  <si>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</si>
  <si>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</si>
  <si>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</si>
  <si>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</si>
  <si>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</si>
  <si>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</si>
  <si>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</si>
  <si>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</si>
  <si>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</si>
  <si>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</si>
  <si>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</si>
  <si>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</si>
  <si>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</si>
  <si>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</si>
  <si>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</si>
  <si>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</si>
  <si>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</si>
  <si>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</si>
  <si>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</si>
  <si>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</si>
  <si>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</si>
  <si>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</si>
  <si>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</si>
  <si>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</si>
  <si>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</si>
  <si>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</si>
  <si>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</si>
  <si>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</si>
  <si>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</si>
  <si>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</si>
  <si>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</si>
  <si>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</si>
  <si>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</si>
  <si>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</si>
  <si>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</si>
  <si>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</si>
  <si>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</si>
  <si>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</si>
  <si>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</si>
  <si>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</si>
  <si>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</si>
  <si>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</si>
  <si>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</si>
  <si>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</si>
  <si>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</si>
  <si>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</si>
  <si>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</si>
  <si>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</si>
  <si>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</si>
  <si>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</si>
  <si>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</si>
  <si>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</si>
  <si>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</si>
  <si>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</si>
  <si>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</si>
  <si>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</si>
  <si>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</si>
  <si>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</si>
  <si>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</si>
  <si>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</si>
  <si>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</si>
  <si>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</si>
  <si>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</si>
  <si>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</si>
  <si>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</si>
  <si>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</si>
  <si>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</si>
  <si>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</si>
  <si>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</si>
  <si>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</si>
  <si>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</si>
  <si>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</si>
  <si>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</si>
  <si>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</si>
  <si>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</si>
  <si>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</si>
  <si>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</si>
  <si>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</si>
  <si>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</si>
  <si>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</si>
  <si>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</si>
  <si>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</si>
  <si>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</si>
  <si>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</si>
  <si>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</si>
  <si>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</si>
  <si>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</si>
  <si>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</si>
  <si>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</si>
  <si>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</si>
  <si>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</si>
  <si>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</si>
  <si>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</si>
  <si>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</si>
  <si>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</si>
  <si>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</si>
  <si>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</si>
  <si>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</si>
  <si>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</si>
  <si>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</si>
  <si>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</si>
  <si>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</si>
  <si>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</si>
  <si>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</si>
  <si>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</si>
  <si>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</si>
  <si>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</si>
  <si>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</si>
  <si>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</si>
  <si>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</si>
  <si>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</si>
  <si>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</si>
  <si>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</si>
  <si>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</si>
  <si>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</si>
  <si>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</si>
  <si>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</si>
  <si>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</si>
  <si>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</si>
  <si>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</si>
  <si>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</si>
  <si>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</si>
  <si>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</si>
  <si>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</si>
  <si>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</si>
  <si>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</si>
  <si>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</si>
  <si>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</si>
  <si>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</si>
  <si>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</si>
  <si>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</si>
  <si>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</si>
  <si>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</si>
  <si>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</si>
  <si>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</si>
  <si>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</si>
  <si>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</si>
  <si>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</si>
  <si>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</si>
  <si>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</si>
  <si>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</si>
  <si>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</si>
  <si>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</si>
  <si>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</si>
  <si>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</si>
  <si>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</si>
  <si>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</si>
  <si>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</si>
  <si>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</si>
  <si>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</si>
  <si>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</si>
  <si>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</si>
  <si>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</si>
  <si>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</si>
  <si>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</si>
  <si>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</si>
  <si>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</si>
  <si>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</si>
  <si>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</si>
  <si>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</si>
  <si>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</si>
  <si>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</si>
  <si>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</si>
  <si>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</si>
  <si>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</si>
  <si>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</si>
  <si>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</si>
  <si>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</si>
  <si>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</si>
  <si>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</si>
  <si>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</si>
  <si>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</si>
  <si>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</si>
  <si>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</si>
  <si>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</si>
  <si>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</si>
  <si>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</si>
  <si>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</si>
  <si>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</si>
  <si>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</si>
  <si>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</si>
  <si>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</si>
  <si>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</si>
  <si>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</si>
  <si>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</si>
  <si>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</si>
  <si>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</si>
  <si>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</si>
  <si>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</si>
  <si>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</si>
  <si>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</si>
  <si>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</si>
  <si>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</si>
  <si>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</si>
  <si>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</si>
  <si>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</si>
  <si>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</si>
  <si>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</si>
  <si>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</si>
  <si>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</si>
  <si>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</si>
  <si>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</si>
  <si>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</si>
  <si>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</si>
  <si>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</si>
  <si>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</si>
  <si>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</si>
  <si>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</si>
  <si>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</si>
  <si>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</si>
  <si>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</si>
  <si>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</si>
  <si>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</si>
  <si>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</si>
  <si>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</si>
  <si>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</si>
  <si>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</si>
  <si>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</si>
  <si>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</si>
  <si>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</si>
  <si>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</si>
  <si>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</si>
  <si>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</si>
  <si>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</si>
  <si>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</si>
  <si>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</si>
  <si>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</si>
  <si>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</si>
  <si>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</si>
  <si>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</si>
  <si>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</si>
  <si>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</si>
  <si>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</si>
  <si>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</si>
  <si>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</si>
  <si>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</si>
  <si>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</si>
  <si>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</si>
  <si>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</si>
  <si>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</si>
  <si>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</si>
  <si>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</si>
  <si>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</si>
  <si>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</si>
  <si>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</si>
  <si>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</si>
  <si>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</si>
  <si>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</si>
  <si>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</si>
  <si>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</si>
  <si>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</si>
  <si>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</si>
  <si>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</si>
  <si>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</si>
  <si>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</si>
  <si>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</si>
  <si>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</si>
  <si>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</si>
  <si>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</si>
  <si>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</si>
  <si>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</si>
  <si>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</si>
  <si>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</si>
  <si>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</si>
  <si>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</si>
  <si>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</si>
  <si>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</si>
  <si>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</si>
  <si>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</si>
  <si>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</si>
  <si>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</si>
  <si>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</si>
  <si>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</si>
  <si>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</si>
  <si>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</si>
  <si>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</si>
  <si>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</si>
  <si>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</si>
  <si>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</si>
  <si>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</si>
  <si>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</si>
  <si>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</si>
  <si>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</si>
  <si>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</si>
  <si>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</si>
  <si>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</si>
  <si>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</si>
  <si>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</si>
  <si>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</si>
  <si>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</si>
  <si>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</si>
  <si>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</si>
  <si>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</si>
  <si>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</si>
  <si>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</si>
  <si>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</si>
  <si>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</si>
  <si>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</si>
  <si>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</si>
  <si>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</si>
  <si>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</si>
  <si>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</si>
  <si>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</si>
  <si>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</si>
  <si>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</si>
  <si>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</si>
  <si>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</si>
  <si>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</si>
  <si>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</si>
  <si>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</si>
  <si>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</si>
  <si>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</si>
  <si>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</si>
  <si>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</si>
  <si>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</si>
  <si>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</si>
  <si>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</si>
  <si>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</si>
  <si>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</si>
  <si>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</si>
  <si>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</si>
  <si>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</si>
  <si>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</si>
  <si>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</si>
  <si>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</si>
  <si>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</si>
  <si>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</si>
  <si>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</si>
  <si>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</si>
  <si>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</si>
  <si>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</si>
  <si>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</si>
  <si>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</si>
  <si>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</si>
  <si>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</si>
  <si>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</si>
  <si>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</si>
  <si>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</si>
  <si>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</si>
  <si>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</si>
  <si>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</si>
  <si>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</si>
  <si>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</si>
  <si>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</si>
  <si>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</si>
  <si>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</si>
  <si>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</si>
  <si>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</si>
  <si>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</si>
  <si>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</si>
  <si>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</si>
  <si>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</si>
  <si>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</si>
  <si>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</si>
  <si>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</si>
  <si>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</si>
  <si>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</si>
  <si>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</si>
  <si>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</si>
  <si>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</si>
  <si>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</si>
  <si>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</si>
  <si>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</si>
  <si>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</si>
  <si>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</si>
  <si>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</si>
  <si>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</si>
  <si>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</si>
  <si>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</si>
  <si>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</si>
  <si>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</si>
  <si>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</si>
  <si>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</si>
  <si>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</si>
  <si>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</si>
  <si>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</si>
  <si>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</si>
  <si>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</si>
  <si>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</si>
  <si>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</si>
  <si>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</si>
  <si>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</si>
  <si>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</si>
  <si>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</si>
  <si>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</si>
  <si>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</si>
  <si>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</si>
  <si>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</si>
  <si>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</si>
  <si>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</si>
  <si>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</si>
  <si>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</si>
  <si>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</si>
  <si>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</si>
  <si>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</si>
  <si>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</si>
  <si>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</si>
  <si>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</si>
  <si>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</si>
  <si>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</si>
  <si>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</si>
  <si>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</si>
  <si>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</si>
  <si>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</si>
  <si>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</si>
  <si>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</si>
  <si>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</si>
  <si>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</si>
  <si>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</si>
  <si>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</si>
  <si>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</si>
  <si>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</si>
  <si>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</si>
  <si>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</si>
  <si>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</si>
  <si>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</si>
  <si>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</si>
  <si>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</si>
  <si>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</si>
  <si>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</si>
  <si>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</si>
  <si>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企业</t>
  </si>
  <si>
    <t>一致</t>
  </si>
  <si>
    <t>符合</t>
  </si>
  <si>
    <t>商业</t>
  </si>
  <si>
    <t>出让</t>
  </si>
  <si>
    <t>否</t>
  </si>
  <si>
    <t>居住项目</t>
  </si>
  <si>
    <t>无</t>
  </si>
  <si>
    <t>场地平整</t>
  </si>
  <si>
    <t>平整</t>
  </si>
  <si>
    <t>通路</t>
  </si>
  <si>
    <t>通电</t>
  </si>
  <si>
    <t>通讯</t>
  </si>
  <si>
    <t>通上水</t>
  </si>
  <si>
    <t>通下水</t>
  </si>
  <si>
    <t>燃气</t>
  </si>
  <si>
    <t>地上</t>
  </si>
  <si>
    <t>普通住宅</t>
  </si>
  <si>
    <t>底商</t>
  </si>
  <si>
    <t>不动产收益法</t>
  </si>
  <si>
    <t>正常</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</si>
  <si>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</si>
  <si>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</si>
  <si>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</si>
  <si>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</si>
  <si>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</si>
  <si>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</si>
  <si>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</si>
  <si>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</si>
  <si>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</si>
  <si>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</si>
  <si>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</si>
  <si>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</si>
  <si>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</si>
  <si>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</si>
  <si>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</si>
  <si>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</si>
  <si>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</si>
  <si>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</si>
  <si>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</si>
  <si>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</si>
  <si>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</si>
  <si>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</si>
  <si>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</si>
  <si>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</si>
  <si>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单面临街</t>
  </si>
  <si>
    <t>楼面地价</t>
  </si>
  <si>
    <t>武汉监测指标情况一览表</t>
  </si>
  <si>
    <t>时间</t>
  </si>
  <si>
    <t>水平值</t>
  </si>
  <si>
    <t>环比增长率</t>
  </si>
  <si>
    <t>指数</t>
  </si>
  <si>
    <t>住宅</t>
    <phoneticPr fontId="233" type="noConversion"/>
  </si>
  <si>
    <t>商业</t>
    <phoneticPr fontId="233" type="noConversion"/>
  </si>
  <si>
    <t>其他省市请录依据文件名称：湖北省天门市人民政府关于调整城镇应税土地等级和土地使用税税额标准的通知【天政发〔2007〕16号】</t>
    <phoneticPr fontId="3" type="noConversion"/>
  </si>
  <si>
    <t>普通住宅</t>
    <phoneticPr fontId="21" type="noConversion"/>
  </si>
  <si>
    <t>快速路</t>
    <phoneticPr fontId="21" type="noConversion"/>
  </si>
  <si>
    <t>高速路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</si>
  <si>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</si>
  <si>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</si>
  <si>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</si>
  <si>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</si>
  <si>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</si>
  <si>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</si>
  <si>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</si>
  <si>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</si>
  <si>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</si>
  <si>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</si>
  <si>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</si>
  <si>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</si>
  <si>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</si>
  <si>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</si>
  <si>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</si>
  <si>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</si>
  <si>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</si>
  <si>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</si>
  <si>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</si>
  <si>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</si>
  <si>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</si>
  <si>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</si>
  <si>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</si>
  <si>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</si>
  <si>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</si>
  <si>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</si>
  <si>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</si>
  <si>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普通装修</t>
    <phoneticPr fontId="21" type="noConversion"/>
  </si>
  <si>
    <t>住宅</t>
    <phoneticPr fontId="21" type="noConversion"/>
  </si>
  <si>
    <t>60-70（含）</t>
  </si>
  <si>
    <t>120-140</t>
    <phoneticPr fontId="21" type="noConversion"/>
  </si>
  <si>
    <t>君佳.凯旋门</t>
    <phoneticPr fontId="3" type="noConversion"/>
  </si>
  <si>
    <t>华西城</t>
    <phoneticPr fontId="3" type="noConversion"/>
  </si>
  <si>
    <t>好</t>
  </si>
  <si>
    <t>土地（套用方法）</t>
  </si>
  <si>
    <t>项目全部</t>
  </si>
  <si>
    <t>土地</t>
  </si>
  <si>
    <t>比较法-住宅、综合</t>
  </si>
  <si>
    <t>剩余法-待开发</t>
  </si>
  <si>
    <t>竟陵永丰村</t>
    <phoneticPr fontId="6" type="noConversion"/>
  </si>
  <si>
    <t>商业</t>
    <phoneticPr fontId="7" type="noConversion"/>
  </si>
  <si>
    <t>押一</t>
  </si>
  <si>
    <t>P(2015)071</t>
    <phoneticPr fontId="3" type="noConversion"/>
  </si>
  <si>
    <t>多祥镇鲁台村</t>
    <phoneticPr fontId="3" type="noConversion"/>
  </si>
  <si>
    <t>商业用地</t>
  </si>
  <si>
    <t>商业用地</t>
    <phoneticPr fontId="26" type="noConversion"/>
  </si>
  <si>
    <t>其他商服用地</t>
  </si>
  <si>
    <t>其他商服用地</t>
    <phoneticPr fontId="26" type="noConversion"/>
  </si>
  <si>
    <t>商业36.29年</t>
    <phoneticPr fontId="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</si>
  <si>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</si>
  <si>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P(2017)022</t>
    <phoneticPr fontId="3" type="noConversion"/>
  </si>
  <si>
    <t>天门城区东环路东侧</t>
    <phoneticPr fontId="3" type="noConversion"/>
  </si>
  <si>
    <t>P(2015)079</t>
    <phoneticPr fontId="3" type="noConversion"/>
  </si>
  <si>
    <t>天门市多祥镇郭湾村</t>
    <phoneticPr fontId="3" type="noConversion"/>
  </si>
  <si>
    <t>不规则</t>
  </si>
  <si>
    <t>商业</t>
    <phoneticPr fontId="6" type="noConversion"/>
  </si>
  <si>
    <t>《国有土地使用证》[天国用（2014）第0716号]</t>
    <phoneticPr fontId="6" type="noConversion"/>
  </si>
  <si>
    <t>《国有建设用地使用权出让合同》[电子监管号：4290062014B00067]及附件</t>
    <phoneticPr fontId="6" type="noConversion"/>
  </si>
  <si>
    <t>《国有建设用地使用权出让合同》[电子监管号：4290062014B00067]及附件</t>
    <phoneticPr fontId="3" type="noConversion"/>
  </si>
  <si>
    <t>《国有土地使用证》[天国用（2014）第0716号]</t>
    <phoneticPr fontId="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</si>
</sst>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4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10" fontId="71"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181" fontId="71" fillId="8" borderId="12"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2662</v>
      </c>
      <c r="B1" s="2855" t="s">
        <v>2759</v>
      </c>
    </row>
    <row r="2" spans="1:55" s="2859" customFormat="1" ht="15" thickTop="1">
      <c r="A2" s="2857" t="s">
        <v>2666</v>
      </c>
      <c r="B2" s="2858" t="str">
        <f>'预评函-封皮'!B37</f>
        <v>湖北省天门市竟陵永丰村出让国有建设用地使用权抵押价格预评估</v>
      </c>
      <c r="AX2" s="2860"/>
      <c r="AZ2" s="2860"/>
      <c r="BA2" s="2861"/>
      <c r="BC2" s="2861"/>
    </row>
    <row r="3" spans="1:55" s="2862" customFormat="1">
      <c r="A3" s="2841" t="s">
        <v>2667</v>
      </c>
      <c r="B3" s="2844" t="str">
        <f>'预评函-封皮'!B40</f>
        <v>湖北天门汉旺房地产开发有限公司</v>
      </c>
    </row>
    <row r="4" spans="1:55" s="2843" customFormat="1">
      <c r="A4" s="2841" t="s">
        <v>2668</v>
      </c>
      <c r="B4" s="2842" t="str">
        <f>'预评函-封皮'!B46</f>
        <v>梁津、王鹏</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2669</v>
      </c>
      <c r="B5" s="2864" t="str">
        <f>'预评函-封皮'!B49</f>
        <v>康正预评字号</v>
      </c>
    </row>
    <row r="6" spans="1:55" s="2865" customFormat="1" ht="15" thickTop="1">
      <c r="A6" s="2857" t="s">
        <v>2711</v>
      </c>
      <c r="B6" s="2858" t="str">
        <f>'预评函-1'!A4</f>
        <v>受贵公司委托，我公司对湖北省天门市竟陵永丰村出让国有建设用地使用权抵押价格进行了预评估。</v>
      </c>
      <c r="AM6" s="2866"/>
    </row>
    <row r="7" spans="1:55" s="2840" customFormat="1">
      <c r="A7" s="2841" t="s">
        <v>2663</v>
      </c>
      <c r="B7" s="2842" t="str">
        <f>'预评函-1'!A6</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8" spans="1:55" s="2840" customFormat="1">
      <c r="A8" s="2841" t="s">
        <v>2664</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2714</v>
      </c>
      <c r="B9" s="2842"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40" customFormat="1">
      <c r="A10" s="2841" t="s">
        <v>2665</v>
      </c>
      <c r="B10" s="2842" t="str">
        <f>'预评函-1'!A11</f>
        <v>2017年11月22日（评估专业人员勘察现场之日）</v>
      </c>
    </row>
    <row r="11" spans="1:55" s="2840" customFormat="1">
      <c r="A11" s="2841" t="s">
        <v>2671</v>
      </c>
      <c r="B11" s="2842" t="str">
        <f>'预评函-1'!A14</f>
        <v>根据《国有土地使用证》[天国用（2014）第0716号]，本次评估估价对象证载（地类）用途为商业。</v>
      </c>
    </row>
    <row r="12" spans="1:55" s="2840" customFormat="1">
      <c r="A12" s="2841" t="s">
        <v>2672</v>
      </c>
      <c r="B12" s="2842" t="str">
        <f>'预评函-1'!A15</f>
        <v>本次评估设定用途即为证载用途商业。</v>
      </c>
    </row>
    <row r="13" spans="1:55" s="2840" customFormat="1">
      <c r="A13" s="2841" t="s">
        <v>2673</v>
      </c>
      <c r="B13" s="2842" t="str">
        <f>'预评函-1'!A17</f>
        <v>根据委托估价方介绍及评估专业人员现场勘查，本次评估估价对象实际土地开发程度为红线外市政基础设施达“七通”（即通路、通电、通讯、通上水、通下水、燃气、）、宗地红线内场地平整。</v>
      </c>
    </row>
    <row r="14" spans="1:55" s="2840" customFormat="1">
      <c r="A14" s="2841" t="s">
        <v>2674</v>
      </c>
      <c r="B14" s="2842" t="str">
        <f>'预评函-1'!A18</f>
        <v>本次评估设定土地开发程度为红线外市政基础设施达“七通”、宗地红线内场地平整。</v>
      </c>
    </row>
    <row r="15" spans="1:55" s="2840" customFormat="1">
      <c r="A15" s="2841" t="s">
        <v>2670</v>
      </c>
      <c r="B15" s="2842" t="str">
        <f>'预评函-1'!A20</f>
        <v>根据《国有土地使用证》[天国用（2014）第0716号]，估价对象（分摊）出让国有建设用地使用权面积为37649平方米。根据《国有建设用地使用权出让合同》[电子监管号：4290062014B00067]及附件，估价对象规划建筑面积为82827.8平方米。</v>
      </c>
    </row>
    <row r="16" spans="1:55" s="2840" customFormat="1">
      <c r="A16" s="2841" t="s">
        <v>2675</v>
      </c>
      <c r="B16" s="2842" t="str">
        <f>'预评函-1'!A22</f>
        <v>本次估价对象为出让国有建设用地使用权，《国有土地使用证》[天国用（2014）第0716号]证载土地终止日期为商业2054年3月1日。截至估价期日，出让国有建设用地使用权剩余土地使用年限为商业36.29年。</v>
      </c>
    </row>
    <row r="17" spans="1:48" s="2840" customFormat="1">
      <c r="A17" s="2841" t="s">
        <v>2676</v>
      </c>
      <c r="B17" s="2842" t="str">
        <f>'预评函-1'!A23</f>
        <v>本次评估设定估价对象剩余土地使用年限为商业36.29年。</v>
      </c>
    </row>
    <row r="18" spans="1:48" s="2840" customFormat="1">
      <c r="A18" s="2841" t="s">
        <v>2677</v>
      </c>
      <c r="B18" s="2842"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19" spans="1:48" s="2840" customFormat="1">
      <c r="A19" s="2841" t="s">
        <v>2678</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2679</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2680</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2681</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2682</v>
      </c>
      <c r="B23" s="2842" t="str">
        <f>'预评函-2'!K2</f>
        <v>估价期日：2017年11月22日</v>
      </c>
    </row>
    <row r="24" spans="1:48">
      <c r="A24" s="2841" t="s">
        <v>2683</v>
      </c>
      <c r="B24" s="2842" t="str">
        <f>'预评函-2'!R2</f>
        <v>估价期日的国有建设用地使用权性质：出让</v>
      </c>
    </row>
    <row r="25" spans="1:48">
      <c r="A25" s="2841" t="s">
        <v>2739</v>
      </c>
      <c r="B25" s="2842" t="str">
        <f>'预评函-2'!A3</f>
        <v>估价期日土地使用者</v>
      </c>
    </row>
    <row r="26" spans="1:48">
      <c r="A26" s="2841" t="s">
        <v>2715</v>
      </c>
      <c r="B26" s="2842" t="str">
        <f>'预评函-2'!A5</f>
        <v>中信开发</v>
      </c>
    </row>
    <row r="27" spans="1:48">
      <c r="A27" s="2841" t="s">
        <v>2740</v>
      </c>
      <c r="B27" s="2842" t="str">
        <f>'预评函-2'!B3</f>
        <v>宗地编号/不动产单元号</v>
      </c>
    </row>
    <row r="28" spans="1:48">
      <c r="A28" s="2841" t="s">
        <v>2716</v>
      </c>
      <c r="B28" s="2842" t="str">
        <f>'预评函-2'!B5</f>
        <v>11111111111</v>
      </c>
    </row>
    <row r="29" spans="1:48">
      <c r="A29" s="2841" t="s">
        <v>2742</v>
      </c>
      <c r="B29" s="2842">
        <f>'预评函-2'!C5</f>
        <v>22</v>
      </c>
    </row>
    <row r="30" spans="1:48">
      <c r="A30" s="2841" t="s">
        <v>2743</v>
      </c>
      <c r="B30" s="2842" t="str">
        <f>'预评函-2'!D3</f>
        <v>土地使用证编号/不动产权证书编号</v>
      </c>
    </row>
    <row r="31" spans="1:48">
      <c r="A31" s="2841" t="s">
        <v>2717</v>
      </c>
      <c r="B31" s="2842" t="str">
        <f>'预评函-2'!D5</f>
        <v>京国土字第111号</v>
      </c>
    </row>
    <row r="32" spans="1:48">
      <c r="A32" s="2841" t="s">
        <v>2718</v>
      </c>
      <c r="B32" s="2842" t="str">
        <f>'预评函-2'!E5</f>
        <v>商业</v>
      </c>
      <c r="AV32" s="2846"/>
    </row>
    <row r="33" spans="1:2">
      <c r="A33" s="2841" t="s">
        <v>2719</v>
      </c>
      <c r="B33" s="2842">
        <f>'预评函-2'!F5</f>
        <v>258</v>
      </c>
    </row>
    <row r="34" spans="1:2">
      <c r="A34" s="2841" t="s">
        <v>2720</v>
      </c>
      <c r="B34" s="2842" t="str">
        <f>'预评函-2'!G5</f>
        <v>商业</v>
      </c>
    </row>
    <row r="35" spans="1:2">
      <c r="A35" s="2841" t="s">
        <v>2721</v>
      </c>
      <c r="B35" s="2842">
        <f>'预评函-2'!H5</f>
        <v>1.5</v>
      </c>
    </row>
    <row r="36" spans="1:2">
      <c r="A36" s="2841" t="s">
        <v>2722</v>
      </c>
      <c r="B36" s="2842">
        <f>'预评函-2'!I5</f>
        <v>1.5</v>
      </c>
    </row>
    <row r="37" spans="1:2">
      <c r="A37" s="2841" t="s">
        <v>2723</v>
      </c>
      <c r="B37" s="2842">
        <f>'预评函-2'!J5</f>
        <v>1.5</v>
      </c>
    </row>
    <row r="38" spans="1:2">
      <c r="A38" s="2841" t="s">
        <v>2724</v>
      </c>
      <c r="B38" s="2842" t="str">
        <f>'预评函-2'!K5</f>
        <v>红线外七通、宗地红线内场地平整</v>
      </c>
    </row>
    <row r="39" spans="1:2">
      <c r="A39" s="2841" t="s">
        <v>2725</v>
      </c>
      <c r="B39" s="2842" t="str">
        <f>'预评函-2'!L5</f>
        <v>红线外七通、宗地红线内场地平整</v>
      </c>
    </row>
    <row r="40" spans="1:2">
      <c r="A40" s="2841" t="s">
        <v>2744</v>
      </c>
      <c r="B40" s="2842" t="str">
        <f>'预评函-2'!M3</f>
        <v>（剩余）土地使用年限/年</v>
      </c>
    </row>
    <row r="41" spans="1:2">
      <c r="A41" s="2841" t="s">
        <v>2726</v>
      </c>
      <c r="B41" s="2842" t="str">
        <f>'预评函-2'!M5</f>
        <v>商业36.29年</v>
      </c>
    </row>
    <row r="42" spans="1:2">
      <c r="A42" s="2841" t="s">
        <v>2745</v>
      </c>
      <c r="B42" s="2842" t="str">
        <f>'预评函-2'!N3</f>
        <v>（分摊）出让国有建设用地使用权面积/㎡</v>
      </c>
    </row>
    <row r="43" spans="1:2">
      <c r="A43" s="2841" t="s">
        <v>2727</v>
      </c>
      <c r="B43" s="2842">
        <f>'预评函-2'!N5</f>
        <v>37649</v>
      </c>
    </row>
    <row r="44" spans="1:2">
      <c r="A44" s="2841" t="s">
        <v>2746</v>
      </c>
      <c r="B44" s="2842" t="str">
        <f>'预评函-2'!O3</f>
        <v>规划建筑面积/㎡</v>
      </c>
    </row>
    <row r="45" spans="1:2">
      <c r="A45" s="2841" t="s">
        <v>2728</v>
      </c>
      <c r="B45" s="2842">
        <f>'预评函-2'!O5</f>
        <v>82827.8</v>
      </c>
    </row>
    <row r="46" spans="1:2">
      <c r="A46" s="2841" t="s">
        <v>2729</v>
      </c>
      <c r="B46" s="2842">
        <f ca="1">'预评函-2'!P5</f>
        <v>1614</v>
      </c>
    </row>
    <row r="47" spans="1:2">
      <c r="A47" s="2841" t="s">
        <v>2730</v>
      </c>
      <c r="B47" s="2842">
        <f ca="1">'预评函-2'!Q5</f>
        <v>734</v>
      </c>
    </row>
    <row r="48" spans="1:2">
      <c r="A48" s="2841" t="s">
        <v>2731</v>
      </c>
      <c r="B48" s="2842">
        <f ca="1">'预评函-2'!R5</f>
        <v>6077</v>
      </c>
    </row>
    <row r="49" spans="1:2">
      <c r="A49" s="2841" t="s">
        <v>2747</v>
      </c>
      <c r="B49" s="2842" t="str">
        <f>'预评函-2'!A6</f>
        <v>抵押价格</v>
      </c>
    </row>
    <row r="50" spans="1:2">
      <c r="A50" s="2841" t="s">
        <v>2732</v>
      </c>
      <c r="B50" s="2842">
        <f ca="1">'预评函-2'!R6</f>
        <v>6077</v>
      </c>
    </row>
    <row r="51" spans="1:2">
      <c r="A51" s="2841" t="s">
        <v>2748</v>
      </c>
      <c r="B51" s="2842" t="str">
        <f>'预评函-2'!A7</f>
        <v>——</v>
      </c>
    </row>
    <row r="52" spans="1:2">
      <c r="A52" s="2841" t="s">
        <v>2733</v>
      </c>
      <c r="B52" s="2842" t="str">
        <f>'预评函-2'!R7</f>
        <v>——</v>
      </c>
    </row>
    <row r="53" spans="1:2">
      <c r="A53" s="2841" t="s">
        <v>2749</v>
      </c>
      <c r="B53" s="2842">
        <f>'预评函-2'!A8</f>
        <v>0</v>
      </c>
    </row>
    <row r="54" spans="1:2" s="2856" customFormat="1" ht="15" thickBot="1">
      <c r="A54" s="2863" t="s">
        <v>2734</v>
      </c>
      <c r="B54" s="2864" t="str">
        <f>'预评函-2'!R8</f>
        <v>——</v>
      </c>
    </row>
    <row r="55" spans="1:2" ht="15" thickTop="1">
      <c r="A55" s="2852" t="s">
        <v>2684</v>
      </c>
      <c r="B55" s="2853" t="str">
        <f>'预评函-3'!A2</f>
        <v>1.权利限制：根据估价对象《国有土地使用权》复印件，截至估价期日，估价对象抵押权未见登记。未设定租赁等其他他项权利。</v>
      </c>
    </row>
    <row r="56" spans="1:2">
      <c r="A56" s="2841" t="s">
        <v>2685</v>
      </c>
      <c r="B56" s="2842" t="str">
        <f>'预评函-3'!A3</f>
        <v>2.基础设施条件：估价对象实际开发程度为红线外七通、宗地红线内场地平整；本次评估设定开发程度为红线外七通、宗地红线内场地平整。</v>
      </c>
    </row>
    <row r="57" spans="1:2">
      <c r="A57" s="2841" t="s">
        <v>2686</v>
      </c>
      <c r="B57" s="2842" t="str">
        <f>'预评函-3'!A4</f>
        <v>3.估价规划限制条件：详见《国有建设用地使用权出让合同》[电子监管号：4290062014B00067]及附件。</v>
      </c>
    </row>
    <row r="58" spans="1:2" s="2856" customFormat="1" ht="15" thickBot="1">
      <c r="A58" s="2863" t="s">
        <v>2735</v>
      </c>
      <c r="B58" s="2864" t="str">
        <f>'预评函-3'!A5</f>
        <v>4.影响价格的其他限定条件：无。</v>
      </c>
    </row>
    <row r="59" spans="1:2" ht="15" thickTop="1">
      <c r="A59" s="2852" t="s">
        <v>2687</v>
      </c>
      <c r="B59" s="2853" t="str">
        <f>'预评函-3'!A8</f>
        <v>2.本《评估意见函》仅供金融机构进行内部审核使用，不做其他目的之用。</v>
      </c>
    </row>
    <row r="60" spans="1:2">
      <c r="A60" s="2841" t="s">
        <v>2688</v>
      </c>
      <c r="B60" s="2842" t="str">
        <f>'预评函-3'!A9</f>
        <v>3.抵押双方在办理抵押登记手续时，应使用本公司出具的正式《土地估价报告》，特提请报告使用者注意。</v>
      </c>
    </row>
    <row r="61" spans="1:2">
      <c r="A61" s="2841" t="s">
        <v>2690</v>
      </c>
      <c r="B61" s="2842" t="str">
        <f>'预评函-3'!A10</f>
        <v>4.估价师所知悉的法定优先受偿款情况为：</v>
      </c>
    </row>
    <row r="62" spans="1:2">
      <c r="A62" s="2841" t="s">
        <v>2689</v>
      </c>
      <c r="B62" s="2842" t="str">
        <f>'预评函-3'!A11</f>
        <v>（1）根据估价对象《国有土地使用权》复印件，截至估价期日，估价对象抵押权未见登记。</v>
      </c>
    </row>
    <row r="63" spans="1:2">
      <c r="A63" s="2841" t="s">
        <v>2691</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2692</v>
      </c>
      <c r="B64" s="2847" t="str">
        <f>'预评函-3'!A13</f>
        <v>（3）。</v>
      </c>
    </row>
    <row r="65" spans="1:2">
      <c r="A65" s="2841" t="s">
        <v>2693</v>
      </c>
      <c r="B65" s="2848" t="str">
        <f>'预评函-3'!A14</f>
        <v>综上，本次评估不存在估价师知悉的法定优先受偿款</v>
      </c>
    </row>
    <row r="66" spans="1:2">
      <c r="A66" s="2841" t="s">
        <v>2694</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2695</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2698</v>
      </c>
      <c r="B68" s="2867">
        <f>'预评函-3'!D30</f>
        <v>42558</v>
      </c>
    </row>
    <row r="69" spans="1:2" ht="15" thickTop="1">
      <c r="A69" s="2852" t="s">
        <v>2696</v>
      </c>
      <c r="B69" s="2853" t="str">
        <f>'预评函-3'!A20</f>
        <v>梁津</v>
      </c>
    </row>
    <row r="70" spans="1:2">
      <c r="A70" s="2841" t="s">
        <v>2696</v>
      </c>
      <c r="B70" s="2848">
        <f ca="1">'预评函-3'!B20</f>
        <v>96010014</v>
      </c>
    </row>
    <row r="71" spans="1:2">
      <c r="A71" s="2841" t="s">
        <v>2697</v>
      </c>
      <c r="B71" s="2842" t="str">
        <f>'预评函-3'!A21</f>
        <v>王鹏</v>
      </c>
    </row>
    <row r="72" spans="1:2" s="2856" customFormat="1" ht="15" thickBot="1">
      <c r="A72" s="2863" t="s">
        <v>2697</v>
      </c>
      <c r="B72" s="2869">
        <f ca="1">'预评函-3'!B21</f>
        <v>2002110030</v>
      </c>
    </row>
    <row r="73" spans="1:2" ht="15" thickTop="1">
      <c r="A73" s="2852" t="s">
        <v>2756</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2757</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2758</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2793</v>
      </c>
      <c r="B76" s="285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L23" sqref="L23"/>
    </sheetView>
  </sheetViews>
  <sheetFormatPr defaultColWidth="10" defaultRowHeight="14.25"/>
  <cols>
    <col min="1" max="1" width="15.375" style="1688" customWidth="1"/>
    <col min="2" max="2" width="11.375" style="1688" customWidth="1"/>
    <col min="3" max="3" width="12.625" style="1688" customWidth="1"/>
    <col min="4"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9"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1941</v>
      </c>
      <c r="B1" s="3153" t="str">
        <f>IF(B10="北京市","北京市",C10)&amp;F10&amp;B16&amp;"国有建设用地使用权"&amp;B9&amp;"预评估"</f>
        <v>湖北省天门市竟陵永丰村出让国有建设用地使用权抵押价格预评估</v>
      </c>
      <c r="C1" s="3154"/>
      <c r="D1" s="3154"/>
      <c r="E1" s="3154"/>
      <c r="F1" s="3154"/>
      <c r="G1" s="3154"/>
      <c r="H1" s="3154"/>
      <c r="I1" s="3155"/>
      <c r="J1" s="1691"/>
      <c r="K1" s="2476" t="str">
        <f>IF(B10="北京市","北京市",C10)&amp;F10&amp;B16&amp;"国有建设用地使用权"&amp;B9</f>
        <v>湖北省天门市竟陵永丰村出让国有建设用地使用权抵押价格</v>
      </c>
      <c r="L1" s="1719"/>
      <c r="M1" s="1719"/>
      <c r="N1" s="1691"/>
      <c r="O1" s="1692"/>
      <c r="P1" s="1691"/>
      <c r="Q1" s="1691"/>
      <c r="R1" s="1691"/>
      <c r="S1" s="1691"/>
      <c r="T1" s="1691"/>
      <c r="U1" s="1691"/>
    </row>
    <row r="2" spans="1:21">
      <c r="A2" s="1657" t="s">
        <v>1942</v>
      </c>
      <c r="B2" s="1838"/>
      <c r="D2" s="1691"/>
      <c r="E2" s="1691"/>
      <c r="F2" s="1691"/>
      <c r="G2" s="1691"/>
      <c r="H2" s="1657"/>
      <c r="I2" s="1692"/>
      <c r="J2" s="1691"/>
      <c r="K2" s="2476" t="str">
        <f>IF(B10="北京市","北京市",C10)&amp;F10&amp;B16&amp;"国有建设用地使用权"</f>
        <v>湖北省天门市竟陵永丰村出让国有建设用地使用权</v>
      </c>
      <c r="L2" s="1719"/>
      <c r="M2" s="1719"/>
      <c r="N2" s="1691"/>
      <c r="O2" s="1692"/>
      <c r="P2" s="1691"/>
      <c r="Q2" s="1691"/>
      <c r="R2" s="1691"/>
      <c r="S2" s="1691"/>
      <c r="T2" s="1691"/>
      <c r="U2" s="1691"/>
    </row>
    <row r="3" spans="1:21">
      <c r="A3" s="1658" t="s">
        <v>1943</v>
      </c>
      <c r="B3" s="1659">
        <v>43061</v>
      </c>
      <c r="C3" s="1660" t="s">
        <v>1998</v>
      </c>
      <c r="D3" s="1659">
        <v>43061</v>
      </c>
      <c r="E3" s="1691"/>
      <c r="F3" s="1691"/>
      <c r="G3" s="1691"/>
      <c r="H3" s="1657"/>
      <c r="I3" s="1692"/>
      <c r="J3" s="1691"/>
      <c r="K3" s="1770"/>
      <c r="L3" s="1719"/>
      <c r="M3" s="1719"/>
      <c r="N3" s="1691"/>
      <c r="O3" s="1692"/>
      <c r="P3" s="1691"/>
      <c r="Q3" s="1691"/>
      <c r="R3" s="1691"/>
      <c r="S3" s="1691"/>
      <c r="T3" s="1691"/>
      <c r="U3" s="1691"/>
    </row>
    <row r="4" spans="1:21" ht="15" thickBot="1">
      <c r="A4" s="1661" t="s">
        <v>1944</v>
      </c>
      <c r="B4" s="1839" t="s">
        <v>2976</v>
      </c>
      <c r="C4" s="1842">
        <f ca="1">SUMIF(土地估价师,B4,估价师及机构信息!E3:E24)</f>
        <v>96010014</v>
      </c>
      <c r="D4" s="1839" t="s">
        <v>2977</v>
      </c>
      <c r="E4" s="1842">
        <f ca="1">SUMIF(土地估价师,D4,估价师及机构信息!E3:E24)</f>
        <v>2002110030</v>
      </c>
      <c r="F4" s="1839" t="s">
        <v>953</v>
      </c>
      <c r="G4" s="1842">
        <f>SUMIF(土地估价师,F4,估价师及机构信息!E3:E24)</f>
        <v>0</v>
      </c>
      <c r="H4" s="1839" t="s">
        <v>953</v>
      </c>
      <c r="I4" s="1842">
        <f>SUMIF(土地估价师,H4,估价师及机构信息!E3:E24)</f>
        <v>0</v>
      </c>
      <c r="J4" s="1691"/>
      <c r="K4" s="2476" t="str">
        <f>IF(AND(F4="——",H4="——"),B4&amp;"、"&amp;D4,IF(AND(F4&lt;&gt;"——",H4="——"),B4&amp;"、"&amp;D4&amp;"、"&amp;F4,B4&amp;"、"&amp;D4&amp;"、"&amp;F4&amp;"、"&amp;H4))</f>
        <v>梁津、王鹏</v>
      </c>
      <c r="L4" s="1719"/>
      <c r="M4" s="1719"/>
      <c r="N4" s="1691"/>
      <c r="O4" s="1692"/>
      <c r="P4" s="1691"/>
      <c r="Q4" s="1691"/>
      <c r="R4" s="1691"/>
      <c r="S4" s="1691"/>
      <c r="T4" s="1691"/>
      <c r="U4" s="1691"/>
    </row>
    <row r="5" spans="1:21" ht="15" thickTop="1">
      <c r="A5" s="1662" t="s">
        <v>1945</v>
      </c>
      <c r="B5" s="1785" t="s">
        <v>2978</v>
      </c>
      <c r="C5" s="1663"/>
      <c r="D5" s="1664"/>
      <c r="E5" s="1691"/>
      <c r="F5" s="1691"/>
      <c r="G5" s="1691"/>
      <c r="H5" s="1657"/>
      <c r="I5" s="1692"/>
      <c r="J5" s="1691"/>
      <c r="K5" s="1770"/>
      <c r="L5" s="1719"/>
      <c r="M5" s="1719"/>
      <c r="N5" s="1691"/>
      <c r="O5" s="1692"/>
      <c r="P5" s="1691"/>
      <c r="Q5" s="1691"/>
      <c r="R5" s="1691"/>
      <c r="S5" s="1691"/>
      <c r="T5" s="1691"/>
      <c r="U5" s="1691"/>
    </row>
    <row r="6" spans="1:21" ht="26.25">
      <c r="A6" s="1660" t="s">
        <v>2712</v>
      </c>
      <c r="B6" s="1785" t="s">
        <v>2979</v>
      </c>
      <c r="C6" s="1757"/>
      <c r="D6" s="1665"/>
      <c r="E6" s="1691"/>
      <c r="F6" s="1691"/>
      <c r="G6" s="1691"/>
      <c r="H6" s="1657"/>
      <c r="I6" s="1692"/>
      <c r="J6" s="1691"/>
      <c r="K6" s="3013" t="str">
        <f>IF(COUNTIF(B6,"*上海银行*"),"上海银行","")</f>
        <v/>
      </c>
      <c r="L6" s="1719"/>
      <c r="M6" s="1719"/>
      <c r="N6" s="1691"/>
      <c r="O6" s="1692"/>
      <c r="P6" s="1691"/>
      <c r="Q6" s="1691"/>
      <c r="R6" s="1691"/>
      <c r="S6" s="1691"/>
      <c r="T6" s="1691"/>
      <c r="U6" s="1691"/>
    </row>
    <row r="7" spans="1:21">
      <c r="A7" s="1666" t="s">
        <v>2713</v>
      </c>
      <c r="B7" s="1785" t="s">
        <v>2978</v>
      </c>
      <c r="C7" s="1757"/>
      <c r="D7" s="1665"/>
      <c r="E7" s="1691"/>
      <c r="F7" s="1691"/>
      <c r="G7" s="1691"/>
      <c r="H7" s="1657"/>
      <c r="I7" s="1692"/>
      <c r="J7" s="1691"/>
      <c r="K7" s="1770"/>
      <c r="L7" s="1719"/>
      <c r="M7" s="1719"/>
      <c r="N7" s="1691"/>
      <c r="O7" s="1692"/>
      <c r="P7" s="1691"/>
      <c r="Q7" s="1691"/>
      <c r="R7" s="1691"/>
      <c r="S7" s="1691"/>
      <c r="T7" s="1691"/>
      <c r="U7" s="1691"/>
    </row>
    <row r="8" spans="1:21">
      <c r="A8" s="1666" t="s">
        <v>1946</v>
      </c>
      <c r="B8" s="1667" t="s">
        <v>2980</v>
      </c>
      <c r="C8" s="1668"/>
      <c r="D8" s="3159" t="s">
        <v>1948</v>
      </c>
      <c r="E8" s="1840" t="s">
        <v>2981</v>
      </c>
      <c r="F8" s="1669"/>
      <c r="G8" s="1657"/>
      <c r="H8" s="1657"/>
      <c r="I8" s="1704"/>
      <c r="J8" s="1691"/>
      <c r="K8" s="1770"/>
      <c r="L8" s="1719"/>
      <c r="M8" s="1719"/>
      <c r="N8" s="1691"/>
      <c r="O8" s="1692"/>
      <c r="P8" s="1691"/>
      <c r="Q8" s="1691"/>
      <c r="R8" s="1691"/>
      <c r="S8" s="1691"/>
      <c r="T8" s="1691"/>
      <c r="U8" s="1691"/>
    </row>
    <row r="9" spans="1:21" ht="15" thickBot="1">
      <c r="A9" s="1670" t="s">
        <v>1947</v>
      </c>
      <c r="B9" s="1671" t="s">
        <v>2981</v>
      </c>
      <c r="C9" s="1672"/>
      <c r="D9" s="3160"/>
      <c r="E9" s="1671"/>
      <c r="F9" s="1743"/>
      <c r="G9" s="1738"/>
      <c r="H9" s="1738"/>
      <c r="I9" s="1739"/>
      <c r="J9" s="1691"/>
      <c r="K9" s="1770"/>
      <c r="L9" s="1719"/>
      <c r="M9" s="1719"/>
      <c r="N9" s="1691"/>
      <c r="O9" s="1692"/>
      <c r="P9" s="1691"/>
      <c r="Q9" s="1691"/>
      <c r="R9" s="1691"/>
      <c r="S9" s="1691"/>
      <c r="T9" s="1691"/>
      <c r="U9" s="1691"/>
    </row>
    <row r="10" spans="1:21" ht="15" thickTop="1">
      <c r="A10" s="1740" t="s">
        <v>2001</v>
      </c>
      <c r="B10" s="3096" t="s">
        <v>2982</v>
      </c>
      <c r="C10" s="1673" t="s">
        <v>2983</v>
      </c>
      <c r="D10" s="1664"/>
      <c r="E10" s="1674" t="s">
        <v>1950</v>
      </c>
      <c r="F10" s="1675" t="s">
        <v>3081</v>
      </c>
      <c r="G10" s="1741"/>
      <c r="H10" s="1742"/>
      <c r="I10" s="1664"/>
      <c r="J10" s="1691"/>
      <c r="K10" s="1770"/>
      <c r="L10" s="1719"/>
      <c r="M10" s="1719"/>
      <c r="N10" s="1691"/>
      <c r="O10" s="1692"/>
      <c r="P10" s="1691"/>
      <c r="Q10" s="1691"/>
      <c r="R10" s="1691"/>
      <c r="S10" s="1691"/>
      <c r="T10" s="1691"/>
      <c r="U10" s="1691"/>
    </row>
    <row r="11" spans="1:21">
      <c r="A11" s="1694" t="s">
        <v>2002</v>
      </c>
      <c r="B11" s="1695" t="s">
        <v>2984</v>
      </c>
      <c r="C11" s="1676"/>
      <c r="D11" s="1758"/>
      <c r="E11" s="1657"/>
      <c r="F11" s="1657"/>
      <c r="G11" s="1657"/>
      <c r="H11" s="1657"/>
      <c r="I11" s="1657"/>
      <c r="J11" s="1691"/>
      <c r="K11" s="1770"/>
      <c r="L11" s="1719"/>
      <c r="M11" s="1719"/>
      <c r="N11" s="1691"/>
      <c r="O11" s="1692"/>
      <c r="P11" s="1691"/>
      <c r="Q11" s="1691"/>
      <c r="R11" s="1691"/>
      <c r="S11" s="1691"/>
      <c r="T11" s="1691"/>
      <c r="U11" s="1691"/>
    </row>
    <row r="12" spans="1:21">
      <c r="A12" s="1781" t="s">
        <v>2060</v>
      </c>
      <c r="B12" s="3156" t="s">
        <v>3097</v>
      </c>
      <c r="C12" s="3157"/>
      <c r="D12" s="3158"/>
      <c r="E12" s="1696" t="s">
        <v>2063</v>
      </c>
      <c r="F12" s="3174" t="s">
        <v>3098</v>
      </c>
      <c r="G12" s="3175"/>
      <c r="H12" s="3175"/>
      <c r="I12" s="3176"/>
      <c r="J12" s="1691"/>
      <c r="K12" s="1770"/>
      <c r="L12" s="1719"/>
      <c r="M12" s="1719"/>
      <c r="N12" s="1691"/>
      <c r="O12" s="1692"/>
      <c r="P12" s="1691"/>
      <c r="Q12" s="1691"/>
      <c r="R12" s="1691"/>
      <c r="S12" s="1691"/>
      <c r="T12" s="1691"/>
      <c r="U12" s="1691"/>
    </row>
    <row r="13" spans="1:21">
      <c r="A13" s="1684" t="s">
        <v>2061</v>
      </c>
      <c r="B13" s="3156" t="s">
        <v>3097</v>
      </c>
      <c r="C13" s="3157"/>
      <c r="D13" s="3158"/>
      <c r="E13" s="1696" t="s">
        <v>2063</v>
      </c>
      <c r="F13" s="3174" t="s">
        <v>3099</v>
      </c>
      <c r="G13" s="3175"/>
      <c r="H13" s="3175"/>
      <c r="I13" s="3176"/>
      <c r="J13" s="1691"/>
      <c r="K13" s="1770"/>
      <c r="L13" s="1719"/>
      <c r="M13" s="1719"/>
      <c r="N13" s="1691"/>
      <c r="O13" s="1692"/>
      <c r="P13" s="1691"/>
      <c r="Q13" s="1691"/>
      <c r="R13" s="1691"/>
      <c r="S13" s="1691"/>
      <c r="T13" s="1691"/>
      <c r="U13" s="1691"/>
    </row>
    <row r="14" spans="1:21">
      <c r="A14" s="1658" t="s">
        <v>2064</v>
      </c>
      <c r="B14" s="1696"/>
      <c r="C14" s="1841" t="s">
        <v>2985</v>
      </c>
      <c r="D14" s="1729" t="str">
        <f>IF(C14="不一致","是否符合证载地类范围","")</f>
        <v/>
      </c>
      <c r="E14" s="1696"/>
      <c r="F14" s="1786" t="s">
        <v>2986</v>
      </c>
      <c r="G14" s="1724"/>
      <c r="H14" s="1724"/>
      <c r="I14" s="1833"/>
      <c r="J14" s="1691"/>
      <c r="K14" s="1770"/>
      <c r="L14" s="1719"/>
      <c r="M14" s="1719"/>
      <c r="N14" s="1691"/>
      <c r="O14" s="1692"/>
      <c r="P14" s="1691"/>
      <c r="Q14" s="1691"/>
      <c r="R14" s="1691"/>
      <c r="S14" s="1691"/>
      <c r="T14" s="1691"/>
      <c r="U14" s="1691"/>
    </row>
    <row r="15" spans="1:21" hidden="1">
      <c r="A15" s="2664"/>
      <c r="B15" s="1660"/>
      <c r="C15" s="1660"/>
      <c r="D15" s="1762" t="s">
        <v>1953</v>
      </c>
      <c r="E15" s="1762" t="s">
        <v>1954</v>
      </c>
      <c r="F15" s="1762" t="s">
        <v>1955</v>
      </c>
      <c r="G15" s="1683" t="s">
        <v>1956</v>
      </c>
      <c r="H15" s="1683" t="s">
        <v>1957</v>
      </c>
      <c r="I15" s="1683" t="s">
        <v>1958</v>
      </c>
      <c r="J15" s="1691"/>
      <c r="K15" s="1770"/>
      <c r="L15" s="1719"/>
      <c r="M15" s="1719"/>
      <c r="N15" s="1691"/>
      <c r="O15" s="1692"/>
      <c r="P15" s="1691"/>
      <c r="Q15" s="1691"/>
      <c r="R15" s="1691"/>
      <c r="S15" s="1691"/>
      <c r="T15" s="1691"/>
      <c r="U15" s="1691"/>
    </row>
    <row r="16" spans="1:21" ht="28.5">
      <c r="A16" s="1677" t="s">
        <v>1951</v>
      </c>
      <c r="B16" s="1678" t="s">
        <v>2988</v>
      </c>
      <c r="C16" s="1696" t="s">
        <v>1952</v>
      </c>
      <c r="D16" s="2665" t="s">
        <v>1953</v>
      </c>
      <c r="E16" s="1718" t="s">
        <v>2987</v>
      </c>
      <c r="F16" s="1718"/>
      <c r="G16" s="1718"/>
      <c r="H16" s="1718"/>
      <c r="I16" s="1683" t="s">
        <v>1958</v>
      </c>
      <c r="J16" s="1691"/>
      <c r="K16" s="2477" t="str">
        <f>IF(D17="","",D16&amp;TEXT(D17,"yyyy年m月d日;;"))</f>
        <v/>
      </c>
      <c r="L16" s="1696" t="str">
        <f>IF(OR(K16="",M16=""),"","、")</f>
        <v/>
      </c>
      <c r="M16" s="2477" t="str">
        <f>IF(E17="","",E16&amp;TEXT(E17,"yyyy年m月d日;;"))</f>
        <v>商业2054年3月1日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59"/>
      <c r="B17" s="1679"/>
      <c r="C17" s="1680" t="s">
        <v>1959</v>
      </c>
      <c r="D17" s="1697"/>
      <c r="E17" s="1697">
        <v>56309</v>
      </c>
      <c r="F17" s="1697"/>
      <c r="G17" s="1697"/>
      <c r="H17" s="1697"/>
      <c r="I17" s="1697"/>
      <c r="J17" s="1691"/>
      <c r="K17" s="2476" t="str">
        <f>CONCATENATE(K16,L16,M16,N16,O16,P16,Q16,R16,S16,T16,,U16)</f>
        <v>商业2054年3月1日</v>
      </c>
      <c r="L17" s="1719"/>
      <c r="M17" s="1719"/>
      <c r="N17" s="1691"/>
      <c r="O17" s="1692"/>
      <c r="P17" s="1691"/>
      <c r="Q17" s="1691"/>
      <c r="R17" s="1691"/>
      <c r="S17" s="1691"/>
      <c r="T17" s="1691"/>
      <c r="U17" s="1691"/>
    </row>
    <row r="18" spans="1:21">
      <c r="A18" s="1759"/>
      <c r="B18" s="1679"/>
      <c r="C18" s="1680" t="s">
        <v>1960</v>
      </c>
      <c r="D18" s="1681">
        <v>70</v>
      </c>
      <c r="E18" s="1681">
        <v>40</v>
      </c>
      <c r="F18" s="1681"/>
      <c r="G18" s="1681"/>
      <c r="H18" s="1681"/>
      <c r="I18" s="1681"/>
      <c r="J18" s="1691"/>
      <c r="K18" s="1770"/>
      <c r="L18" s="1719"/>
      <c r="M18" s="1719"/>
      <c r="N18" s="1691"/>
      <c r="O18" s="1692"/>
      <c r="P18" s="1691"/>
      <c r="Q18" s="1691"/>
      <c r="R18" s="1691"/>
      <c r="S18" s="1691"/>
      <c r="T18" s="1691"/>
      <c r="U18" s="1691"/>
    </row>
    <row r="19" spans="1:21">
      <c r="A19" s="1759"/>
      <c r="B19" s="1679"/>
      <c r="C19" s="1657" t="s">
        <v>1961</v>
      </c>
      <c r="D19" s="1754" t="str">
        <f>IF(B16="出让",IF(D17="","",ROUNDDOWN(MIN((D17-$D$3)/365,D18),2)),D18)</f>
        <v/>
      </c>
      <c r="E19" s="1682">
        <f>IF(B16="出让",IF(E17="","",ROUNDDOWN(MIN((E17-$D$3)/365,E18),2)),E18)</f>
        <v>36.29</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0"/>
      <c r="L19" s="1719"/>
      <c r="M19" s="1719"/>
      <c r="N19" s="1691"/>
      <c r="O19" s="1692"/>
      <c r="P19" s="1691"/>
      <c r="Q19" s="1691"/>
      <c r="R19" s="1691"/>
      <c r="S19" s="1691"/>
      <c r="T19" s="1691"/>
      <c r="U19" s="1691"/>
    </row>
    <row r="20" spans="1:21">
      <c r="A20" s="1782"/>
      <c r="B20" s="1783"/>
      <c r="C20" s="1784" t="s">
        <v>2062</v>
      </c>
      <c r="D20" s="3171" t="s">
        <v>3090</v>
      </c>
      <c r="E20" s="3172"/>
      <c r="F20" s="3172"/>
      <c r="G20" s="3172"/>
      <c r="H20" s="3172"/>
      <c r="I20" s="3173"/>
      <c r="J20" s="1691"/>
      <c r="K20" s="1770"/>
      <c r="L20" s="1719"/>
      <c r="M20" s="1719"/>
      <c r="N20" s="1691"/>
      <c r="O20" s="1692"/>
      <c r="P20" s="1691"/>
      <c r="Q20" s="1691"/>
      <c r="R20" s="1691"/>
      <c r="S20" s="1691"/>
      <c r="T20" s="1691"/>
      <c r="U20" s="1691"/>
    </row>
    <row r="21" spans="1:21">
      <c r="A21" s="1759" t="s">
        <v>1962</v>
      </c>
      <c r="B21" s="1760" t="s">
        <v>1963</v>
      </c>
      <c r="C21" s="1755">
        <f>'数据-汇总表'!E3</f>
        <v>82827.8</v>
      </c>
      <c r="D21" s="1756" t="s">
        <v>1964</v>
      </c>
      <c r="E21" s="3161" t="s">
        <v>3100</v>
      </c>
      <c r="F21" s="3162"/>
      <c r="G21" s="3162"/>
      <c r="H21" s="3162"/>
      <c r="I21" s="3163"/>
      <c r="J21" s="1691"/>
      <c r="K21" s="1770"/>
      <c r="L21" s="1719"/>
      <c r="M21" s="1719"/>
      <c r="N21" s="1691"/>
      <c r="O21" s="1692"/>
      <c r="P21" s="1691"/>
      <c r="Q21" s="1691"/>
      <c r="R21" s="1691"/>
      <c r="S21" s="1691"/>
      <c r="T21" s="1691"/>
      <c r="U21" s="1691"/>
    </row>
    <row r="22" spans="1:21">
      <c r="A22" s="2656" t="s">
        <v>953</v>
      </c>
      <c r="B22" s="1658" t="s">
        <v>1965</v>
      </c>
      <c r="C22" s="1683">
        <f>'数据-汇总表'!D3</f>
        <v>37649</v>
      </c>
      <c r="D22" s="1684" t="s">
        <v>1964</v>
      </c>
      <c r="E22" s="3161" t="s">
        <v>3101</v>
      </c>
      <c r="F22" s="3162"/>
      <c r="G22" s="3162"/>
      <c r="H22" s="3162"/>
      <c r="I22" s="3163"/>
      <c r="J22" s="1691"/>
      <c r="K22" s="1770"/>
      <c r="L22" s="1719"/>
      <c r="M22" s="1719"/>
      <c r="N22" s="1691"/>
      <c r="O22" s="1692"/>
      <c r="P22" s="1691"/>
      <c r="Q22" s="1691"/>
      <c r="R22" s="1691"/>
      <c r="S22" s="1691"/>
      <c r="T22" s="1691"/>
      <c r="U22" s="1691"/>
    </row>
    <row r="23" spans="1:21" ht="43.5" thickBot="1">
      <c r="A23" s="1761" t="s">
        <v>1966</v>
      </c>
      <c r="B23" s="1698" t="s">
        <v>1967</v>
      </c>
      <c r="C23" s="1699" t="s">
        <v>2989</v>
      </c>
      <c r="D23" s="1700" t="s">
        <v>1968</v>
      </c>
      <c r="E23" s="1701" t="s">
        <v>953</v>
      </c>
      <c r="F23" s="1702" t="str">
        <f>IF(AND(C23="是",E23="否"),"是否提供他项权证或相关说明","")</f>
        <v/>
      </c>
      <c r="G23" s="1703" t="s">
        <v>953</v>
      </c>
      <c r="H23" s="1691"/>
      <c r="I23" s="1704"/>
      <c r="J23" s="1691"/>
      <c r="K23" s="1770"/>
      <c r="L23" s="1719"/>
      <c r="M23" s="1719"/>
      <c r="N23" s="1691"/>
      <c r="O23" s="1692"/>
      <c r="P23" s="1691"/>
      <c r="Q23" s="1691"/>
      <c r="R23" s="1691"/>
      <c r="S23" s="1691"/>
      <c r="T23" s="1691"/>
      <c r="U23" s="1691"/>
    </row>
    <row r="24" spans="1:21">
      <c r="A24" s="1746" t="s">
        <v>1969</v>
      </c>
      <c r="B24" s="3164" t="s">
        <v>1970</v>
      </c>
      <c r="C24" s="3165"/>
      <c r="D24" s="3166" t="s">
        <v>1971</v>
      </c>
      <c r="E24" s="3167"/>
      <c r="F24" s="1705" t="s">
        <v>1972</v>
      </c>
      <c r="G24" s="1691"/>
      <c r="H24" s="1691"/>
      <c r="I24" s="1704"/>
      <c r="J24" s="1691"/>
      <c r="K24" s="3152"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9"/>
      <c r="N24" s="1691"/>
      <c r="O24" s="1692"/>
      <c r="P24" s="1691"/>
      <c r="Q24" s="1691"/>
      <c r="R24" s="1691"/>
      <c r="S24" s="1691"/>
      <c r="T24" s="1691"/>
      <c r="U24" s="1691"/>
    </row>
    <row r="25" spans="1:21" ht="28.5">
      <c r="A25" s="1747"/>
      <c r="B25" s="1744" t="s">
        <v>1974</v>
      </c>
      <c r="C25" s="1706" t="s">
        <v>2327</v>
      </c>
      <c r="D25" s="1707"/>
      <c r="E25" s="1708" t="s">
        <v>953</v>
      </c>
      <c r="F25" s="1709"/>
      <c r="G25" s="1691"/>
      <c r="H25" s="1691"/>
      <c r="I25" s="1704"/>
      <c r="J25" s="1691"/>
      <c r="K25" s="3152"/>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1"/>
      <c r="O25" s="1692"/>
      <c r="P25" s="1691"/>
      <c r="Q25" s="1691"/>
      <c r="R25" s="1691"/>
      <c r="S25" s="1691"/>
      <c r="T25" s="1691"/>
      <c r="U25" s="1691"/>
    </row>
    <row r="26" spans="1:21" ht="15" thickBot="1">
      <c r="A26" s="1748"/>
      <c r="B26" s="1745" t="s">
        <v>953</v>
      </c>
      <c r="C26" s="1706" t="s">
        <v>953</v>
      </c>
      <c r="D26" s="1657"/>
      <c r="E26" s="1657"/>
      <c r="F26" s="1685"/>
      <c r="G26" s="1691"/>
      <c r="H26" s="1691"/>
      <c r="I26" s="1704"/>
      <c r="J26" s="1691"/>
      <c r="K26" s="3152"/>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1"/>
      <c r="O26" s="1692"/>
      <c r="P26" s="1691"/>
      <c r="Q26" s="1691"/>
      <c r="R26" s="1691"/>
      <c r="S26" s="1691"/>
      <c r="T26" s="1691"/>
      <c r="U26" s="1691"/>
    </row>
    <row r="27" spans="1:21">
      <c r="A27" s="1751" t="s">
        <v>1975</v>
      </c>
      <c r="B27" s="1749" t="s">
        <v>1976</v>
      </c>
      <c r="C27" s="1710"/>
      <c r="D27" s="2670" t="s">
        <v>1976</v>
      </c>
      <c r="E27" s="1711"/>
      <c r="F27" s="1685"/>
      <c r="G27" s="1691"/>
      <c r="H27" s="1691"/>
      <c r="I27" s="1704"/>
      <c r="J27" s="1691"/>
      <c r="K27" s="1770"/>
      <c r="L27" s="1719"/>
      <c r="M27" s="1719"/>
      <c r="N27" s="1691"/>
      <c r="O27" s="1692"/>
      <c r="P27" s="1691"/>
      <c r="Q27" s="1691"/>
      <c r="R27" s="1691"/>
      <c r="S27" s="1691"/>
      <c r="T27" s="1691"/>
      <c r="U27" s="1691"/>
    </row>
    <row r="28" spans="1:21">
      <c r="A28" s="1752"/>
      <c r="B28" s="1749" t="s">
        <v>1977</v>
      </c>
      <c r="C28" s="1712"/>
      <c r="D28" s="2671" t="s">
        <v>1977</v>
      </c>
      <c r="E28" s="1713"/>
      <c r="F28" s="1685"/>
      <c r="G28" s="1691"/>
      <c r="H28" s="1691"/>
      <c r="I28" s="1704"/>
      <c r="J28" s="1691"/>
      <c r="K28" s="1770"/>
      <c r="L28" s="1719"/>
      <c r="M28" s="1719"/>
      <c r="N28" s="1691"/>
      <c r="O28" s="1692"/>
      <c r="P28" s="1691"/>
      <c r="Q28" s="1691"/>
      <c r="R28" s="1691"/>
      <c r="S28" s="1691"/>
      <c r="T28" s="1691"/>
      <c r="U28" s="1691"/>
    </row>
    <row r="29" spans="1:21">
      <c r="A29" s="1752"/>
      <c r="B29" s="1749" t="s">
        <v>1978</v>
      </c>
      <c r="C29" s="1712"/>
      <c r="D29" s="2671" t="s">
        <v>1978</v>
      </c>
      <c r="E29" s="1713"/>
      <c r="F29" s="1685"/>
      <c r="G29" s="1691"/>
      <c r="H29" s="1691"/>
      <c r="I29" s="1704"/>
      <c r="J29" s="1691"/>
      <c r="K29" s="1770"/>
      <c r="L29" s="1719"/>
      <c r="M29" s="1719"/>
      <c r="N29" s="1691"/>
      <c r="O29" s="1692"/>
      <c r="P29" s="1691"/>
      <c r="Q29" s="1691"/>
      <c r="R29" s="1691"/>
      <c r="S29" s="1691"/>
      <c r="T29" s="1691"/>
      <c r="U29" s="1691"/>
    </row>
    <row r="30" spans="1:21" ht="15" thickBot="1">
      <c r="A30" s="1753"/>
      <c r="B30" s="1750" t="s">
        <v>1979</v>
      </c>
      <c r="C30" s="1714"/>
      <c r="D30" s="2672" t="s">
        <v>1979</v>
      </c>
      <c r="E30" s="1715"/>
      <c r="F30" s="1686"/>
      <c r="G30" s="1738"/>
      <c r="H30" s="1738"/>
      <c r="I30" s="1739"/>
      <c r="J30" s="1691"/>
      <c r="K30" s="1770"/>
      <c r="L30" s="1719"/>
      <c r="M30" s="1719"/>
      <c r="N30" s="1691"/>
      <c r="O30" s="1692"/>
      <c r="P30" s="1691"/>
      <c r="Q30" s="1691"/>
      <c r="R30" s="1691"/>
      <c r="S30" s="1691"/>
      <c r="T30" s="1691"/>
      <c r="U30" s="1691"/>
    </row>
    <row r="31" spans="1:21" ht="15" thickTop="1">
      <c r="A31" s="3179" t="s">
        <v>2003</v>
      </c>
      <c r="B31" s="1760" t="s">
        <v>2004</v>
      </c>
      <c r="C31" s="3177" t="s">
        <v>2990</v>
      </c>
      <c r="D31" s="3178"/>
      <c r="E31" s="1691"/>
      <c r="F31" s="1691"/>
      <c r="G31" s="1691"/>
      <c r="H31" s="1691"/>
      <c r="I31" s="1704"/>
      <c r="J31" s="1691"/>
      <c r="K31" s="2479"/>
      <c r="L31" s="1691"/>
      <c r="M31" s="1691"/>
      <c r="N31" s="1691"/>
      <c r="O31" s="1691"/>
      <c r="P31" s="1691"/>
      <c r="Q31" s="1691"/>
      <c r="R31" s="1691"/>
      <c r="S31" s="1691"/>
      <c r="T31" s="1691"/>
      <c r="U31" s="1691"/>
    </row>
    <row r="32" spans="1:21">
      <c r="A32" s="3179"/>
      <c r="B32" s="1658" t="s">
        <v>2005</v>
      </c>
      <c r="C32" s="3096" t="s">
        <v>2991</v>
      </c>
      <c r="D32" s="1716"/>
      <c r="E32" s="1691"/>
      <c r="F32" s="1691"/>
      <c r="G32" s="1691"/>
      <c r="H32" s="1691"/>
      <c r="I32" s="1704"/>
      <c r="J32" s="1691"/>
      <c r="K32" s="2479"/>
      <c r="L32" s="1691"/>
      <c r="M32" s="1691"/>
      <c r="N32" s="1691"/>
      <c r="O32" s="1691"/>
      <c r="P32" s="1691"/>
      <c r="Q32" s="1691"/>
      <c r="R32" s="1691"/>
      <c r="S32" s="1691"/>
      <c r="T32" s="1691"/>
      <c r="U32" s="1691"/>
    </row>
    <row r="33" spans="1:21">
      <c r="A33" s="3179"/>
      <c r="B33" s="1658" t="s">
        <v>2006</v>
      </c>
      <c r="C33" s="1717" t="s">
        <v>2989</v>
      </c>
      <c r="D33" s="1834"/>
      <c r="E33" s="1691"/>
      <c r="F33" s="1691"/>
      <c r="G33" s="1691"/>
      <c r="H33" s="1691"/>
      <c r="I33" s="1704"/>
      <c r="J33" s="1691"/>
      <c r="K33" s="2479"/>
      <c r="L33" s="1691"/>
      <c r="M33" s="1691"/>
      <c r="N33" s="1691"/>
      <c r="O33" s="1691"/>
      <c r="P33" s="1691"/>
      <c r="Q33" s="1691"/>
      <c r="R33" s="1691"/>
      <c r="S33" s="1691"/>
      <c r="T33" s="1691"/>
      <c r="U33" s="1691"/>
    </row>
    <row r="34" spans="1:21">
      <c r="A34" s="3180"/>
      <c r="B34" s="1658" t="s">
        <v>2007</v>
      </c>
      <c r="C34" s="3181"/>
      <c r="D34" s="3182"/>
      <c r="E34" s="1691"/>
      <c r="F34" s="1691"/>
      <c r="G34" s="1691"/>
      <c r="H34" s="1691"/>
      <c r="I34" s="1704"/>
      <c r="J34" s="1691"/>
      <c r="K34" s="2479"/>
      <c r="L34" s="1691"/>
      <c r="M34" s="1691"/>
      <c r="N34" s="1691"/>
      <c r="O34" s="1691"/>
      <c r="P34" s="1691"/>
      <c r="Q34" s="1691"/>
      <c r="R34" s="1691"/>
      <c r="S34" s="1691"/>
      <c r="T34" s="1691"/>
      <c r="U34" s="1691"/>
    </row>
    <row r="35" spans="1:21">
      <c r="A35" s="3183" t="s">
        <v>848</v>
      </c>
      <c r="B35" s="1718" t="s">
        <v>2992</v>
      </c>
      <c r="C35" s="1772" t="str">
        <f>IF(B35="场地平整","——","具体情况：")</f>
        <v>——</v>
      </c>
      <c r="D35" s="3185"/>
      <c r="E35" s="3186"/>
      <c r="F35" s="3186"/>
      <c r="G35" s="3186"/>
      <c r="H35" s="3186"/>
      <c r="I35" s="3187"/>
      <c r="J35" s="1691"/>
      <c r="K35" s="1771"/>
      <c r="L35" s="1719"/>
      <c r="M35" s="1719"/>
      <c r="N35" s="1691"/>
      <c r="O35" s="1692"/>
      <c r="P35" s="1691"/>
      <c r="Q35" s="1691"/>
      <c r="R35" s="1691"/>
      <c r="S35" s="1691"/>
      <c r="T35" s="1691"/>
      <c r="U35" s="1691"/>
    </row>
    <row r="36" spans="1:21">
      <c r="A36" s="3179"/>
      <c r="B36" s="3188" t="s">
        <v>2056</v>
      </c>
      <c r="C36" s="3189"/>
      <c r="D36" s="1788" t="s">
        <v>2993</v>
      </c>
      <c r="E36" s="3190"/>
      <c r="F36" s="3190"/>
      <c r="G36" s="1684" t="str">
        <f>IF(B35="场地未平整","估价结果处理","")</f>
        <v/>
      </c>
      <c r="H36" s="3191"/>
      <c r="I36" s="3191"/>
      <c r="J36" s="1691"/>
      <c r="K36" s="1771"/>
      <c r="L36" s="1719"/>
      <c r="M36" s="1719"/>
      <c r="N36" s="1691"/>
      <c r="O36" s="1692"/>
      <c r="P36" s="1691"/>
      <c r="Q36" s="1691"/>
      <c r="R36" s="1691"/>
      <c r="S36" s="1691"/>
      <c r="T36" s="1691"/>
      <c r="U36" s="1691"/>
    </row>
    <row r="37" spans="1:21" ht="28.5">
      <c r="A37" s="3179"/>
      <c r="B37" s="3168" t="s">
        <v>849</v>
      </c>
      <c r="C37" s="1720" t="s">
        <v>850</v>
      </c>
      <c r="D37" s="1721">
        <v>41760</v>
      </c>
      <c r="E37" s="1722"/>
      <c r="F37" s="1691"/>
      <c r="G37" s="1691"/>
      <c r="H37" s="1691"/>
      <c r="I37" s="1704"/>
      <c r="J37" s="1691"/>
      <c r="K37" s="1771"/>
      <c r="L37" s="1691"/>
      <c r="M37" s="1691"/>
      <c r="N37" s="1691"/>
      <c r="O37" s="1691"/>
      <c r="P37" s="1691"/>
      <c r="Q37" s="1691"/>
      <c r="R37" s="1691"/>
      <c r="S37" s="1691"/>
      <c r="T37" s="1691"/>
      <c r="U37" s="1691"/>
    </row>
    <row r="38" spans="1:21">
      <c r="A38" s="3179"/>
      <c r="B38" s="3169"/>
      <c r="C38" s="1666" t="s">
        <v>851</v>
      </c>
      <c r="D38" s="1787">
        <f>ROUNDDOWN(MIN(('数据-取费表'!$B$2-D37)/365,D34),1)</f>
        <v>3.5</v>
      </c>
      <c r="E38" s="1723" t="s">
        <v>852</v>
      </c>
      <c r="F38" s="1691"/>
      <c r="G38" s="1691"/>
      <c r="H38" s="1691"/>
      <c r="I38" s="1704"/>
      <c r="J38" s="1691"/>
      <c r="K38" s="1771"/>
      <c r="L38" s="1691"/>
      <c r="M38" s="1691"/>
      <c r="N38" s="1691"/>
      <c r="O38" s="1691"/>
      <c r="P38" s="1691"/>
      <c r="Q38" s="1691"/>
      <c r="R38" s="1691"/>
      <c r="S38" s="1691"/>
      <c r="T38" s="1691"/>
      <c r="U38" s="1691"/>
    </row>
    <row r="39" spans="1:21">
      <c r="A39" s="3180"/>
      <c r="B39" s="3170"/>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70"/>
      <c r="L39" s="1719"/>
      <c r="M39" s="1719"/>
      <c r="N39" s="1691"/>
      <c r="O39" s="1692"/>
      <c r="P39" s="1691"/>
      <c r="Q39" s="1691"/>
      <c r="R39" s="1691"/>
      <c r="S39" s="1691"/>
      <c r="T39" s="1691"/>
      <c r="U39" s="1691"/>
    </row>
    <row r="40" spans="1:21">
      <c r="A40" s="1684" t="s">
        <v>1980</v>
      </c>
      <c r="B40" s="1687" t="s">
        <v>2994</v>
      </c>
      <c r="C40" s="1687" t="s">
        <v>2995</v>
      </c>
      <c r="D40" s="1687" t="s">
        <v>2996</v>
      </c>
      <c r="E40" s="1687" t="s">
        <v>2997</v>
      </c>
      <c r="F40" s="1687" t="s">
        <v>2998</v>
      </c>
      <c r="G40" s="1687" t="s">
        <v>2999</v>
      </c>
      <c r="H40" s="1687"/>
      <c r="I40" s="1704"/>
      <c r="J40" s="1691"/>
      <c r="K40" s="1726">
        <f>COUNTIF(B40:H40,"——")</f>
        <v>0</v>
      </c>
      <c r="L40" s="1696" t="s">
        <v>1981</v>
      </c>
      <c r="M40" s="1693" t="s">
        <v>1982</v>
      </c>
      <c r="N40" s="1693" t="s">
        <v>1983</v>
      </c>
      <c r="O40" s="1693" t="s">
        <v>1984</v>
      </c>
      <c r="P40" s="1693" t="s">
        <v>1985</v>
      </c>
      <c r="Q40" s="1693" t="s">
        <v>1986</v>
      </c>
      <c r="R40" s="1693" t="s">
        <v>1987</v>
      </c>
      <c r="S40" s="3151" t="s">
        <v>1988</v>
      </c>
      <c r="T40" s="1727" t="str">
        <f>NUMBERSTRING(7-K40,1)&amp;"通"</f>
        <v>七通</v>
      </c>
      <c r="U40" s="1691"/>
    </row>
    <row r="41" spans="1:21" ht="28.5">
      <c r="A41" s="1660"/>
      <c r="B41" s="3184" t="s">
        <v>1723</v>
      </c>
      <c r="C41" s="3184"/>
      <c r="D41" s="3184"/>
      <c r="E41" s="3184"/>
      <c r="F41" s="1728" t="str">
        <f>C10</f>
        <v>湖北省天门市</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151"/>
      <c r="T41" s="1729" t="str">
        <f>IF(T40="一通",L41,IF(T40="二通",M41,IF(T40="三通",N41,IF(T40="四通",O41,IF(T40="五通",P41,IF(T40="六通",Q41,R41))))))</f>
        <v>通路、通电、通讯、通上水、通下水、燃气、</v>
      </c>
      <c r="U41" s="1691"/>
    </row>
    <row r="42" spans="1:21">
      <c r="A42" s="1731"/>
      <c r="B42" s="1762" t="s">
        <v>1899</v>
      </c>
      <c r="C42" s="1762" t="s">
        <v>1900</v>
      </c>
      <c r="D42" s="1762" t="s">
        <v>1901</v>
      </c>
      <c r="E42" s="1696" t="s">
        <v>1902</v>
      </c>
      <c r="F42" s="1732"/>
      <c r="G42" s="1691"/>
      <c r="H42" s="1691"/>
      <c r="I42" s="1704"/>
      <c r="J42" s="1691"/>
      <c r="K42" s="1770"/>
      <c r="L42" s="1719"/>
      <c r="M42" s="1719"/>
      <c r="N42" s="1691"/>
      <c r="O42" s="1692"/>
      <c r="P42" s="1691"/>
      <c r="Q42" s="1691"/>
      <c r="R42" s="1691"/>
      <c r="S42" s="1691"/>
      <c r="T42" s="1691"/>
      <c r="U42" s="1691"/>
    </row>
    <row r="43" spans="1:21">
      <c r="A43" s="1733" t="s">
        <v>1708</v>
      </c>
      <c r="B43" s="1734"/>
      <c r="C43" s="1734"/>
      <c r="D43" s="1734"/>
      <c r="E43" s="1734"/>
      <c r="F43" s="1735"/>
      <c r="G43" s="1691"/>
      <c r="H43" s="1691"/>
      <c r="I43" s="1704"/>
      <c r="J43" s="1691"/>
      <c r="K43" s="1770"/>
      <c r="L43" s="1719"/>
      <c r="M43" s="1719"/>
      <c r="N43" s="1691"/>
      <c r="O43" s="1692"/>
      <c r="P43" s="1691"/>
      <c r="Q43" s="1691"/>
      <c r="R43" s="1691"/>
      <c r="S43" s="1691"/>
      <c r="T43" s="1691"/>
      <c r="U43" s="1691"/>
    </row>
    <row r="44" spans="1:21">
      <c r="A44" s="1733" t="s">
        <v>1709</v>
      </c>
      <c r="B44" s="1734"/>
      <c r="C44" s="1734"/>
      <c r="D44" s="1734"/>
      <c r="E44" s="1788"/>
      <c r="F44" s="1735"/>
      <c r="G44" s="1691"/>
      <c r="H44" s="1691"/>
      <c r="I44" s="1704"/>
      <c r="J44" s="1691"/>
      <c r="K44" s="1770"/>
      <c r="L44" s="1719"/>
      <c r="M44" s="1719"/>
      <c r="N44" s="1691"/>
      <c r="O44" s="1692"/>
      <c r="P44" s="1691"/>
      <c r="Q44" s="1691"/>
      <c r="R44" s="1691"/>
      <c r="S44" s="1691"/>
      <c r="T44" s="1691"/>
      <c r="U44" s="1691"/>
    </row>
    <row r="45" spans="1:21" s="3030" customFormat="1" ht="21" thickBot="1">
      <c r="A45" s="3031" t="s">
        <v>2895</v>
      </c>
      <c r="B45" s="3026"/>
      <c r="C45" s="3026"/>
      <c r="D45" s="3026"/>
      <c r="E45" s="3026"/>
      <c r="F45" s="3026"/>
      <c r="G45" s="3026"/>
      <c r="H45" s="3026"/>
      <c r="I45" s="3027"/>
      <c r="J45" s="3026"/>
      <c r="K45" s="3028"/>
      <c r="L45" s="3029"/>
      <c r="M45" s="3029"/>
      <c r="N45" s="3026"/>
      <c r="O45" s="3027"/>
      <c r="P45" s="3026"/>
      <c r="Q45" s="3026"/>
      <c r="R45" s="3026"/>
      <c r="S45" s="3026"/>
      <c r="T45" s="3026"/>
      <c r="U45" s="3026"/>
    </row>
    <row r="46" spans="1:21">
      <c r="A46" s="1691"/>
      <c r="B46" s="1691"/>
      <c r="C46" s="1691"/>
      <c r="D46" s="1691"/>
      <c r="E46" s="1691"/>
      <c r="F46" s="1691"/>
      <c r="G46" s="1691"/>
      <c r="H46" s="1691"/>
      <c r="I46" s="1704"/>
      <c r="J46" s="1691"/>
      <c r="K46" s="1770"/>
      <c r="L46" s="1719"/>
      <c r="M46" s="1719"/>
      <c r="N46" s="1691"/>
      <c r="O46" s="1692"/>
      <c r="P46" s="1691"/>
      <c r="Q46" s="1691"/>
      <c r="R46" s="1691"/>
      <c r="S46" s="1691"/>
      <c r="T46" s="1691"/>
      <c r="U46" s="1691"/>
    </row>
    <row r="47" spans="1:21">
      <c r="A47" s="1736" t="s">
        <v>2008</v>
      </c>
      <c r="B47" s="1737"/>
      <c r="C47" s="1725"/>
      <c r="D47" s="1691"/>
      <c r="E47" s="1691"/>
      <c r="F47" s="1691"/>
      <c r="G47" s="1691"/>
      <c r="H47" s="1691"/>
      <c r="I47" s="1692"/>
      <c r="J47" s="1691"/>
      <c r="K47" s="1770"/>
      <c r="L47" s="1719"/>
      <c r="M47" s="1719"/>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8" t="s">
        <v>2018</v>
      </c>
      <c r="K48" s="1762" t="s">
        <v>2019</v>
      </c>
      <c r="L48" s="1762" t="s">
        <v>2020</v>
      </c>
      <c r="M48" s="1762" t="s">
        <v>2021</v>
      </c>
      <c r="N48" s="1683" t="s">
        <v>2022</v>
      </c>
      <c r="O48" s="1683" t="s">
        <v>2023</v>
      </c>
      <c r="P48" s="1683" t="s">
        <v>2024</v>
      </c>
      <c r="Q48" s="1696" t="s">
        <v>2025</v>
      </c>
      <c r="R48" s="1696" t="s">
        <v>2026</v>
      </c>
      <c r="S48" s="1691"/>
      <c r="T48" s="1691"/>
      <c r="U48" s="1691"/>
    </row>
    <row r="49" spans="1:21">
      <c r="A49" s="1693"/>
      <c r="B49" s="1726"/>
      <c r="C49" s="1726"/>
      <c r="D49" s="1726"/>
      <c r="E49" s="1726"/>
      <c r="F49" s="1726"/>
      <c r="G49" s="1726"/>
      <c r="H49" s="1726"/>
      <c r="I49" s="1726"/>
      <c r="J49" s="1835"/>
      <c r="K49" s="1836"/>
      <c r="L49" s="1836"/>
      <c r="M49" s="1726"/>
      <c r="N49" s="1726"/>
      <c r="O49" s="1726"/>
      <c r="P49" s="1726"/>
      <c r="Q49" s="1726"/>
      <c r="R49" s="1726"/>
      <c r="S49" s="1691"/>
      <c r="T49" s="1691"/>
      <c r="U49" s="1691"/>
    </row>
    <row r="50" spans="1:21">
      <c r="A50" s="1693"/>
      <c r="B50" s="1693"/>
      <c r="C50" s="1726"/>
      <c r="D50" s="1726"/>
      <c r="E50" s="1726"/>
      <c r="F50" s="1726"/>
      <c r="G50" s="1726"/>
      <c r="H50" s="1726"/>
      <c r="I50" s="1726"/>
      <c r="J50" s="1835"/>
      <c r="K50" s="1836"/>
      <c r="L50" s="1836"/>
      <c r="M50" s="1726"/>
      <c r="N50" s="1726"/>
      <c r="O50" s="1726"/>
      <c r="P50" s="1726"/>
      <c r="Q50" s="1726"/>
      <c r="R50" s="1726"/>
      <c r="S50" s="1691"/>
      <c r="T50" s="1691"/>
      <c r="U50" s="1691"/>
    </row>
    <row r="51" spans="1:21">
      <c r="A51" s="1693"/>
      <c r="B51" s="1693"/>
      <c r="C51" s="1726"/>
      <c r="D51" s="1726"/>
      <c r="E51" s="1726"/>
      <c r="F51" s="1726"/>
      <c r="G51" s="1726"/>
      <c r="H51" s="1726"/>
      <c r="I51" s="1726"/>
      <c r="J51" s="1835"/>
      <c r="K51" s="1836"/>
      <c r="L51" s="1836"/>
      <c r="M51" s="1726"/>
      <c r="N51" s="1726"/>
      <c r="O51" s="1726"/>
      <c r="P51" s="1726"/>
      <c r="Q51" s="1726"/>
      <c r="R51" s="1726"/>
      <c r="S51" s="1691"/>
      <c r="T51" s="1691"/>
      <c r="U51" s="1691"/>
    </row>
    <row r="52" spans="1:21">
      <c r="A52" s="1693"/>
      <c r="B52" s="1693"/>
      <c r="C52" s="1726"/>
      <c r="D52" s="1726"/>
      <c r="E52" s="1726"/>
      <c r="F52" s="1726"/>
      <c r="G52" s="1726"/>
      <c r="H52" s="1726"/>
      <c r="I52" s="1726"/>
      <c r="J52" s="1835"/>
      <c r="K52" s="1836"/>
      <c r="L52" s="1836"/>
      <c r="M52" s="1726"/>
      <c r="N52" s="1726"/>
      <c r="O52" s="1726"/>
      <c r="P52" s="1726"/>
      <c r="Q52" s="1726"/>
      <c r="R52" s="1726"/>
      <c r="S52" s="1691"/>
      <c r="T52" s="1691"/>
      <c r="U52" s="1691"/>
    </row>
    <row r="53" spans="1:21">
      <c r="A53" s="1693"/>
      <c r="B53" s="1693"/>
      <c r="C53" s="1726"/>
      <c r="D53" s="1726"/>
      <c r="E53" s="1726"/>
      <c r="F53" s="1726"/>
      <c r="G53" s="1726"/>
      <c r="H53" s="1726"/>
      <c r="I53" s="1726"/>
      <c r="J53" s="1835"/>
      <c r="K53" s="1836"/>
      <c r="L53" s="1836"/>
      <c r="M53" s="1726"/>
      <c r="N53" s="1726"/>
      <c r="O53" s="1726"/>
      <c r="P53" s="1726"/>
      <c r="Q53" s="1726"/>
      <c r="R53" s="1726"/>
      <c r="S53" s="1691"/>
      <c r="T53" s="1691"/>
      <c r="U53" s="1691"/>
    </row>
    <row r="54" spans="1:21">
      <c r="A54" s="1693"/>
      <c r="B54" s="1693"/>
      <c r="C54" s="1693"/>
      <c r="D54" s="1693"/>
      <c r="E54" s="1693"/>
      <c r="F54" s="1726"/>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6"/>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6"/>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6"/>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6"/>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37649</v>
      </c>
      <c r="B3" s="22">
        <f>IF(C3="否",G5-AT5,G5)</f>
        <v>82827.8</v>
      </c>
      <c r="C3" s="23"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82827.8</v>
      </c>
      <c r="H5" s="27">
        <f t="shared" ref="H5:AT5" si="0">SUM(H13:H641)</f>
        <v>82827.8</v>
      </c>
      <c r="I5" s="27">
        <f t="shared" si="0"/>
        <v>0</v>
      </c>
      <c r="J5" s="27">
        <f t="shared" si="0"/>
        <v>0</v>
      </c>
      <c r="K5" s="27">
        <f t="shared" si="0"/>
        <v>82827.8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82827.8</v>
      </c>
      <c r="BA5" s="29">
        <f t="shared" si="1"/>
        <v>82827.8</v>
      </c>
      <c r="BB5" s="29">
        <f t="shared" si="1"/>
        <v>0</v>
      </c>
      <c r="BC5" s="29">
        <f t="shared" si="1"/>
        <v>82827.8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37649</v>
      </c>
      <c r="F6" s="27" t="s">
        <v>1</v>
      </c>
      <c r="G6" s="27" t="s">
        <v>2</v>
      </c>
      <c r="H6" s="33">
        <f>SUMIF(I$12:AB$12,"总值",I6:AB6)</f>
        <v>37649</v>
      </c>
      <c r="I6" s="27">
        <f t="shared" ref="I6:AB6" si="2">ROUND($A$3*I5/$B$3,2)</f>
        <v>0</v>
      </c>
      <c r="J6" s="27">
        <f t="shared" si="2"/>
        <v>0</v>
      </c>
      <c r="K6" s="27">
        <f t="shared" si="2"/>
        <v>37649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37649</v>
      </c>
      <c r="AZ6" s="27" t="s">
        <v>3</v>
      </c>
      <c r="BA6" s="27">
        <f>ROUND($AY$6*BA5/$AZ$5,2)</f>
        <v>37649</v>
      </c>
      <c r="BB6" s="27">
        <f>ROUND($AY$6*BB5/$AZ$5,2)</f>
        <v>0</v>
      </c>
      <c r="BC6" s="27">
        <f t="shared" ref="BC6:BH6" si="4">ROUND($AY$6*BC5/$AZ$5,2)</f>
        <v>37649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2" t="s">
        <v>3000</v>
      </c>
      <c r="J9" s="51"/>
      <c r="K9" s="2982" t="s">
        <v>3000</v>
      </c>
      <c r="L9" s="51"/>
      <c r="M9" s="298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2" t="s">
        <v>924</v>
      </c>
      <c r="J10" s="51"/>
      <c r="K10" s="2984" t="s">
        <v>2987</v>
      </c>
      <c r="L10" s="51"/>
      <c r="M10" s="2984"/>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3" t="s">
        <v>3001</v>
      </c>
      <c r="J11" s="71"/>
      <c r="K11" s="2983" t="s">
        <v>3002</v>
      </c>
      <c r="L11" s="71"/>
      <c r="M11" s="70"/>
      <c r="N11" s="71"/>
      <c r="O11" s="70"/>
      <c r="P11" s="71"/>
      <c r="Q11" s="70"/>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7"/>
      <c r="B13" s="2977"/>
      <c r="C13" s="2977"/>
      <c r="D13" s="2978" t="s">
        <v>1680</v>
      </c>
      <c r="E13" s="27">
        <f t="shared" ref="E13:E20" si="6">IF($C$3="是",ROUND($A$3*G13/$B$3,2),ROUND($A$3*(G13-AT13)/$B$3,2))</f>
        <v>37649</v>
      </c>
      <c r="F13" s="81"/>
      <c r="G13" s="82">
        <f t="shared" ref="G13:G20" si="7">H13+AC13+AT13</f>
        <v>82827.8</v>
      </c>
      <c r="H13" s="33">
        <f t="shared" ref="H13:H20" si="8">SUMIF(I$12:AB$12,"总值",I13:AB13)</f>
        <v>82827.8</v>
      </c>
      <c r="I13" s="2981"/>
      <c r="J13" s="2981"/>
      <c r="K13" s="2981">
        <f>ROUND(A3*2.2,2)</f>
        <v>82827.8</v>
      </c>
      <c r="L13" s="2981"/>
      <c r="M13" s="2981"/>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94">
        <f t="shared" ref="AY13:AY20" si="11">ROUND($AY$6*AZ13/$AZ$5,2)</f>
        <v>37649</v>
      </c>
      <c r="AZ13" s="27">
        <f t="shared" ref="AZ13:AZ20" si="12">BA13+BL13</f>
        <v>82827.8</v>
      </c>
      <c r="BA13" s="27">
        <f t="shared" ref="BA13:BA20" si="13">SUM(BB13:BK13)</f>
        <v>82827.8</v>
      </c>
      <c r="BB13" s="27">
        <f t="shared" ref="BB13:BB20" si="14">IF($D13="是",I13-J13,0)</f>
        <v>0</v>
      </c>
      <c r="BC13" s="27">
        <f t="shared" ref="BC13:BC20" si="15">IF($D13="是",K13-L13,0)</f>
        <v>82827.8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192" t="s">
        <v>0</v>
      </c>
      <c r="B1" s="3192" t="s">
        <v>4</v>
      </c>
      <c r="C1" s="3192" t="s">
        <v>5</v>
      </c>
      <c r="D1" s="3193" t="s">
        <v>40</v>
      </c>
      <c r="E1" s="3193" t="s">
        <v>41</v>
      </c>
      <c r="F1" s="3193"/>
      <c r="G1" s="3193"/>
      <c r="H1" s="3193"/>
      <c r="I1" s="3193"/>
      <c r="J1" s="3193"/>
      <c r="K1" s="3193"/>
      <c r="L1" s="3193"/>
      <c r="M1" s="3193"/>
    </row>
    <row r="2" spans="1:13" ht="27" customHeight="1">
      <c r="A2" s="3192"/>
      <c r="B2" s="3192"/>
      <c r="C2" s="3192"/>
      <c r="D2" s="3193"/>
      <c r="E2" s="3193" t="s">
        <v>24</v>
      </c>
      <c r="F2" s="3193" t="s">
        <v>25</v>
      </c>
      <c r="G2" s="3193"/>
      <c r="H2" s="3193"/>
      <c r="I2" s="3193"/>
      <c r="J2" s="3193" t="s">
        <v>26</v>
      </c>
      <c r="K2" s="3193"/>
      <c r="L2" s="3193"/>
      <c r="M2" s="3193"/>
    </row>
    <row r="3" spans="1:13" ht="28.5">
      <c r="A3" s="3192"/>
      <c r="B3" s="3192"/>
      <c r="C3" s="3192"/>
      <c r="D3" s="3193"/>
      <c r="E3" s="31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193" t="s">
        <v>42</v>
      </c>
      <c r="B9" s="3193"/>
      <c r="C9" s="31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03" t="s">
        <v>203</v>
      </c>
      <c r="B2" s="3203"/>
      <c r="C2" s="3203"/>
      <c r="D2" s="1972" t="s">
        <v>204</v>
      </c>
      <c r="E2" s="106" t="s">
        <v>205</v>
      </c>
      <c r="F2" s="1981"/>
      <c r="G2" s="1196"/>
      <c r="H2" s="1197"/>
      <c r="I2" s="1198" t="s">
        <v>858</v>
      </c>
      <c r="J2" s="1981"/>
      <c r="K2" s="1981"/>
      <c r="L2" s="1981"/>
    </row>
    <row r="3" spans="1:16" ht="15.75" thickBot="1">
      <c r="A3" s="3204" t="s">
        <v>206</v>
      </c>
      <c r="B3" s="3204"/>
      <c r="C3" s="3204"/>
      <c r="D3" s="107">
        <f>'数据-基础表'!AY6</f>
        <v>37649</v>
      </c>
      <c r="E3" s="107">
        <f>'数据-基础表'!AZ5</f>
        <v>82827.8</v>
      </c>
      <c r="F3" s="1981"/>
      <c r="G3" s="280" t="s">
        <v>859</v>
      </c>
      <c r="H3" s="275" t="s">
        <v>860</v>
      </c>
      <c r="I3" s="1973">
        <f>ROUND('数据-基础表'!B3/'数据-基础表'!A3,2)</f>
        <v>2.2000000000000002</v>
      </c>
      <c r="J3" s="1981"/>
      <c r="K3" s="1981"/>
      <c r="L3" s="1981"/>
    </row>
    <row r="4" spans="1:16" ht="15">
      <c r="A4" s="3205"/>
      <c r="B4" s="3206"/>
      <c r="C4" s="3207"/>
      <c r="D4" s="108" t="s">
        <v>204</v>
      </c>
      <c r="E4" s="109" t="s">
        <v>205</v>
      </c>
      <c r="F4" s="1981"/>
      <c r="G4" s="1199"/>
      <c r="H4" s="275" t="s">
        <v>861</v>
      </c>
      <c r="I4" s="1973">
        <f>ROUND(SUMIF('数据-基础表'!I9:AS9,"地上",'数据-基础表'!I5:AS5)/'数据-基础表'!A3,2)</f>
        <v>2.2000000000000002</v>
      </c>
      <c r="J4" s="1981"/>
      <c r="K4" s="1981"/>
      <c r="L4" s="1981"/>
    </row>
    <row r="5" spans="1:16">
      <c r="A5" s="110" t="s">
        <v>207</v>
      </c>
      <c r="B5" s="3208" t="s">
        <v>230</v>
      </c>
      <c r="C5" s="3208"/>
      <c r="D5" s="111">
        <f>ROUND($D$3*E5/$E$3,2)</f>
        <v>0</v>
      </c>
      <c r="E5" s="112">
        <f>SUMIF('数据-基础表'!$11:$11,"住宅",'数据-基础表'!$5:$5)</f>
        <v>0</v>
      </c>
      <c r="F5" s="1981"/>
      <c r="G5" s="280" t="s">
        <v>862</v>
      </c>
      <c r="H5" s="275" t="s">
        <v>860</v>
      </c>
      <c r="I5" s="1973">
        <f>ROUND(E31/D31,2)</f>
        <v>2.2000000000000002</v>
      </c>
      <c r="J5" s="1981"/>
      <c r="K5" s="1981"/>
      <c r="L5" s="1981"/>
    </row>
    <row r="6" spans="1:16" ht="15" thickBot="1">
      <c r="A6" s="113"/>
      <c r="B6" s="3208" t="s">
        <v>208</v>
      </c>
      <c r="C6" s="3208"/>
      <c r="D6" s="111">
        <f>ROUND($D$3*E6/$E$3,2)</f>
        <v>37649</v>
      </c>
      <c r="E6" s="112">
        <f>E3-E5</f>
        <v>82827.8</v>
      </c>
      <c r="F6" s="1981"/>
      <c r="G6" s="1199"/>
      <c r="H6" s="275" t="s">
        <v>861</v>
      </c>
      <c r="I6" s="1973">
        <f>ROUND(F31/D31,2)</f>
        <v>2.2000000000000002</v>
      </c>
      <c r="J6" s="1981"/>
      <c r="K6" s="1981"/>
      <c r="L6" s="1981"/>
    </row>
    <row r="7" spans="1:16" ht="15">
      <c r="A7" s="3200"/>
      <c r="B7" s="3201"/>
      <c r="C7" s="3202"/>
      <c r="D7" s="108" t="s">
        <v>204</v>
      </c>
      <c r="E7" s="114" t="s">
        <v>231</v>
      </c>
      <c r="F7" s="1981"/>
      <c r="G7" s="1154" t="s">
        <v>1647</v>
      </c>
      <c r="H7" s="1155"/>
      <c r="I7" s="1843">
        <v>4</v>
      </c>
      <c r="J7" s="1981"/>
      <c r="K7" s="1981"/>
      <c r="L7" s="1981"/>
    </row>
    <row r="8" spans="1:16">
      <c r="A8" s="110" t="s">
        <v>209</v>
      </c>
      <c r="B8" s="115" t="s">
        <v>210</v>
      </c>
      <c r="C8" s="111" t="s">
        <v>211</v>
      </c>
      <c r="D8" s="111">
        <f t="shared" ref="D8:D15" si="0">ROUND($D$3*E8/$E$3,2)</f>
        <v>37649</v>
      </c>
      <c r="E8" s="116">
        <f>SUMIF('数据-基础表'!BB10:BK10,"地上",'数据-基础表'!BB5:BK5)</f>
        <v>82827.8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37649</v>
      </c>
      <c r="E16" s="120">
        <f>SUM(E8:E15)</f>
        <v>82827.8</v>
      </c>
      <c r="F16" s="1981"/>
      <c r="G16" s="1983"/>
      <c r="H16" s="966" t="s">
        <v>219</v>
      </c>
      <c r="I16" s="967"/>
      <c r="J16" s="1981"/>
      <c r="K16" s="3194" t="s">
        <v>2570</v>
      </c>
      <c r="L16" s="3195"/>
      <c r="M16" s="3195"/>
      <c r="N16" s="3195"/>
      <c r="O16" s="3195"/>
      <c r="P16" s="3196"/>
    </row>
    <row r="17" spans="1:19" ht="15">
      <c r="A17" s="121" t="s">
        <v>216</v>
      </c>
      <c r="B17" s="122" t="s">
        <v>217</v>
      </c>
      <c r="C17" s="2295" t="s">
        <v>2315</v>
      </c>
      <c r="D17" s="108" t="s">
        <v>204</v>
      </c>
      <c r="E17" s="124" t="s">
        <v>205</v>
      </c>
      <c r="F17" s="125"/>
      <c r="G17" s="1364"/>
      <c r="H17" s="968" t="s">
        <v>218</v>
      </c>
      <c r="I17" s="969" t="s">
        <v>2314</v>
      </c>
      <c r="J17" s="1981"/>
      <c r="K17" s="3197" t="s">
        <v>2571</v>
      </c>
      <c r="L17" s="3198"/>
      <c r="M17" s="3199"/>
      <c r="N17" s="3197" t="s">
        <v>2572</v>
      </c>
      <c r="O17" s="3198"/>
      <c r="P17" s="3199"/>
      <c r="R17" s="2296" t="s">
        <v>2313</v>
      </c>
      <c r="S17" s="144"/>
    </row>
    <row r="18" spans="1:19" ht="15">
      <c r="A18" s="117"/>
      <c r="B18" s="128"/>
      <c r="C18" s="129"/>
      <c r="D18" s="2661"/>
      <c r="E18" s="130" t="s">
        <v>220</v>
      </c>
      <c r="F18" s="131" t="s">
        <v>221</v>
      </c>
      <c r="G18" s="1365" t="s">
        <v>222</v>
      </c>
      <c r="H18" s="970" t="s">
        <v>223</v>
      </c>
      <c r="I18" s="971" t="s">
        <v>224</v>
      </c>
      <c r="J18" s="1981"/>
      <c r="K18" s="2623" t="s">
        <v>2573</v>
      </c>
      <c r="L18" s="2624" t="s">
        <v>2574</v>
      </c>
      <c r="M18" s="2625" t="s">
        <v>2575</v>
      </c>
      <c r="N18" s="2623" t="s">
        <v>2573</v>
      </c>
      <c r="O18" s="2624" t="s">
        <v>2574</v>
      </c>
      <c r="P18" s="2625" t="s">
        <v>2575</v>
      </c>
      <c r="R18" s="2297" t="s">
        <v>2311</v>
      </c>
      <c r="S18" s="2297" t="s">
        <v>2312</v>
      </c>
    </row>
    <row r="19" spans="1:19">
      <c r="A19" s="133"/>
      <c r="B19" s="115" t="s">
        <v>225</v>
      </c>
      <c r="C19" s="2988" t="s">
        <v>3082</v>
      </c>
      <c r="D19" s="111">
        <f t="shared" ref="D19:D26" si="1">ROUND($D$3*E19/$E$3,2)</f>
        <v>37649</v>
      </c>
      <c r="E19" s="134">
        <f t="shared" ref="E19:E26" si="2">SUM(F19:G19)</f>
        <v>82827.8</v>
      </c>
      <c r="F19" s="135">
        <f>'数据-基础表'!K13</f>
        <v>82827.8</v>
      </c>
      <c r="G19" s="1366"/>
      <c r="H19" s="972">
        <f>ROUND($D$3*I19/$E$3,2)</f>
        <v>0</v>
      </c>
      <c r="I19" s="116">
        <f>IF($I$17="自定义",P19,M19)</f>
        <v>0</v>
      </c>
      <c r="J19" s="1981"/>
      <c r="K19" s="2626">
        <f t="shared" ref="K19:K26" si="3">ROUND(E$28*E19/E$27,2)</f>
        <v>0</v>
      </c>
      <c r="L19" s="275">
        <f t="shared" ref="L19:L26" si="4">ROUND(IF(COUNTIF(C19,"*住宅*")&gt;0,E$29*E19/E$32,0),2)</f>
        <v>0</v>
      </c>
      <c r="M19" s="2627">
        <f>K19+L19</f>
        <v>0</v>
      </c>
      <c r="N19" s="2628"/>
      <c r="O19" s="2629"/>
      <c r="P19" s="2630">
        <f>N19+O19</f>
        <v>0</v>
      </c>
      <c r="R19" s="275">
        <f t="shared" ref="R19:S26" si="5">D19+H19</f>
        <v>37649</v>
      </c>
      <c r="S19" s="2298">
        <f t="shared" si="5"/>
        <v>82827.8</v>
      </c>
    </row>
    <row r="20" spans="1:19">
      <c r="A20" s="138"/>
      <c r="B20" s="115" t="s">
        <v>226</v>
      </c>
      <c r="C20" s="2988"/>
      <c r="D20" s="111">
        <f t="shared" si="1"/>
        <v>0</v>
      </c>
      <c r="E20" s="134">
        <f t="shared" si="2"/>
        <v>0</v>
      </c>
      <c r="F20" s="135"/>
      <c r="G20" s="1366"/>
      <c r="H20" s="972">
        <f t="shared" ref="H20:H26" si="6">ROUND($D$3*I20/$E$3,2)</f>
        <v>0</v>
      </c>
      <c r="I20" s="116">
        <f t="shared" ref="I20:I26" si="7">IF($I$17="自定义",P20,M20)</f>
        <v>0</v>
      </c>
      <c r="J20" s="1981"/>
      <c r="K20" s="2626">
        <f t="shared" si="3"/>
        <v>0</v>
      </c>
      <c r="L20" s="275">
        <f t="shared" si="4"/>
        <v>0</v>
      </c>
      <c r="M20" s="2627">
        <f t="shared" ref="M20:M26" si="8">K20+L20</f>
        <v>0</v>
      </c>
      <c r="N20" s="2628"/>
      <c r="O20" s="2629"/>
      <c r="P20" s="2630">
        <f t="shared" ref="P20:P26" si="9">N20+O20</f>
        <v>0</v>
      </c>
      <c r="R20" s="275">
        <f t="shared" si="5"/>
        <v>0</v>
      </c>
      <c r="S20" s="2298">
        <f t="shared" si="5"/>
        <v>0</v>
      </c>
    </row>
    <row r="21" spans="1:19">
      <c r="A21" s="138"/>
      <c r="B21" s="115" t="s">
        <v>226</v>
      </c>
      <c r="C21" s="2988"/>
      <c r="D21" s="111">
        <f t="shared" si="1"/>
        <v>0</v>
      </c>
      <c r="E21" s="134">
        <f t="shared" si="2"/>
        <v>0</v>
      </c>
      <c r="F21" s="135"/>
      <c r="G21" s="1366"/>
      <c r="H21" s="972">
        <f t="shared" si="6"/>
        <v>0</v>
      </c>
      <c r="I21" s="116">
        <f t="shared" si="7"/>
        <v>0</v>
      </c>
      <c r="J21" s="1981"/>
      <c r="K21" s="2626">
        <f t="shared" si="3"/>
        <v>0</v>
      </c>
      <c r="L21" s="275">
        <f t="shared" si="4"/>
        <v>0</v>
      </c>
      <c r="M21" s="2627">
        <f t="shared" si="8"/>
        <v>0</v>
      </c>
      <c r="N21" s="2628"/>
      <c r="O21" s="2629"/>
      <c r="P21" s="2630">
        <f t="shared" si="9"/>
        <v>0</v>
      </c>
      <c r="R21" s="275">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6">
        <f t="shared" si="3"/>
        <v>0</v>
      </c>
      <c r="L22" s="275">
        <f t="shared" si="4"/>
        <v>0</v>
      </c>
      <c r="M22" s="2627">
        <f t="shared" si="8"/>
        <v>0</v>
      </c>
      <c r="N22" s="2628"/>
      <c r="O22" s="2629"/>
      <c r="P22" s="2630">
        <f t="shared" si="9"/>
        <v>0</v>
      </c>
      <c r="R22" s="275">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6">
        <f t="shared" si="3"/>
        <v>0</v>
      </c>
      <c r="L23" s="275">
        <f t="shared" si="4"/>
        <v>0</v>
      </c>
      <c r="M23" s="2627">
        <f t="shared" si="8"/>
        <v>0</v>
      </c>
      <c r="N23" s="2628"/>
      <c r="O23" s="2629"/>
      <c r="P23" s="2630">
        <f t="shared" si="9"/>
        <v>0</v>
      </c>
      <c r="R23" s="275">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6">
        <f t="shared" si="3"/>
        <v>0</v>
      </c>
      <c r="L24" s="275">
        <f t="shared" si="4"/>
        <v>0</v>
      </c>
      <c r="M24" s="2627">
        <f t="shared" si="8"/>
        <v>0</v>
      </c>
      <c r="N24" s="2628"/>
      <c r="O24" s="2629"/>
      <c r="P24" s="2630">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6">
        <f t="shared" si="3"/>
        <v>0</v>
      </c>
      <c r="L25" s="275">
        <f t="shared" si="4"/>
        <v>0</v>
      </c>
      <c r="M25" s="2627">
        <f t="shared" si="8"/>
        <v>0</v>
      </c>
      <c r="N25" s="2628"/>
      <c r="O25" s="2629"/>
      <c r="P25" s="2630">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1">
        <f t="shared" si="3"/>
        <v>0</v>
      </c>
      <c r="L26" s="280">
        <f t="shared" si="4"/>
        <v>0</v>
      </c>
      <c r="M26" s="146">
        <f t="shared" si="8"/>
        <v>0</v>
      </c>
      <c r="N26" s="2632"/>
      <c r="O26" s="2633"/>
      <c r="P26" s="2634">
        <f t="shared" si="9"/>
        <v>0</v>
      </c>
      <c r="R26" s="275">
        <f t="shared" si="5"/>
        <v>0</v>
      </c>
      <c r="S26" s="2298">
        <f t="shared" si="5"/>
        <v>0</v>
      </c>
    </row>
    <row r="27" spans="1:19" ht="15.75" thickBot="1">
      <c r="A27" s="138"/>
      <c r="B27" s="111"/>
      <c r="C27" s="127" t="s">
        <v>215</v>
      </c>
      <c r="D27" s="134">
        <f>SUM(D19:D26)</f>
        <v>37649</v>
      </c>
      <c r="E27" s="143">
        <f>IF(SUM(E19:E26)='数据-基础表'!BA5,SUM(E19:E26),IF(F27="地上面积有误","面积有误","地下面积有误"))</f>
        <v>82827.8</v>
      </c>
      <c r="F27" s="134">
        <f>IF(SUM(F19:F26)=E8,SUM(F19:F26),"地上面积有误")</f>
        <v>82827.8</v>
      </c>
      <c r="G27" s="112">
        <f>SUM(G19:G26)</f>
        <v>0</v>
      </c>
      <c r="H27" s="973">
        <f>SUM(H19:H26)</f>
        <v>0</v>
      </c>
      <c r="I27" s="974">
        <f>SUM(I19:I26)</f>
        <v>0</v>
      </c>
      <c r="J27" s="1981"/>
      <c r="K27" s="2635">
        <f>SUM(K19:K26)</f>
        <v>0</v>
      </c>
      <c r="L27" s="2636">
        <f>SUM(L19:L26)</f>
        <v>0</v>
      </c>
      <c r="M27" s="2637">
        <f>SUM(M19:M26)</f>
        <v>0</v>
      </c>
      <c r="N27" s="2635">
        <f t="shared" ref="N27:O27" si="10">SUM(N19:N26)</f>
        <v>0</v>
      </c>
      <c r="O27" s="2636">
        <f t="shared" si="10"/>
        <v>0</v>
      </c>
      <c r="P27" s="2638">
        <f>SUM(P19:P26)</f>
        <v>0</v>
      </c>
      <c r="R27" s="2302">
        <f>IF(SUM(R19:R26)=$D$3,SUM(R19:R26),SUM(R19:R26)&amp;"误差"&amp;ROUND(SUM(R19:R26)-$D$3,2))</f>
        <v>37649</v>
      </c>
      <c r="S27" s="275">
        <f>IF(SUM(S19:S26)=$E$3,SUM(S19:S26),SUM(S19:S26)&amp;"误差"&amp;ROUND(SUM(S19:S26)-E3,2))</f>
        <v>82827.8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2324</v>
      </c>
      <c r="D31" s="1370">
        <f>D27+D30</f>
        <v>37649</v>
      </c>
      <c r="E31" s="1370">
        <f>E27+E30</f>
        <v>82827.8</v>
      </c>
      <c r="F31" s="1371">
        <f>F27+F30</f>
        <v>82827.8</v>
      </c>
      <c r="G31" s="1372">
        <f>G27+G30</f>
        <v>0</v>
      </c>
      <c r="H31" s="1981"/>
      <c r="I31" s="1981"/>
      <c r="J31" s="1981"/>
      <c r="K31" s="1981"/>
      <c r="L31" s="1981"/>
    </row>
    <row r="32" spans="1:19">
      <c r="A32" s="1981"/>
      <c r="B32" s="2360" t="s">
        <v>2323</v>
      </c>
      <c r="C32" s="2666"/>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33" activePane="bottomRight" state="frozen"/>
      <selection pane="topRight" activeCell="D1" sqref="D1"/>
      <selection pane="bottomLeft" activeCell="A4" sqref="A4"/>
      <selection pane="bottomRight" activeCell="F51" sqref="F51"/>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43061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2834</v>
      </c>
      <c r="O5" s="163" t="s">
        <v>246</v>
      </c>
      <c r="P5" s="165" t="s">
        <v>247</v>
      </c>
      <c r="Q5" s="166" t="s">
        <v>248</v>
      </c>
      <c r="R5" s="167" t="s">
        <v>249</v>
      </c>
      <c r="S5" s="2639" t="s">
        <v>2576</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2325</v>
      </c>
      <c r="AI5" s="171" t="s">
        <v>2294</v>
      </c>
      <c r="AJ5" s="171" t="s">
        <v>258</v>
      </c>
      <c r="AK5" s="159" t="s">
        <v>259</v>
      </c>
      <c r="AL5" s="159" t="s">
        <v>260</v>
      </c>
      <c r="AM5" s="172"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商业</v>
      </c>
      <c r="B6" s="2334" t="str">
        <f>IF(A6=0,"","经营性")</f>
        <v>经营性</v>
      </c>
      <c r="C6" s="173" t="s">
        <v>2987</v>
      </c>
      <c r="D6" s="2305">
        <f>SUMIF(项目基本情况!D$15:I$15,C6,项目基本情况!D$18:I$18)</f>
        <v>40</v>
      </c>
      <c r="E6" s="2306">
        <f>IF(B6="","",SUMIF(项目基本情况!D$15:I$15,C6,项目基本情况!D$17:I$17))</f>
        <v>56309</v>
      </c>
      <c r="F6" s="174">
        <f>SUMIF(项目基本情况!D$15:I$15,C6,项目基本情况!D$19:I$19)</f>
        <v>36.29</v>
      </c>
      <c r="G6" s="175">
        <f>IF(ISERROR(ROUND(POWER(1+H6,D6-F6)*(POWER(1+H6,F6)-1)/(POWER(1+H6,D6)-1),3)),0,ROUND(POWER(1+H6,D6-F6)*(POWER(1+H6,F6)-1)/(POWER(1+H6,D6)-1),3))</f>
        <v>0.96299999999999997</v>
      </c>
      <c r="H6" s="2989">
        <v>4.4999999999999998E-2</v>
      </c>
      <c r="I6" s="2989">
        <v>0.05</v>
      </c>
      <c r="J6" s="176">
        <v>0.08</v>
      </c>
      <c r="K6" s="179">
        <f>SUMIF('数据-汇总表'!C$19:C$33,'数据-取费表'!A6,'数据-汇总表'!E$19:E$33)</f>
        <v>82827.8</v>
      </c>
      <c r="L6" s="2990">
        <v>2500</v>
      </c>
      <c r="M6" s="177">
        <f t="shared" ref="M6:M14" si="0">ROUND(K6*L6/10000,0)</f>
        <v>20707</v>
      </c>
      <c r="N6" s="2991">
        <v>0</v>
      </c>
      <c r="O6" s="177">
        <f>IF($N$5="成新度","——",ROUND(M6*N6,0))</f>
        <v>0</v>
      </c>
      <c r="P6" s="178">
        <f>IF($N$5="成新度","——",M6-O6)</f>
        <v>20707</v>
      </c>
      <c r="Q6" s="2992">
        <v>0.25</v>
      </c>
      <c r="R6" s="179">
        <f>SUMIF('数据-汇总表'!C$19:C$33,A6,'数据-汇总表'!R$19:R$33)</f>
        <v>37649</v>
      </c>
      <c r="S6" s="132">
        <f>IF('数据-汇总表'!$I$17="按面积比例",SUMIF('数据-汇总表'!C$19:C$33,A6,'数据-汇总表'!K$19:K$33),SUMIF('数据-汇总表'!C$19:C$33,A6,'数据-汇总表'!N$19:N$33))</f>
        <v>0</v>
      </c>
      <c r="T6" s="2231" t="str">
        <f>IF($T$4="按面积比例",IF(ISERROR(ROUND($M$14*S6/S$16,0)),"0",ROUND($M$14*S6/S$16,0)),"需自行计算录入")</f>
        <v>0</v>
      </c>
      <c r="U6" s="180">
        <v>1.4</v>
      </c>
      <c r="V6" s="181">
        <v>0.02</v>
      </c>
      <c r="W6" s="181">
        <v>0.15</v>
      </c>
      <c r="X6" s="2318"/>
      <c r="Y6" s="182">
        <v>1</v>
      </c>
      <c r="Z6" s="183"/>
      <c r="AA6" s="176"/>
      <c r="AB6" s="176"/>
      <c r="AC6" s="2321"/>
      <c r="AD6" s="184"/>
      <c r="AE6" s="970">
        <f ca="1">IF(AN6="",0,SUMIF(INDIRECT("'"&amp;AN6&amp;"'"&amp;"!E:E"),$AE$5,INDIRECT("'"&amp;AN6&amp;"'"&amp;"!F:F")))</f>
        <v>34.29</v>
      </c>
      <c r="AF6" s="141"/>
      <c r="AG6" s="1211">
        <f>IF(AF6="",0,AE6-AF6)</f>
        <v>0</v>
      </c>
      <c r="AH6" s="141"/>
      <c r="AI6" s="187">
        <v>365</v>
      </c>
      <c r="AJ6" s="188"/>
      <c r="AK6" s="3115">
        <v>1.4999999999999999E-2</v>
      </c>
      <c r="AL6" s="3116">
        <v>1.5E-3</v>
      </c>
      <c r="AM6" s="3117">
        <v>0.01</v>
      </c>
      <c r="AN6" s="2413" t="s">
        <v>3003</v>
      </c>
      <c r="AO6" s="1997"/>
      <c r="AP6" s="1202">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9"/>
      <c r="I7" s="2989"/>
      <c r="J7" s="176"/>
      <c r="K7" s="179">
        <f>SUMIF('数据-汇总表'!C$19:C$33,'数据-取费表'!A7,'数据-汇总表'!E$19:E$33)</f>
        <v>0</v>
      </c>
      <c r="L7" s="2990"/>
      <c r="M7" s="177">
        <f t="shared" si="0"/>
        <v>0</v>
      </c>
      <c r="N7" s="2991">
        <v>0</v>
      </c>
      <c r="O7" s="177">
        <f t="shared" ref="O7:O14" si="3">IF($N$5="成新度","——",ROUND(M7*N7,0))</f>
        <v>0</v>
      </c>
      <c r="P7" s="178">
        <f t="shared" ref="P7:P14" si="4">IF($N$5="成新度","——",M7-O7)</f>
        <v>0</v>
      </c>
      <c r="Q7" s="2992"/>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34.29</v>
      </c>
      <c r="AF7" s="141"/>
      <c r="AG7" s="1211">
        <f t="shared" ref="AG7:AG13" si="7">IF(AF7="",0,AE7-AF7)</f>
        <v>0</v>
      </c>
      <c r="AH7" s="141"/>
      <c r="AI7" s="187">
        <v>365</v>
      </c>
      <c r="AJ7" s="188"/>
      <c r="AK7" s="3115"/>
      <c r="AL7" s="3116"/>
      <c r="AM7" s="3117"/>
      <c r="AN7" s="2413" t="s">
        <v>3003</v>
      </c>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89"/>
      <c r="I8" s="2989"/>
      <c r="J8" s="176"/>
      <c r="K8" s="179">
        <f>SUMIF('数据-汇总表'!C$19:C$33,'数据-取费表'!A8,'数据-汇总表'!E$19:E$33)</f>
        <v>0</v>
      </c>
      <c r="L8" s="2990"/>
      <c r="M8" s="177">
        <f>ROUND(K8*L8/10000,0)</f>
        <v>0</v>
      </c>
      <c r="N8" s="2991"/>
      <c r="O8" s="177">
        <f t="shared" si="3"/>
        <v>0</v>
      </c>
      <c r="P8" s="178">
        <f t="shared" si="4"/>
        <v>0</v>
      </c>
      <c r="Q8" s="2992"/>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411"/>
      <c r="AN8" s="2413"/>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411"/>
      <c r="AN9" s="2413"/>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411"/>
      <c r="AN10" s="2413"/>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1681</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1681</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82827.8</v>
      </c>
      <c r="L16" s="206">
        <f>ROUND(M16*10000/SUM(K6:K14),0)</f>
        <v>2500</v>
      </c>
      <c r="M16" s="206">
        <f>SUM(M6:M14)</f>
        <v>20707</v>
      </c>
      <c r="N16" s="207">
        <f>ROUND(SUMPRODUCT(M6:M14,N6:N14)/M16,3)</f>
        <v>0</v>
      </c>
      <c r="O16" s="206">
        <f>SUM(O6:O14)</f>
        <v>0</v>
      </c>
      <c r="P16" s="206">
        <f>SUM(P6:P14)</f>
        <v>20707</v>
      </c>
      <c r="Q16" s="208">
        <f>ROUND(SUMPRODUCT(Q6:Q13,K6:K13)/SUMPRODUCT((Q6:Q13&gt;0)*(K6:K13)),2)</f>
        <v>0.25</v>
      </c>
      <c r="R16" s="2308">
        <f>SUM(R6:R13)</f>
        <v>37649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227">
        <v>30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2340</v>
      </c>
      <c r="B28" s="229">
        <v>30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150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2896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2897</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150</v>
      </c>
      <c r="C35" s="2362" t="s">
        <v>2898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0.03</v>
      </c>
      <c r="C38" s="2362" t="s">
        <v>2900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6.3840000000000008E-2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5.6000000000000001E-2</v>
      </c>
      <c r="C42" s="3057">
        <f>IF(B2&lt;DATE(2016,5,1),0,B42)</f>
        <v>5.6000000000000001E-2</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7.8400000000000015E-3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0.04</v>
      </c>
      <c r="C46" s="2364" t="s">
        <v>2903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32" t="s">
        <v>2904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33" t="s">
        <v>2905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33" t="s">
        <v>2906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1157</v>
      </c>
      <c r="C53" s="3034" t="s">
        <v>2907</v>
      </c>
      <c r="D53" s="3035" t="s">
        <v>3038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37" t="s">
        <v>2908</v>
      </c>
      <c r="B54" s="186"/>
      <c r="C54" s="1991">
        <v>30</v>
      </c>
      <c r="D54" s="303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37" t="s">
        <v>2909</v>
      </c>
      <c r="B55" s="186">
        <v>6</v>
      </c>
      <c r="C55" s="1991">
        <v>24</v>
      </c>
      <c r="D55" s="303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37" t="s">
        <v>2910</v>
      </c>
      <c r="B56" s="186"/>
      <c r="C56" s="1991">
        <v>18</v>
      </c>
      <c r="D56" s="303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37" t="s">
        <v>2911</v>
      </c>
      <c r="B57" s="186"/>
      <c r="C57" s="1991">
        <v>12</v>
      </c>
      <c r="D57" s="303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37" t="s">
        <v>2912</v>
      </c>
      <c r="B58" s="186"/>
      <c r="C58" s="1991">
        <v>3</v>
      </c>
      <c r="D58" s="303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37" t="s">
        <v>2913</v>
      </c>
      <c r="B59" s="186"/>
      <c r="C59" s="1991">
        <v>1.5</v>
      </c>
      <c r="D59" s="303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37" t="s">
        <v>2914</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37" t="s">
        <v>2915</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37" t="s">
        <v>2916</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38" t="s">
        <v>2917</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09" t="s">
        <v>1665</v>
      </c>
      <c r="B1" s="3210"/>
      <c r="C1" s="3210"/>
      <c r="D1" s="3210"/>
      <c r="E1" s="3210"/>
      <c r="F1" s="3210"/>
      <c r="G1" s="3210"/>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54">
      <c r="A3" s="1225" t="s">
        <v>1668</v>
      </c>
      <c r="B3" s="1226" t="s">
        <v>1655</v>
      </c>
      <c r="C3" s="3039" t="s">
        <v>2924</v>
      </c>
      <c r="D3" s="2006"/>
      <c r="E3" s="1227" t="s">
        <v>1668</v>
      </c>
      <c r="F3" s="1228" t="s">
        <v>1656</v>
      </c>
      <c r="G3" s="3043" t="s">
        <v>2923</v>
      </c>
      <c r="H3" s="2005"/>
      <c r="I3" s="2005"/>
      <c r="J3" s="2005"/>
      <c r="K3" s="2005"/>
      <c r="L3" s="2005"/>
      <c r="M3" s="2005"/>
      <c r="N3" s="2005"/>
      <c r="O3" s="2005"/>
      <c r="P3" s="2005"/>
      <c r="Q3" s="2005"/>
      <c r="R3" s="2005"/>
    </row>
    <row r="4" spans="1:18" ht="41.25">
      <c r="A4" s="1227"/>
      <c r="B4" s="1229" t="s">
        <v>1669</v>
      </c>
      <c r="C4" s="3040" t="s">
        <v>2925</v>
      </c>
      <c r="D4" s="2006"/>
      <c r="E4" s="1230"/>
      <c r="F4" s="1231" t="s">
        <v>1670</v>
      </c>
      <c r="G4" s="3041" t="s">
        <v>2920</v>
      </c>
      <c r="H4" s="2005"/>
      <c r="I4" s="2005"/>
      <c r="J4" s="2005"/>
      <c r="K4" s="2005"/>
      <c r="L4" s="2005"/>
      <c r="M4" s="2005"/>
      <c r="N4" s="2005"/>
      <c r="O4" s="2005"/>
      <c r="P4" s="2005"/>
      <c r="Q4" s="2005"/>
      <c r="R4" s="2005"/>
    </row>
    <row r="5" spans="1:18" ht="41.25">
      <c r="A5" s="1227"/>
      <c r="B5" s="1229" t="s">
        <v>1671</v>
      </c>
      <c r="C5" s="3040" t="s">
        <v>2926</v>
      </c>
      <c r="D5" s="2006"/>
      <c r="E5" s="1230"/>
      <c r="F5" s="1229" t="s">
        <v>2550</v>
      </c>
      <c r="G5" s="3041" t="s">
        <v>2921</v>
      </c>
      <c r="H5" s="2005"/>
      <c r="I5" s="2005"/>
      <c r="J5" s="2005"/>
      <c r="K5" s="2005"/>
      <c r="L5" s="2005"/>
      <c r="M5" s="2005"/>
      <c r="N5" s="2005"/>
      <c r="O5" s="2005"/>
      <c r="P5" s="2005"/>
      <c r="Q5" s="2005"/>
      <c r="R5" s="2005"/>
    </row>
    <row r="6" spans="1:18" ht="54">
      <c r="A6" s="1227"/>
      <c r="B6" s="1229" t="s">
        <v>1657</v>
      </c>
      <c r="C6" s="3041" t="s">
        <v>2920</v>
      </c>
      <c r="D6" s="2006"/>
      <c r="E6" s="1230"/>
      <c r="F6" s="1229" t="s">
        <v>2551</v>
      </c>
      <c r="G6" s="3041" t="s">
        <v>2918</v>
      </c>
      <c r="H6" s="2005"/>
      <c r="I6" s="2005"/>
      <c r="J6" s="2005"/>
      <c r="K6" s="2005"/>
      <c r="L6" s="2005"/>
      <c r="M6" s="2005"/>
      <c r="N6" s="2005"/>
      <c r="O6" s="2005"/>
      <c r="P6" s="2005"/>
      <c r="Q6" s="2005"/>
      <c r="R6" s="2005"/>
    </row>
    <row r="7" spans="1:18" ht="41.25" thickBot="1">
      <c r="A7" s="1227"/>
      <c r="B7" s="1229" t="s">
        <v>2550</v>
      </c>
      <c r="C7" s="3041" t="s">
        <v>2921</v>
      </c>
      <c r="D7" s="2007"/>
      <c r="E7" s="1232"/>
      <c r="F7" s="1233" t="s">
        <v>1672</v>
      </c>
      <c r="G7" s="3044" t="s">
        <v>2922</v>
      </c>
      <c r="H7" s="2005"/>
      <c r="I7" s="2005"/>
      <c r="J7" s="2005"/>
      <c r="K7" s="2005"/>
      <c r="L7" s="2005"/>
      <c r="M7" s="2005"/>
      <c r="N7" s="2005"/>
      <c r="O7" s="2005"/>
      <c r="P7" s="2005"/>
      <c r="Q7" s="2005"/>
      <c r="R7" s="2005"/>
    </row>
    <row r="8" spans="1:18" ht="27">
      <c r="A8" s="1227"/>
      <c r="B8" s="1229" t="s">
        <v>2551</v>
      </c>
      <c r="C8" s="3041" t="s">
        <v>2918</v>
      </c>
      <c r="D8" s="2007"/>
      <c r="E8" s="2007"/>
      <c r="F8" s="1552"/>
      <c r="G8" s="1552"/>
      <c r="H8" s="2005"/>
      <c r="I8" s="2005"/>
      <c r="J8" s="2005"/>
      <c r="K8" s="2005"/>
      <c r="L8" s="2005"/>
      <c r="M8" s="2005"/>
      <c r="N8" s="2005"/>
      <c r="O8" s="2005"/>
      <c r="P8" s="2005"/>
      <c r="Q8" s="2005"/>
      <c r="R8" s="2005"/>
    </row>
    <row r="9" spans="1:18" ht="40.5">
      <c r="A9" s="1227"/>
      <c r="B9" s="1229" t="s">
        <v>1658</v>
      </c>
      <c r="C9" s="3040" t="s">
        <v>2919</v>
      </c>
      <c r="D9" s="2006"/>
      <c r="E9" s="2007"/>
      <c r="F9" s="1552"/>
      <c r="G9" s="1552"/>
      <c r="H9" s="2005"/>
      <c r="I9" s="2005"/>
      <c r="J9" s="2005"/>
      <c r="K9" s="2005"/>
      <c r="L9" s="2005"/>
      <c r="M9" s="2005"/>
      <c r="N9" s="2005"/>
      <c r="O9" s="2005"/>
      <c r="P9" s="2005"/>
      <c r="Q9" s="2005"/>
      <c r="R9" s="2005"/>
    </row>
    <row r="10" spans="1:18" s="2013" customFormat="1" ht="15" thickBot="1">
      <c r="A10" s="1234"/>
      <c r="B10" s="1235" t="s">
        <v>1673</v>
      </c>
      <c r="C10" s="3042"/>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6"/>
      <c r="E12" s="2006"/>
      <c r="F12" s="2007"/>
      <c r="G12" s="2009"/>
      <c r="H12" s="2014"/>
      <c r="I12" s="2015"/>
      <c r="J12" s="2014"/>
      <c r="K12" s="2014"/>
      <c r="L12" s="2016"/>
      <c r="M12" s="2014"/>
      <c r="N12" s="2017"/>
      <c r="O12" s="2018"/>
      <c r="P12" s="2019"/>
      <c r="Q12" s="2017"/>
      <c r="R12" s="2003"/>
    </row>
    <row r="13" spans="1:18" ht="19.5" thickBot="1">
      <c r="A13" s="2595" t="s">
        <v>1674</v>
      </c>
      <c r="B13" s="2596"/>
      <c r="C13" s="2596"/>
      <c r="D13" s="1222"/>
      <c r="E13" s="2596"/>
      <c r="F13" s="2596"/>
      <c r="G13" s="2596"/>
    </row>
    <row r="14" spans="1:18" ht="14.25" thickBot="1">
      <c r="A14" s="1236"/>
      <c r="B14" s="1237"/>
      <c r="C14" s="1238" t="s">
        <v>1666</v>
      </c>
      <c r="D14" s="2006"/>
      <c r="E14" s="1239"/>
      <c r="F14" s="1239"/>
      <c r="G14" s="1221" t="s">
        <v>1667</v>
      </c>
    </row>
    <row r="15" spans="1:18" ht="54">
      <c r="A15" s="2606" t="s">
        <v>1659</v>
      </c>
      <c r="B15" s="1240" t="s">
        <v>1655</v>
      </c>
      <c r="C15" s="1241" t="str">
        <f>C3</f>
        <v>估价对象周边居住用地比例、居住小区规模和社区发展完善程度，综合评价居住社区成熟度一般</v>
      </c>
      <c r="D15" s="2006"/>
      <c r="E15" s="2603" t="s">
        <v>1660</v>
      </c>
      <c r="F15" s="1240" t="s">
        <v>1675</v>
      </c>
      <c r="G15" s="1242" t="str">
        <f>G3</f>
        <v>估价对象位于XX开发区，园区建设成熟度XX，产业集聚程度XX</v>
      </c>
    </row>
    <row r="16" spans="1:18" ht="40.5">
      <c r="A16" s="2607"/>
      <c r="B16" s="1243" t="s">
        <v>1669</v>
      </c>
      <c r="C16" s="1244" t="str">
        <f>C4</f>
        <v>估价对象位于XX商圈，周边商业氛围成熟，人流量大，商业繁华度好</v>
      </c>
      <c r="D16" s="2006"/>
      <c r="E16" s="2604"/>
      <c r="F16" s="1245" t="s">
        <v>1670</v>
      </c>
      <c r="G16" s="1003" t="str">
        <f>G4</f>
        <v>估价对象周边道路状况、公共交通通达情况、停车便捷程度，综合评价交通便捷度较好</v>
      </c>
    </row>
    <row r="17" spans="1:7" ht="40.5">
      <c r="A17" s="2607"/>
      <c r="B17" s="1243" t="s">
        <v>1671</v>
      </c>
      <c r="C17" s="1244" t="str">
        <f>C5</f>
        <v>估价对象位于XX商圈，周边办公楼项目较多，入驻率高，办公集聚程度较好</v>
      </c>
      <c r="D17" s="2007"/>
      <c r="E17" s="2604"/>
      <c r="F17" s="1245" t="s">
        <v>1676</v>
      </c>
      <c r="G17" s="2814"/>
    </row>
    <row r="18" spans="1:7" ht="54">
      <c r="A18" s="2607"/>
      <c r="B18" s="1245" t="s">
        <v>1657</v>
      </c>
      <c r="C18" s="1003" t="str">
        <f>C6</f>
        <v>估价对象周边道路状况、公共交通通达情况、停车便捷程度，综合评价交通便捷度较好</v>
      </c>
      <c r="D18" s="2007"/>
      <c r="E18" s="2604"/>
      <c r="F18" s="1245" t="s">
        <v>1672</v>
      </c>
      <c r="G18" s="1003" t="str">
        <f>G7</f>
        <v>该园区内是否有污染型企业，绿化情况，卫生条件，整体环境状况判断</v>
      </c>
    </row>
    <row r="19" spans="1:7" ht="27">
      <c r="A19" s="2607"/>
      <c r="B19" s="1245" t="s">
        <v>1661</v>
      </c>
      <c r="C19" s="2814"/>
      <c r="D19" s="2006"/>
      <c r="E19" s="2604"/>
      <c r="F19" s="1229" t="s">
        <v>2550</v>
      </c>
      <c r="G19" s="1003" t="str">
        <f>G5</f>
        <v>估价对象所在区域公共配套设施齐备情况</v>
      </c>
    </row>
    <row r="20" spans="1:7" ht="40.5">
      <c r="A20" s="2607"/>
      <c r="B20" s="1245" t="s">
        <v>1662</v>
      </c>
      <c r="C20" s="1244" t="str">
        <f>C9</f>
        <v>区域自然环境：；人文环境；综合评价环境状况一般</v>
      </c>
      <c r="D20" s="2007"/>
      <c r="E20" s="2604"/>
      <c r="F20" s="1229" t="s">
        <v>2551</v>
      </c>
      <c r="G20" s="1003" t="str">
        <f>G6</f>
        <v>估价对象所在区域基础设施水平</v>
      </c>
    </row>
    <row r="21" spans="1:7" ht="27">
      <c r="A21" s="2607"/>
      <c r="B21" s="1229" t="s">
        <v>2550</v>
      </c>
      <c r="C21" s="1003" t="str">
        <f>C7</f>
        <v>估价对象所在区域公共配套设施齐备情况</v>
      </c>
      <c r="D21" s="2006"/>
      <c r="E21" s="2604"/>
      <c r="F21" s="1245" t="s">
        <v>1663</v>
      </c>
      <c r="G21" s="3045"/>
    </row>
    <row r="22" spans="1:7" ht="27">
      <c r="A22" s="2607"/>
      <c r="B22" s="1229" t="s">
        <v>2551</v>
      </c>
      <c r="C22" s="1003" t="str">
        <f>C8</f>
        <v>估价对象所在区域基础设施水平</v>
      </c>
      <c r="D22" s="2006"/>
      <c r="E22" s="2604"/>
      <c r="F22" s="1245" t="s">
        <v>1673</v>
      </c>
      <c r="G22" s="2814"/>
    </row>
    <row r="23" spans="1:7" ht="15" thickBot="1">
      <c r="A23" s="2607"/>
      <c r="B23" s="1245" t="s">
        <v>1663</v>
      </c>
      <c r="C23" s="3045"/>
      <c r="E23" s="2605"/>
      <c r="F23" s="1246" t="s">
        <v>1677</v>
      </c>
      <c r="G23" s="3046"/>
    </row>
    <row r="24" spans="1:7" ht="14.25" thickBot="1">
      <c r="A24" s="2608"/>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03" t="s">
        <v>2850</v>
      </c>
      <c r="B1" s="3003">
        <f>SUM(B14:B23)</f>
        <v>82827.8</v>
      </c>
      <c r="C1" s="3004"/>
      <c r="D1" s="3004"/>
      <c r="E1" s="3004"/>
      <c r="F1" s="3004"/>
    </row>
    <row r="2" spans="1:9" ht="16.5">
      <c r="A2" s="3003" t="s">
        <v>2851</v>
      </c>
      <c r="B2" s="3003">
        <f>SUM(C14:C23)</f>
        <v>37649</v>
      </c>
      <c r="C2" s="3004"/>
      <c r="D2" s="3004"/>
      <c r="E2" s="3004"/>
      <c r="F2" s="3004"/>
    </row>
    <row r="3" spans="1:9" ht="16.5">
      <c r="A3" s="3003" t="s">
        <v>2852</v>
      </c>
      <c r="B3" s="3005">
        <f>项目基本情况!D3</f>
        <v>43061</v>
      </c>
      <c r="C3" s="3004"/>
      <c r="D3" s="3004"/>
      <c r="E3" s="3004"/>
      <c r="F3" s="3004"/>
    </row>
    <row r="4" spans="1:9" ht="33">
      <c r="A4" s="3003" t="s">
        <v>2853</v>
      </c>
      <c r="B4" s="3003" t="s">
        <v>2854</v>
      </c>
      <c r="C4" s="3003" t="s">
        <v>2855</v>
      </c>
      <c r="D4" s="3003" t="s">
        <v>2856</v>
      </c>
      <c r="E4" s="3004"/>
      <c r="F4" s="3004"/>
    </row>
    <row r="5" spans="1:9" ht="16.5">
      <c r="A5" s="3003" t="s">
        <v>2857</v>
      </c>
      <c r="B5" s="3003">
        <f ca="1">SUM(D14:D23)</f>
        <v>6077</v>
      </c>
      <c r="C5" s="3003">
        <f ca="1">ROUND(B5*10000/$B$1,0)</f>
        <v>734</v>
      </c>
      <c r="D5" s="3003">
        <f ca="1">ROUND(B5*10000/$B$2,0)</f>
        <v>1614</v>
      </c>
      <c r="E5" s="3004"/>
      <c r="F5" s="3004"/>
    </row>
    <row r="6" spans="1:9" ht="16.5">
      <c r="A6" s="3003" t="s">
        <v>2858</v>
      </c>
      <c r="B6" s="3003">
        <f ca="1">SUM(G14:G23)</f>
        <v>6077</v>
      </c>
      <c r="C6" s="3003">
        <f t="shared" ref="C6:C8" ca="1" si="0">ROUND(B6*10000/$B$1,0)</f>
        <v>734</v>
      </c>
      <c r="D6" s="3003">
        <f t="shared" ref="D6:D8" ca="1" si="1">ROUND(B6*10000/$B$2,0)</f>
        <v>1614</v>
      </c>
      <c r="E6" s="3004"/>
      <c r="F6" s="3004"/>
    </row>
    <row r="7" spans="1:9" ht="16.5">
      <c r="A7" s="3003" t="s">
        <v>2859</v>
      </c>
      <c r="B7" s="3003">
        <f>SUM(H14:H23)</f>
        <v>0</v>
      </c>
      <c r="C7" s="3003">
        <f t="shared" si="0"/>
        <v>0</v>
      </c>
      <c r="D7" s="3003">
        <f t="shared" si="1"/>
        <v>0</v>
      </c>
      <c r="E7" s="3004"/>
      <c r="F7" s="3004"/>
    </row>
    <row r="8" spans="1:9" ht="16.5">
      <c r="A8" s="3003" t="s">
        <v>2860</v>
      </c>
      <c r="B8" s="3003">
        <f>SUM(I14:I23)</f>
        <v>0</v>
      </c>
      <c r="C8" s="3003">
        <f t="shared" si="0"/>
        <v>0</v>
      </c>
      <c r="D8" s="3003">
        <f t="shared" si="1"/>
        <v>0</v>
      </c>
      <c r="E8" s="3004"/>
      <c r="F8" s="3004"/>
    </row>
    <row r="9" spans="1:9" ht="16.5">
      <c r="A9" s="3003" t="s">
        <v>2861</v>
      </c>
      <c r="B9" s="3006"/>
      <c r="C9" s="3004"/>
      <c r="D9" s="3004"/>
      <c r="E9" s="3004"/>
      <c r="F9" s="3004"/>
    </row>
    <row r="10" spans="1:9" ht="16.5">
      <c r="A10" s="3003" t="s">
        <v>2862</v>
      </c>
      <c r="B10" s="3006"/>
      <c r="C10" s="3004"/>
      <c r="D10" s="3004"/>
      <c r="E10" s="3004"/>
      <c r="F10" s="3004"/>
    </row>
    <row r="11" spans="1:9" ht="16.5">
      <c r="A11" s="3003" t="s">
        <v>2879</v>
      </c>
      <c r="B11" s="3006"/>
      <c r="C11" s="3004"/>
      <c r="D11" s="3004"/>
      <c r="E11" s="3004"/>
      <c r="F11" s="3004"/>
    </row>
    <row r="12" spans="1:9" ht="16.5">
      <c r="A12" s="3004"/>
      <c r="B12" s="3004"/>
      <c r="C12" s="3004"/>
      <c r="D12" s="3004"/>
      <c r="E12" s="3004"/>
      <c r="F12" s="3004"/>
    </row>
    <row r="13" spans="1:9" ht="33">
      <c r="A13" s="3009" t="s">
        <v>2878</v>
      </c>
      <c r="B13" s="3007" t="s">
        <v>2850</v>
      </c>
      <c r="C13" s="3007" t="s">
        <v>2851</v>
      </c>
      <c r="D13" s="3007" t="s">
        <v>2863</v>
      </c>
      <c r="E13" s="3003" t="s">
        <v>2877</v>
      </c>
      <c r="F13" s="3003" t="s">
        <v>2856</v>
      </c>
      <c r="G13" s="3007" t="s">
        <v>2864</v>
      </c>
      <c r="H13" s="3007" t="s">
        <v>2865</v>
      </c>
      <c r="I13" s="3007" t="s">
        <v>2866</v>
      </c>
    </row>
    <row r="14" spans="1:9" ht="16.5">
      <c r="A14" s="3010" t="s">
        <v>2876</v>
      </c>
      <c r="B14" s="3007">
        <f>结果表!L38</f>
        <v>82827.8</v>
      </c>
      <c r="C14" s="3007">
        <f>结果表!K38</f>
        <v>37649</v>
      </c>
      <c r="D14" s="3007">
        <f ca="1">结果表!C42</f>
        <v>6077</v>
      </c>
      <c r="E14" s="3007">
        <f ca="1">ROUND(D14*10000/B14,0)</f>
        <v>734</v>
      </c>
      <c r="F14" s="3007">
        <f ca="1">ROUND(D14*10000/C14,0)</f>
        <v>1614</v>
      </c>
      <c r="G14" s="3007">
        <f ca="1">结果表!C44</f>
        <v>6077</v>
      </c>
      <c r="H14" s="3007" t="str">
        <f>结果表!C45</f>
        <v>——</v>
      </c>
      <c r="I14" s="3007" t="str">
        <f>结果表!C46</f>
        <v>——</v>
      </c>
    </row>
    <row r="15" spans="1:9" ht="16.5">
      <c r="A15" s="3010" t="s">
        <v>2867</v>
      </c>
      <c r="B15" s="3011"/>
      <c r="C15" s="3011"/>
      <c r="D15" s="3011"/>
      <c r="E15" s="3007" t="e">
        <f t="shared" ref="E15:E23" si="2">ROUND(D15*10000/B15,0)</f>
        <v>#DIV/0!</v>
      </c>
      <c r="F15" s="3007" t="e">
        <f t="shared" ref="F15:F23" si="3">ROUND(D15*10000/C15,0)</f>
        <v>#DIV/0!</v>
      </c>
      <c r="G15" s="3008"/>
      <c r="H15" s="3008"/>
      <c r="I15" s="3011"/>
    </row>
    <row r="16" spans="1:9" ht="16.5">
      <c r="A16" s="3010" t="s">
        <v>2868</v>
      </c>
      <c r="B16" s="3011"/>
      <c r="C16" s="3011"/>
      <c r="D16" s="3011"/>
      <c r="E16" s="3007" t="e">
        <f t="shared" si="2"/>
        <v>#DIV/0!</v>
      </c>
      <c r="F16" s="3007" t="e">
        <f t="shared" si="3"/>
        <v>#DIV/0!</v>
      </c>
      <c r="G16" s="3008"/>
      <c r="H16" s="3008"/>
      <c r="I16" s="3011"/>
    </row>
    <row r="17" spans="1:9" ht="16.5">
      <c r="A17" s="3010" t="s">
        <v>2869</v>
      </c>
      <c r="B17" s="3011"/>
      <c r="C17" s="3011"/>
      <c r="D17" s="3011"/>
      <c r="E17" s="3007" t="e">
        <f t="shared" si="2"/>
        <v>#DIV/0!</v>
      </c>
      <c r="F17" s="3007" t="e">
        <f t="shared" si="3"/>
        <v>#DIV/0!</v>
      </c>
      <c r="G17" s="3008"/>
      <c r="H17" s="3008"/>
      <c r="I17" s="3011"/>
    </row>
    <row r="18" spans="1:9" ht="16.5">
      <c r="A18" s="3010" t="s">
        <v>2870</v>
      </c>
      <c r="B18" s="3011"/>
      <c r="C18" s="3011"/>
      <c r="D18" s="3011"/>
      <c r="E18" s="3007" t="e">
        <f t="shared" si="2"/>
        <v>#DIV/0!</v>
      </c>
      <c r="F18" s="3007" t="e">
        <f t="shared" si="3"/>
        <v>#DIV/0!</v>
      </c>
      <c r="G18" s="3011"/>
      <c r="H18" s="3011"/>
      <c r="I18" s="3011"/>
    </row>
    <row r="19" spans="1:9" ht="16.5">
      <c r="A19" s="3010" t="s">
        <v>2871</v>
      </c>
      <c r="B19" s="3011"/>
      <c r="C19" s="3011"/>
      <c r="D19" s="3011"/>
      <c r="E19" s="3007" t="e">
        <f t="shared" si="2"/>
        <v>#DIV/0!</v>
      </c>
      <c r="F19" s="3007" t="e">
        <f t="shared" si="3"/>
        <v>#DIV/0!</v>
      </c>
      <c r="G19" s="3011"/>
      <c r="H19" s="3011"/>
      <c r="I19" s="3011"/>
    </row>
    <row r="20" spans="1:9" ht="16.5">
      <c r="A20" s="3010" t="s">
        <v>2872</v>
      </c>
      <c r="B20" s="3011"/>
      <c r="C20" s="3011"/>
      <c r="D20" s="3011"/>
      <c r="E20" s="3007" t="e">
        <f t="shared" si="2"/>
        <v>#DIV/0!</v>
      </c>
      <c r="F20" s="3007" t="e">
        <f t="shared" si="3"/>
        <v>#DIV/0!</v>
      </c>
      <c r="G20" s="3011"/>
      <c r="H20" s="3011"/>
      <c r="I20" s="3011"/>
    </row>
    <row r="21" spans="1:9" ht="16.5">
      <c r="A21" s="3010" t="s">
        <v>2873</v>
      </c>
      <c r="B21" s="3011"/>
      <c r="C21" s="3011"/>
      <c r="D21" s="3011"/>
      <c r="E21" s="3007" t="e">
        <f t="shared" si="2"/>
        <v>#DIV/0!</v>
      </c>
      <c r="F21" s="3007" t="e">
        <f t="shared" si="3"/>
        <v>#DIV/0!</v>
      </c>
      <c r="G21" s="3011"/>
      <c r="H21" s="3011"/>
      <c r="I21" s="3011"/>
    </row>
    <row r="22" spans="1:9" ht="16.5">
      <c r="A22" s="3010" t="s">
        <v>2874</v>
      </c>
      <c r="B22" s="3011"/>
      <c r="C22" s="3011"/>
      <c r="D22" s="3011"/>
      <c r="E22" s="3007" t="e">
        <f t="shared" si="2"/>
        <v>#DIV/0!</v>
      </c>
      <c r="F22" s="3007" t="e">
        <f t="shared" si="3"/>
        <v>#DIV/0!</v>
      </c>
      <c r="G22" s="3011"/>
      <c r="H22" s="3011"/>
      <c r="I22" s="3011"/>
    </row>
    <row r="23" spans="1:9" ht="16.5">
      <c r="A23" s="3010" t="s">
        <v>2875</v>
      </c>
      <c r="B23" s="3011"/>
      <c r="C23" s="3011"/>
      <c r="D23" s="3011"/>
      <c r="E23" s="3003" t="e">
        <f t="shared" si="2"/>
        <v>#DIV/0!</v>
      </c>
      <c r="F23" s="3003" t="e">
        <f t="shared" si="3"/>
        <v>#DIV/0!</v>
      </c>
      <c r="G23" s="3011"/>
      <c r="H23" s="3011"/>
      <c r="I23" s="301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B13" zoomScaleSheetLayoutView="100" zoomScalePageLayoutView="80" workbookViewId="0">
      <selection activeCell="G20" sqref="G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2057</v>
      </c>
      <c r="B1" s="1774"/>
      <c r="C1" s="1802" t="s">
        <v>2058</v>
      </c>
      <c r="D1" s="1803" t="s">
        <v>3077</v>
      </c>
      <c r="E1" s="1802" t="s">
        <v>2059</v>
      </c>
      <c r="F1" s="1804" t="s">
        <v>3078</v>
      </c>
      <c r="G1" s="311"/>
      <c r="H1" s="311"/>
      <c r="I1" s="311"/>
      <c r="J1" s="2026"/>
      <c r="K1" s="2026"/>
      <c r="L1" s="2026"/>
      <c r="M1" s="2026"/>
      <c r="N1" s="2026"/>
      <c r="O1" s="2026"/>
      <c r="P1" s="2026"/>
      <c r="Q1" s="2026"/>
      <c r="R1" s="2026"/>
      <c r="S1" s="2026"/>
      <c r="T1" s="2026"/>
      <c r="U1" s="2026"/>
      <c r="V1" s="2026"/>
    </row>
    <row r="2" spans="1:22" ht="21.75" customHeight="1" thickBot="1">
      <c r="A2" s="3256" t="str">
        <f>项目基本情况!K2</f>
        <v>湖北省天门市竟陵永丰村出让国有建设用地使用权</v>
      </c>
      <c r="B2" s="3257"/>
      <c r="C2" s="3258"/>
      <c r="D2" s="3258"/>
      <c r="E2" s="3258"/>
      <c r="F2" s="3258"/>
      <c r="G2" s="3257"/>
      <c r="H2" s="3257"/>
      <c r="I2" s="3259"/>
      <c r="J2" s="2027"/>
      <c r="K2" s="2026"/>
      <c r="L2" s="2026"/>
      <c r="M2" s="2026"/>
      <c r="N2" s="2026"/>
      <c r="O2" s="2026"/>
      <c r="P2" s="2026"/>
      <c r="Q2" s="2026"/>
      <c r="R2" s="2026"/>
      <c r="S2" s="2026"/>
      <c r="T2" s="2026"/>
      <c r="U2" s="2026"/>
      <c r="V2" s="2026"/>
    </row>
    <row r="3" spans="1:22" ht="14.25">
      <c r="A3" s="3267" t="s">
        <v>298</v>
      </c>
      <c r="B3" s="3268"/>
      <c r="C3" s="3268"/>
      <c r="D3" s="3268"/>
      <c r="E3" s="3268"/>
      <c r="F3" s="3268"/>
      <c r="G3" s="3268"/>
      <c r="H3" s="3268"/>
      <c r="I3" s="3268"/>
      <c r="J3" s="2027"/>
      <c r="K3" s="2026"/>
      <c r="L3" s="2026"/>
      <c r="M3" s="2026"/>
      <c r="N3" s="2026"/>
      <c r="O3" s="2026"/>
      <c r="P3" s="2026"/>
      <c r="Q3" s="2026"/>
      <c r="R3" s="2026"/>
      <c r="S3" s="2026"/>
      <c r="T3" s="2026"/>
      <c r="U3" s="2026"/>
      <c r="V3" s="2026"/>
    </row>
    <row r="4" spans="1:22" ht="14.25">
      <c r="A4" s="258" t="s">
        <v>299</v>
      </c>
      <c r="B4" s="259" t="s">
        <v>300</v>
      </c>
      <c r="C4" s="260" t="s">
        <v>3079</v>
      </c>
      <c r="D4" s="260" t="s">
        <v>3080</v>
      </c>
      <c r="E4" s="3231" t="s">
        <v>301</v>
      </c>
      <c r="F4" s="3273"/>
      <c r="G4" s="3273"/>
      <c r="H4" s="3273"/>
      <c r="I4" s="3232"/>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260" t="s">
        <v>302</v>
      </c>
      <c r="B5" s="3261">
        <v>25</v>
      </c>
      <c r="C5" s="3269"/>
      <c r="D5" s="3272"/>
      <c r="E5" s="261" t="s">
        <v>303</v>
      </c>
      <c r="F5" s="262"/>
      <c r="G5" s="262"/>
      <c r="H5" s="262"/>
      <c r="I5" s="263"/>
      <c r="J5" s="2027"/>
      <c r="K5" s="2026"/>
      <c r="L5" s="2026"/>
      <c r="M5" s="2026"/>
      <c r="N5" s="2026"/>
      <c r="O5" s="2026"/>
      <c r="P5" s="2026"/>
      <c r="Q5" s="2026"/>
      <c r="R5" s="2026"/>
      <c r="S5" s="2026"/>
      <c r="T5" s="2026"/>
      <c r="U5" s="2026"/>
      <c r="V5" s="2026"/>
    </row>
    <row r="6" spans="1:22" ht="14.25">
      <c r="A6" s="3260"/>
      <c r="B6" s="3261"/>
      <c r="C6" s="3270"/>
      <c r="D6" s="3272"/>
      <c r="E6" s="261" t="s">
        <v>304</v>
      </c>
      <c r="F6" s="262"/>
      <c r="G6" s="262"/>
      <c r="H6" s="262"/>
      <c r="I6" s="263"/>
      <c r="J6" s="2027"/>
      <c r="K6" s="2026"/>
      <c r="L6" s="2026"/>
      <c r="M6" s="2026"/>
      <c r="N6" s="2026"/>
      <c r="O6" s="2026"/>
      <c r="P6" s="2026"/>
      <c r="Q6" s="2026"/>
      <c r="R6" s="2026"/>
      <c r="S6" s="2026"/>
      <c r="T6" s="2026"/>
      <c r="U6" s="2026"/>
      <c r="V6" s="2026"/>
    </row>
    <row r="7" spans="1:22" ht="14.25">
      <c r="A7" s="3260"/>
      <c r="B7" s="3261"/>
      <c r="C7" s="3271"/>
      <c r="D7" s="3272"/>
      <c r="E7" s="261" t="s">
        <v>305</v>
      </c>
      <c r="F7" s="262"/>
      <c r="G7" s="262"/>
      <c r="H7" s="262"/>
      <c r="I7" s="263"/>
      <c r="J7" s="2027"/>
      <c r="K7" s="2026"/>
      <c r="L7" s="2026"/>
      <c r="M7" s="2026"/>
      <c r="N7" s="2026"/>
      <c r="O7" s="2026"/>
      <c r="P7" s="2026"/>
      <c r="Q7" s="2026"/>
      <c r="R7" s="2026"/>
      <c r="S7" s="2026"/>
      <c r="T7" s="2026"/>
      <c r="U7" s="2026"/>
      <c r="V7" s="2026"/>
    </row>
    <row r="8" spans="1:22" ht="14.25">
      <c r="A8" s="3260" t="s">
        <v>306</v>
      </c>
      <c r="B8" s="3261">
        <v>15</v>
      </c>
      <c r="C8" s="3269"/>
      <c r="D8" s="3272"/>
      <c r="E8" s="261" t="s">
        <v>307</v>
      </c>
      <c r="F8" s="262"/>
      <c r="G8" s="262"/>
      <c r="H8" s="262"/>
      <c r="I8" s="263"/>
      <c r="J8" s="2027"/>
      <c r="K8" s="2026"/>
      <c r="L8" s="2026"/>
      <c r="M8" s="2026"/>
      <c r="N8" s="2026"/>
      <c r="O8" s="2026"/>
      <c r="P8" s="2026"/>
      <c r="Q8" s="2026"/>
      <c r="R8" s="2026"/>
      <c r="S8" s="2026"/>
      <c r="T8" s="2026"/>
      <c r="U8" s="2026"/>
      <c r="V8" s="2026"/>
    </row>
    <row r="9" spans="1:22" ht="14.25">
      <c r="A9" s="3260"/>
      <c r="B9" s="3261"/>
      <c r="C9" s="3271"/>
      <c r="D9" s="3272"/>
      <c r="E9" s="261" t="s">
        <v>308</v>
      </c>
      <c r="F9" s="262"/>
      <c r="G9" s="262"/>
      <c r="H9" s="262"/>
      <c r="I9" s="263"/>
      <c r="J9" s="2027"/>
      <c r="K9" s="2026"/>
      <c r="L9" s="2026"/>
      <c r="M9" s="2026"/>
      <c r="N9" s="2026"/>
      <c r="O9" s="2026"/>
      <c r="P9" s="2026"/>
      <c r="Q9" s="2026"/>
      <c r="R9" s="2026"/>
      <c r="S9" s="2026"/>
      <c r="T9" s="2026"/>
      <c r="U9" s="2026"/>
      <c r="V9" s="2026"/>
    </row>
    <row r="10" spans="1:22" ht="14.25">
      <c r="A10" s="3260" t="s">
        <v>309</v>
      </c>
      <c r="B10" s="3261">
        <v>15</v>
      </c>
      <c r="C10" s="3269"/>
      <c r="D10" s="3272"/>
      <c r="E10" s="261" t="s">
        <v>310</v>
      </c>
      <c r="F10" s="262"/>
      <c r="G10" s="262"/>
      <c r="H10" s="262"/>
      <c r="I10" s="263"/>
      <c r="J10" s="2027"/>
      <c r="K10" s="2026"/>
      <c r="L10" s="2026"/>
      <c r="M10" s="2026"/>
      <c r="N10" s="2026"/>
      <c r="O10" s="2026"/>
      <c r="P10" s="2026"/>
      <c r="Q10" s="2026"/>
      <c r="R10" s="2026"/>
      <c r="S10" s="2026"/>
      <c r="T10" s="2026"/>
      <c r="U10" s="2026"/>
      <c r="V10" s="2026"/>
    </row>
    <row r="11" spans="1:22" ht="14.25">
      <c r="A11" s="3260"/>
      <c r="B11" s="3261"/>
      <c r="C11" s="3271"/>
      <c r="D11" s="3272"/>
      <c r="E11" s="261" t="s">
        <v>311</v>
      </c>
      <c r="F11" s="262"/>
      <c r="G11" s="262"/>
      <c r="H11" s="262"/>
      <c r="I11" s="263"/>
      <c r="J11" s="2027"/>
      <c r="K11" s="2026"/>
      <c r="L11" s="2026"/>
      <c r="M11" s="2026"/>
      <c r="N11" s="2026"/>
      <c r="O11" s="2026"/>
      <c r="P11" s="2026"/>
      <c r="Q11" s="2026"/>
      <c r="R11" s="2026"/>
      <c r="S11" s="2026"/>
      <c r="T11" s="2026"/>
      <c r="U11" s="2026"/>
      <c r="V11" s="2026"/>
    </row>
    <row r="12" spans="1:22" ht="14.25">
      <c r="A12" s="3260" t="s">
        <v>312</v>
      </c>
      <c r="B12" s="3261">
        <v>15</v>
      </c>
      <c r="C12" s="3269"/>
      <c r="D12" s="3272"/>
      <c r="E12" s="261" t="s">
        <v>313</v>
      </c>
      <c r="F12" s="262"/>
      <c r="G12" s="262"/>
      <c r="H12" s="262"/>
      <c r="I12" s="263"/>
      <c r="J12" s="2027"/>
      <c r="K12" s="2026"/>
      <c r="L12" s="2026"/>
      <c r="M12" s="2026"/>
      <c r="N12" s="2026"/>
      <c r="O12" s="2026"/>
      <c r="P12" s="2026"/>
      <c r="Q12" s="2026"/>
      <c r="R12" s="2026"/>
      <c r="S12" s="2026"/>
      <c r="T12" s="2026"/>
      <c r="U12" s="2026"/>
      <c r="V12" s="2026"/>
    </row>
    <row r="13" spans="1:22" ht="14.25">
      <c r="A13" s="3260"/>
      <c r="B13" s="3261"/>
      <c r="C13" s="3271"/>
      <c r="D13" s="3272"/>
      <c r="E13" s="261" t="s">
        <v>314</v>
      </c>
      <c r="F13" s="262"/>
      <c r="G13" s="262"/>
      <c r="H13" s="262"/>
      <c r="I13" s="263"/>
      <c r="J13" s="2027"/>
      <c r="K13" s="2026"/>
      <c r="L13" s="2026"/>
      <c r="M13" s="2026"/>
      <c r="N13" s="2026"/>
      <c r="O13" s="2026"/>
      <c r="P13" s="2026"/>
      <c r="Q13" s="2026"/>
      <c r="R13" s="2026"/>
      <c r="S13" s="2026"/>
      <c r="T13" s="2026"/>
      <c r="U13" s="2026"/>
      <c r="V13" s="2026"/>
    </row>
    <row r="14" spans="1:22" ht="14.25">
      <c r="A14" s="3260" t="s">
        <v>315</v>
      </c>
      <c r="B14" s="3261">
        <v>30</v>
      </c>
      <c r="C14" s="3269">
        <v>6</v>
      </c>
      <c r="D14" s="3272">
        <v>4</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260"/>
      <c r="B15" s="3261"/>
      <c r="C15" s="3270"/>
      <c r="D15" s="3272"/>
      <c r="E15" s="261" t="s">
        <v>317</v>
      </c>
      <c r="F15" s="262"/>
      <c r="G15" s="262"/>
      <c r="H15" s="262"/>
      <c r="I15" s="263"/>
      <c r="J15" s="2027"/>
      <c r="K15" s="2026"/>
      <c r="L15" s="2026"/>
      <c r="M15" s="2026"/>
      <c r="N15" s="2026"/>
      <c r="O15" s="2026"/>
      <c r="P15" s="2026"/>
      <c r="Q15" s="2026"/>
      <c r="R15" s="2026"/>
      <c r="S15" s="2026"/>
      <c r="T15" s="2026"/>
      <c r="U15" s="2026"/>
      <c r="V15" s="2026"/>
    </row>
    <row r="16" spans="1:22" ht="14.25">
      <c r="A16" s="3260"/>
      <c r="B16" s="3261"/>
      <c r="C16" s="3271"/>
      <c r="D16" s="3272"/>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6</v>
      </c>
      <c r="D17" s="265">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0.6</v>
      </c>
      <c r="D18" s="267">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2187</v>
      </c>
      <c r="D19" s="271">
        <f ca="1">SUMIF(INDIRECT("'"&amp;D4&amp;"'"&amp;"!A:A"),结果表!B19,INDIRECT("'"&amp;D4&amp;"'"&amp;"!B:B"))</f>
        <v>11911</v>
      </c>
      <c r="E19" s="268" t="s">
        <v>323</v>
      </c>
      <c r="F19" s="269" t="s">
        <v>322</v>
      </c>
      <c r="G19" s="272">
        <f ca="1">ROUND(C19*$C$18+D19*$D$18,0)</f>
        <v>6077</v>
      </c>
      <c r="H19" s="273" t="s">
        <v>324</v>
      </c>
      <c r="I19" s="311"/>
      <c r="J19" s="2026"/>
      <c r="K19" s="2026">
        <v>16672</v>
      </c>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264</v>
      </c>
      <c r="D20" s="277">
        <f ca="1">SUMIF(INDIRECT("'"&amp;D4&amp;"'"&amp;"!A:A"),结果表!B20,INDIRECT("'"&amp;D4&amp;"'"&amp;"!B:B"))</f>
        <v>1438</v>
      </c>
      <c r="E20" s="274"/>
      <c r="F20" s="275" t="s">
        <v>325</v>
      </c>
      <c r="G20" s="278">
        <f ca="1">ROUND(C20*$C$18+D20*$D$18,0)</f>
        <v>734</v>
      </c>
      <c r="H20" s="279" t="s">
        <v>326</v>
      </c>
      <c r="I20" s="311"/>
      <c r="J20" s="2026"/>
      <c r="K20" s="2026">
        <v>7032</v>
      </c>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581</v>
      </c>
      <c r="D21" s="151">
        <f ca="1">SUMIF(INDIRECT("'"&amp;D4&amp;"'"&amp;"!A:A"),结果表!B21,INDIRECT("'"&amp;D4&amp;"'"&amp;"!B:B"))</f>
        <v>3164</v>
      </c>
      <c r="E21" s="274"/>
      <c r="F21" s="280" t="s">
        <v>327</v>
      </c>
      <c r="G21" s="282">
        <f ca="1">ROUND(C21*$C$18+D21*$D$18,0)</f>
        <v>1614</v>
      </c>
      <c r="H21" s="1249" t="s">
        <v>326</v>
      </c>
      <c r="I21" s="311"/>
      <c r="J21" s="2026"/>
      <c r="K21" s="2026">
        <f ca="1">G19+K19+K20</f>
        <v>29781</v>
      </c>
      <c r="L21" s="2026"/>
      <c r="M21" s="2026"/>
      <c r="N21" s="2026"/>
      <c r="O21" s="2026"/>
      <c r="P21" s="2026"/>
      <c r="Q21" s="2026"/>
      <c r="R21" s="2026"/>
      <c r="S21" s="2026"/>
      <c r="T21" s="2026"/>
      <c r="U21" s="2026"/>
      <c r="V21" s="2026"/>
    </row>
    <row r="22" spans="1:26" ht="15.75" thickBot="1">
      <c r="A22" s="126" t="s">
        <v>328</v>
      </c>
      <c r="B22" s="1250"/>
      <c r="C22" s="1251"/>
      <c r="D22" s="283">
        <f ca="1">IF(C19&lt;D19,D19/C19-1,C19/D19-1)</f>
        <v>4.4462734339277548</v>
      </c>
      <c r="E22" s="284"/>
      <c r="F22" s="285"/>
      <c r="G22" s="286">
        <f ca="1">ROUND(G19/('数据-汇总表'!D3/666.67),0)</f>
        <v>108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233"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275"/>
      <c r="B25" s="1319" t="s">
        <v>331</v>
      </c>
      <c r="C25" s="290">
        <f>IF(B30=0,0,C30)</f>
        <v>0</v>
      </c>
      <c r="D25" s="291"/>
      <c r="E25" s="311"/>
      <c r="F25" s="311"/>
      <c r="G25" s="311"/>
      <c r="H25" s="311"/>
      <c r="I25" s="311"/>
      <c r="J25" s="2026"/>
      <c r="K25" s="1253" t="str">
        <f ca="1">项目基本情况!B16&amp;"国有建设用地使用权价格："&amp;O38&amp;"万元"</f>
        <v>出让国有建设用地使用权价格：6077万元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大写金额：人民币陆仟零柒拾柒万元整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单位面积地价：1614元/平方米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楼面地价：734元/平方米</v>
      </c>
      <c r="L28" s="1250"/>
      <c r="M28" s="1250"/>
      <c r="N28" s="1250"/>
      <c r="O28" s="1249"/>
      <c r="P28" s="2026"/>
      <c r="V28" s="2026"/>
    </row>
    <row r="29" spans="1:26" ht="18">
      <c r="A29" s="293"/>
      <c r="B29" s="294"/>
      <c r="C29" s="294"/>
      <c r="D29" s="295"/>
      <c r="E29" s="311"/>
      <c r="F29" s="311"/>
      <c r="G29" s="311"/>
      <c r="H29" s="311"/>
      <c r="I29" s="311"/>
      <c r="J29" s="2026"/>
      <c r="K29" s="1256" t="str">
        <f ca="1">IF(OR(项目基本情况!E8="抵押价格",项目基本情况!E8="已注销及未注销"),"抵押价格："&amp;O39&amp;"万元","——")</f>
        <v>抵押价格：6077万元</v>
      </c>
      <c r="L29" s="1250"/>
      <c r="M29" s="1250"/>
      <c r="N29" s="1250"/>
      <c r="O29" s="1249"/>
      <c r="P29" s="2026"/>
      <c r="V29" s="2026"/>
    </row>
    <row r="30" spans="1:26" ht="18.75" thickBot="1">
      <c r="A30" s="3097" t="s">
        <v>336</v>
      </c>
      <c r="B30" s="309"/>
      <c r="C30" s="309"/>
      <c r="D30" s="310"/>
      <c r="E30" s="3098" t="s">
        <v>2975</v>
      </c>
      <c r="F30" s="311"/>
      <c r="G30" s="311"/>
      <c r="H30" s="311"/>
      <c r="I30" s="311"/>
      <c r="J30" s="2026"/>
      <c r="K30" s="1256" t="str">
        <f ca="1">IF(K29="——","——","大写金额：人民币"&amp;NUMBERSTRING(INT(O39*10000),2)&amp;"元整")</f>
        <v>大写金额：人民币陆仟零柒拾柒万元整</v>
      </c>
      <c r="L30" s="1250"/>
      <c r="M30" s="1250"/>
      <c r="N30" s="1250"/>
      <c r="O30" s="1249"/>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1690</v>
      </c>
      <c r="C32" s="1381">
        <f ca="1">G19-C24</f>
        <v>6077</v>
      </c>
      <c r="D32" s="1382"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1692</v>
      </c>
      <c r="C33" s="264">
        <f ca="1">ROUND(C32*10000/'数据-汇总表'!E3,0)</f>
        <v>734</v>
      </c>
      <c r="D33" s="1384" t="s">
        <v>1693</v>
      </c>
      <c r="E33" s="3233" t="s">
        <v>338</v>
      </c>
      <c r="F33" s="296" t="s">
        <v>339</v>
      </c>
      <c r="G33" s="297"/>
      <c r="H33" s="978"/>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1694</v>
      </c>
      <c r="C34" s="264">
        <f ca="1">ROUND(C32*10000/'数据-汇总表'!D3,0)</f>
        <v>1614</v>
      </c>
      <c r="D34" s="1386" t="s">
        <v>1693</v>
      </c>
      <c r="E34" s="3234"/>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108</v>
      </c>
      <c r="D35" s="1389" t="s">
        <v>1695</v>
      </c>
      <c r="E35" s="3235"/>
      <c r="F35" s="301" t="s">
        <v>342</v>
      </c>
      <c r="G35" s="980"/>
      <c r="H35" s="979" t="s">
        <v>343</v>
      </c>
      <c r="I35" s="311"/>
      <c r="J35" s="2026"/>
      <c r="K35" s="3239" t="s">
        <v>350</v>
      </c>
      <c r="L35" s="3239" t="s">
        <v>351</v>
      </c>
      <c r="M35" s="1262" t="s">
        <v>352</v>
      </c>
      <c r="N35" s="3239" t="s">
        <v>353</v>
      </c>
      <c r="O35" s="3239" t="s">
        <v>354</v>
      </c>
      <c r="P35" s="2026"/>
      <c r="V35" s="2026"/>
    </row>
    <row r="36" spans="1:26" ht="16.5" customHeight="1">
      <c r="A36" s="303" t="s">
        <v>344</v>
      </c>
      <c r="B36" s="304" t="s">
        <v>333</v>
      </c>
      <c r="C36" s="305" t="s">
        <v>345</v>
      </c>
      <c r="D36" s="305" t="s">
        <v>346</v>
      </c>
      <c r="E36" s="306" t="s">
        <v>347</v>
      </c>
      <c r="F36" s="311"/>
      <c r="G36" s="311"/>
      <c r="H36" s="311"/>
      <c r="I36" s="311"/>
      <c r="J36" s="2028"/>
      <c r="K36" s="3240"/>
      <c r="L36" s="3240"/>
      <c r="M36" s="1264" t="s">
        <v>355</v>
      </c>
      <c r="N36" s="3240"/>
      <c r="O36" s="3240"/>
      <c r="P36" s="2026"/>
      <c r="V36" s="2026"/>
    </row>
    <row r="37" spans="1:26" ht="16.5" customHeight="1" thickBot="1">
      <c r="A37" s="1258" t="s">
        <v>348</v>
      </c>
      <c r="B37" s="307"/>
      <c r="C37" s="294"/>
      <c r="D37" s="294"/>
      <c r="E37" s="295"/>
      <c r="F37" s="311"/>
      <c r="G37" s="311"/>
      <c r="H37" s="311"/>
      <c r="I37" s="311"/>
      <c r="J37" s="2028"/>
      <c r="K37" s="3241"/>
      <c r="L37" s="3241"/>
      <c r="M37" s="1265"/>
      <c r="N37" s="3241"/>
      <c r="O37" s="3241"/>
      <c r="P37" s="2026"/>
      <c r="V37" s="2026"/>
    </row>
    <row r="38" spans="1:26" ht="16.5" customHeight="1" thickBot="1">
      <c r="A38" s="1258" t="s">
        <v>349</v>
      </c>
      <c r="B38" s="307"/>
      <c r="C38" s="294"/>
      <c r="D38" s="294"/>
      <c r="E38" s="295"/>
      <c r="F38" s="311"/>
      <c r="G38" s="311"/>
      <c r="H38" s="311"/>
      <c r="I38" s="311"/>
      <c r="J38" s="2028"/>
      <c r="K38" s="1266">
        <f>'数据-汇总表'!D3</f>
        <v>37649</v>
      </c>
      <c r="L38" s="1267">
        <f>'数据-汇总表'!E3</f>
        <v>82827.8</v>
      </c>
      <c r="M38" s="1267">
        <f ca="1">C34</f>
        <v>1614</v>
      </c>
      <c r="N38" s="1267">
        <f ca="1">C33</f>
        <v>734</v>
      </c>
      <c r="O38" s="1268">
        <f ca="1">C32</f>
        <v>6077</v>
      </c>
      <c r="P38" s="2026"/>
      <c r="V38" s="2026"/>
    </row>
    <row r="39" spans="1:26" ht="16.5" customHeight="1" thickBot="1">
      <c r="A39" s="1263"/>
      <c r="B39" s="308"/>
      <c r="C39" s="309"/>
      <c r="D39" s="309"/>
      <c r="E39" s="310"/>
      <c r="F39" s="311"/>
      <c r="G39" s="311"/>
      <c r="H39" s="311"/>
      <c r="I39" s="311"/>
      <c r="J39" s="2028"/>
      <c r="K39" s="3216" t="str">
        <f>MID(A44,3,LEN(A44)-2)</f>
        <v>抵押价格</v>
      </c>
      <c r="L39" s="3217"/>
      <c r="M39" s="3217"/>
      <c r="N39" s="3218"/>
      <c r="O39" s="1391">
        <f ca="1">C44</f>
        <v>6077</v>
      </c>
      <c r="P39" s="2026"/>
      <c r="V39" s="2026"/>
    </row>
    <row r="40" spans="1:26" ht="19.5" thickBot="1">
      <c r="A40" s="104" t="s">
        <v>874</v>
      </c>
      <c r="B40" s="311"/>
      <c r="C40" s="311"/>
      <c r="D40" s="311"/>
      <c r="E40" s="311"/>
      <c r="F40" s="311"/>
      <c r="G40" s="311"/>
      <c r="H40" s="311"/>
      <c r="I40" s="311"/>
      <c r="J40" s="2028"/>
      <c r="K40" s="3216" t="str">
        <f t="shared" ref="K40:K41" si="0">MID(A45,3,LEN(A45)-2)</f>
        <v/>
      </c>
      <c r="L40" s="3217"/>
      <c r="M40" s="3217"/>
      <c r="N40" s="3218"/>
      <c r="O40" s="1391" t="str">
        <f>C45</f>
        <v>——</v>
      </c>
      <c r="P40" s="2026"/>
      <c r="V40" s="2026"/>
    </row>
    <row r="41" spans="1:26" ht="16.5" thickBot="1">
      <c r="A41" s="312" t="s">
        <v>356</v>
      </c>
      <c r="B41" s="313"/>
      <c r="C41" s="314" t="s">
        <v>357</v>
      </c>
      <c r="D41" s="315" t="s">
        <v>358</v>
      </c>
      <c r="E41" s="315" t="s">
        <v>359</v>
      </c>
      <c r="F41" s="316" t="s">
        <v>360</v>
      </c>
      <c r="G41" s="311"/>
      <c r="H41" s="311"/>
      <c r="I41" s="311"/>
      <c r="J41" s="2028"/>
      <c r="K41" s="3216" t="str">
        <f t="shared" si="0"/>
        <v/>
      </c>
      <c r="L41" s="3217"/>
      <c r="M41" s="3217"/>
      <c r="N41" s="3218"/>
      <c r="O41" s="1391" t="str">
        <f>C46</f>
        <v>——</v>
      </c>
      <c r="P41" s="2026"/>
      <c r="V41" s="2026"/>
    </row>
    <row r="42" spans="1:26" ht="29.25">
      <c r="A42" s="3276" t="s">
        <v>2069</v>
      </c>
      <c r="B42" s="3277"/>
      <c r="C42" s="264">
        <f ca="1">C32</f>
        <v>6077</v>
      </c>
      <c r="D42" s="317">
        <f ca="1">C33</f>
        <v>734</v>
      </c>
      <c r="E42" s="317">
        <f ca="1">C34</f>
        <v>1614</v>
      </c>
      <c r="F42" s="318">
        <f ca="1">C35</f>
        <v>108</v>
      </c>
      <c r="G42" s="311"/>
      <c r="H42" s="311"/>
      <c r="I42" s="319"/>
      <c r="J42" s="2028"/>
      <c r="K42" s="1269" t="s">
        <v>361</v>
      </c>
      <c r="L42" s="2045" t="s">
        <v>362</v>
      </c>
      <c r="M42" s="1270" t="s">
        <v>363</v>
      </c>
      <c r="N42" s="2046" t="s">
        <v>364</v>
      </c>
      <c r="O42" s="2047" t="s">
        <v>365</v>
      </c>
      <c r="P42" s="2026"/>
      <c r="V42" s="2026"/>
    </row>
    <row r="43" spans="1:26" ht="30">
      <c r="A43" s="3286" t="s">
        <v>2736</v>
      </c>
      <c r="B43" s="3287"/>
      <c r="C43" s="264">
        <f>IF(H33="正常操作",G33+G34+G35,G34+G35)</f>
        <v>0</v>
      </c>
      <c r="D43" s="317" t="s">
        <v>43</v>
      </c>
      <c r="E43" s="317" t="s">
        <v>44</v>
      </c>
      <c r="F43" s="318" t="s">
        <v>44</v>
      </c>
      <c r="G43" s="2830" t="s">
        <v>953</v>
      </c>
      <c r="H43" s="311"/>
      <c r="I43" s="319"/>
      <c r="J43" s="2028"/>
      <c r="K43" s="1271" t="str">
        <f>C4</f>
        <v>比较法-住宅、综合</v>
      </c>
      <c r="L43" s="1272">
        <f ca="1">IF(L42="估价结果/万元",C19,C20)</f>
        <v>2187</v>
      </c>
      <c r="M43" s="1273">
        <f>C18</f>
        <v>0.6</v>
      </c>
      <c r="N43" s="1274">
        <f ca="1">IF(N42="测算结果/万元",G19,G20)</f>
        <v>6077</v>
      </c>
      <c r="O43" s="1275">
        <f ca="1">IF(O42="最终结果/万元",C32,C33)</f>
        <v>6077</v>
      </c>
      <c r="P43" s="2026"/>
      <c r="V43" s="2026"/>
    </row>
    <row r="44" spans="1:26" ht="30.75" thickBot="1">
      <c r="A44" s="3276" t="str">
        <f>IF(OR(项目基本情况!E8="抵押价格",项目基本情况!E8="已注销及未注销"),"3.抵押价格","——")</f>
        <v>3.抵押价格</v>
      </c>
      <c r="B44" s="3277"/>
      <c r="C44" s="264">
        <f ca="1">IF(A44="——","——",C42-C43)</f>
        <v>6077</v>
      </c>
      <c r="D44" s="317">
        <f ca="1">ROUND(C44*10000/'数据-汇总表'!E3,0)</f>
        <v>734</v>
      </c>
      <c r="E44" s="317">
        <f ca="1">ROUND(C44*10000/'数据-汇总表'!D3,0)</f>
        <v>1614</v>
      </c>
      <c r="F44" s="318">
        <f ca="1">ROUND(C44/('数据-汇总表'!D3/666.67),0)</f>
        <v>108</v>
      </c>
      <c r="G44" s="311"/>
      <c r="H44" s="311"/>
      <c r="I44" s="319"/>
      <c r="J44" s="2028"/>
      <c r="K44" s="1276" t="str">
        <f>D4</f>
        <v>剩余法-待开发</v>
      </c>
      <c r="L44" s="1277">
        <f ca="1">IF(L42="估价结果/万元",D19,D20)</f>
        <v>11911</v>
      </c>
      <c r="M44" s="1278">
        <f>D18</f>
        <v>0.4</v>
      </c>
      <c r="N44" s="1279"/>
      <c r="O44" s="1280"/>
      <c r="P44" s="2026"/>
      <c r="V44" s="2026"/>
    </row>
    <row r="45" spans="1:26" ht="15">
      <c r="A45" s="3281" t="str">
        <f>IF(项目基本情况!E8="已注销及未注销","4.抵押担保权已注销时的抵押价格",IF(项目基本情况!E8="已注销","3.抵押担保权已注销时的抵押价格","——"))</f>
        <v>——</v>
      </c>
      <c r="B45" s="3282"/>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278" t="str">
        <f>IF(项目基本情况!E9="抵押净值",IF(A45="——","4.抵押净值","5.抵押净值"),"——")</f>
        <v>——</v>
      </c>
      <c r="B46" s="3279"/>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244" t="s">
        <v>374</v>
      </c>
      <c r="B63" s="3245"/>
      <c r="C63" s="3246"/>
      <c r="D63" s="341">
        <f ca="1">ROUND(C42*F63,0)</f>
        <v>3646</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283" t="s">
        <v>378</v>
      </c>
      <c r="B64" s="3284"/>
      <c r="C64" s="3284"/>
      <c r="D64" s="3284"/>
      <c r="E64" s="3284"/>
      <c r="F64" s="3284"/>
      <c r="G64" s="3285"/>
      <c r="H64" s="1286"/>
      <c r="I64" s="946"/>
      <c r="J64" s="1988"/>
      <c r="K64" s="1560"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6"/>
      <c r="J65" s="1988"/>
      <c r="K65" s="1287"/>
      <c r="L65" s="1288"/>
      <c r="M65" s="1288"/>
      <c r="N65" s="1320" t="s">
        <v>379</v>
      </c>
      <c r="O65" s="1321"/>
      <c r="P65" s="1322"/>
      <c r="Q65" s="2026"/>
      <c r="R65" s="2026"/>
      <c r="S65" s="2026"/>
      <c r="T65" s="2026"/>
      <c r="U65" s="2026"/>
      <c r="V65" s="2026"/>
    </row>
    <row r="66" spans="1:22" ht="25.5">
      <c r="A66" s="3280" t="s">
        <v>386</v>
      </c>
      <c r="B66" s="3251"/>
      <c r="C66" s="3251"/>
      <c r="D66" s="261">
        <f ca="1">IF(H66="情况1",0,IF(H66="情况2",D70,IF(H66="情况3",D71,IF(H66="情况4",D72))))</f>
        <v>220</v>
      </c>
      <c r="E66" s="991" t="str">
        <f>IF(H66="情况4","(销售额-原购置价)×税（费）率","销售额×税（费）率")</f>
        <v>销售额×税（费）率</v>
      </c>
      <c r="F66" s="350">
        <f>IF(H66="情况1","免征",'数据-取费表'!B41)</f>
        <v>6.3840000000000008E-2</v>
      </c>
      <c r="G66" s="351" t="s">
        <v>387</v>
      </c>
      <c r="H66" s="191" t="s">
        <v>388</v>
      </c>
      <c r="I66" s="1286"/>
      <c r="J66" s="2032"/>
      <c r="K66" s="1289">
        <v>1</v>
      </c>
      <c r="L66" s="3220" t="s">
        <v>385</v>
      </c>
      <c r="M66" s="3221"/>
      <c r="N66" s="2480"/>
      <c r="O66" s="2481"/>
      <c r="P66" s="2482"/>
      <c r="Q66" s="2026"/>
      <c r="R66" s="2026"/>
      <c r="S66" s="2026"/>
      <c r="T66" s="2026"/>
      <c r="U66" s="2026"/>
      <c r="V66" s="2026"/>
    </row>
    <row r="67" spans="1:22" ht="25.5" customHeight="1">
      <c r="A67" s="352" t="s">
        <v>390</v>
      </c>
      <c r="B67" s="3263" t="s">
        <v>391</v>
      </c>
      <c r="C67" s="3263"/>
      <c r="D67" s="353">
        <v>0</v>
      </c>
      <c r="E67" s="41" t="s">
        <v>392</v>
      </c>
      <c r="F67" s="62" t="s">
        <v>21</v>
      </c>
      <c r="G67" s="3247"/>
      <c r="H67" s="311"/>
      <c r="I67" s="1290"/>
      <c r="J67" s="2033"/>
      <c r="K67" s="1974">
        <v>2</v>
      </c>
      <c r="L67" s="3219" t="s">
        <v>389</v>
      </c>
      <c r="M67" s="3219"/>
      <c r="N67" s="1323">
        <f>'数据-取费表'!B2</f>
        <v>43061</v>
      </c>
      <c r="O67" s="1323"/>
      <c r="P67" s="1323"/>
      <c r="Q67" s="2026"/>
      <c r="R67" s="2026"/>
      <c r="S67" s="2026"/>
      <c r="T67" s="2026"/>
      <c r="U67" s="2026"/>
      <c r="V67" s="2026"/>
    </row>
    <row r="68" spans="1:22" ht="25.5" customHeight="1">
      <c r="A68" s="354"/>
      <c r="B68" s="3263" t="s">
        <v>394</v>
      </c>
      <c r="C68" s="3263"/>
      <c r="D68" s="355"/>
      <c r="E68" s="77"/>
      <c r="F68" s="356"/>
      <c r="G68" s="3248"/>
      <c r="H68" s="311"/>
      <c r="I68" s="1290"/>
      <c r="J68" s="2033"/>
      <c r="K68" s="1974">
        <v>3</v>
      </c>
      <c r="L68" s="3219" t="s">
        <v>393</v>
      </c>
      <c r="M68" s="3219"/>
      <c r="N68" s="1291">
        <f ca="1">C42</f>
        <v>6077</v>
      </c>
      <c r="O68" s="1291"/>
      <c r="P68" s="1291"/>
      <c r="Q68" s="2026"/>
      <c r="R68" s="2026"/>
      <c r="S68" s="2026"/>
      <c r="T68" s="2026"/>
      <c r="U68" s="2026"/>
      <c r="V68" s="2026"/>
    </row>
    <row r="69" spans="1:22" ht="12" customHeight="1">
      <c r="A69" s="357"/>
      <c r="B69" s="3263" t="s">
        <v>395</v>
      </c>
      <c r="C69" s="3263"/>
      <c r="D69" s="358"/>
      <c r="E69" s="73"/>
      <c r="F69" s="356"/>
      <c r="G69" s="3249"/>
      <c r="H69" s="311"/>
      <c r="I69" s="1290"/>
      <c r="J69" s="2033"/>
      <c r="K69" s="1292">
        <v>4</v>
      </c>
      <c r="L69" s="3225" t="s">
        <v>2889</v>
      </c>
      <c r="M69" s="3226"/>
      <c r="N69" s="1293">
        <f ca="1">C44</f>
        <v>6077</v>
      </c>
      <c r="O69" s="1293"/>
      <c r="P69" s="1293"/>
      <c r="Q69" s="2026"/>
      <c r="R69" s="2026"/>
      <c r="S69" s="2026"/>
      <c r="T69" s="2026"/>
      <c r="U69" s="2026"/>
      <c r="V69" s="2026"/>
    </row>
    <row r="70" spans="1:22" ht="24" customHeight="1">
      <c r="A70" s="359" t="s">
        <v>396</v>
      </c>
      <c r="B70" s="3263" t="s">
        <v>397</v>
      </c>
      <c r="C70" s="3263"/>
      <c r="D70" s="358">
        <f ca="1">ROUND(D63*'数据-取费表'!B41/(1+'数据-取费表'!C42),0)</f>
        <v>220</v>
      </c>
      <c r="E70" s="17" t="s">
        <v>398</v>
      </c>
      <c r="F70" s="360">
        <f>'数据-取费表'!B41</f>
        <v>6.3840000000000008E-2</v>
      </c>
      <c r="G70" s="361"/>
      <c r="H70" s="311"/>
      <c r="I70" s="1290"/>
      <c r="J70" s="2033"/>
      <c r="K70" s="3020"/>
      <c r="L70" s="3021"/>
      <c r="M70" s="3021"/>
      <c r="N70" s="3022" t="s">
        <v>2894</v>
      </c>
      <c r="O70" s="3021"/>
      <c r="P70" s="3023"/>
      <c r="Q70" s="2026"/>
      <c r="R70" s="2026"/>
      <c r="S70" s="2026"/>
      <c r="T70" s="2026"/>
      <c r="U70" s="2026"/>
      <c r="V70" s="2026"/>
    </row>
    <row r="71" spans="1:22" ht="12" customHeight="1">
      <c r="A71" s="359" t="s">
        <v>404</v>
      </c>
      <c r="B71" s="3262" t="s">
        <v>405</v>
      </c>
      <c r="C71" s="3274"/>
      <c r="D71" s="358">
        <f ca="1">ROUND(D63*'数据-取费表'!B41/(1+'数据-取费表'!C42),0)</f>
        <v>220</v>
      </c>
      <c r="E71" s="17" t="s">
        <v>398</v>
      </c>
      <c r="F71" s="360">
        <f>'数据-取费表'!B41</f>
        <v>6.3840000000000008E-2</v>
      </c>
      <c r="G71" s="361"/>
      <c r="H71" s="311"/>
      <c r="I71" s="1290"/>
      <c r="J71" s="2033"/>
      <c r="K71" s="3019" t="s">
        <v>399</v>
      </c>
      <c r="L71" s="3227" t="s">
        <v>400</v>
      </c>
      <c r="M71" s="3227"/>
      <c r="N71" s="3019" t="s">
        <v>401</v>
      </c>
      <c r="O71" s="3019" t="s">
        <v>402</v>
      </c>
      <c r="P71" s="3019" t="s">
        <v>403</v>
      </c>
      <c r="Q71" s="2026"/>
      <c r="R71" s="2026"/>
      <c r="S71" s="2026"/>
      <c r="T71" s="2026"/>
      <c r="U71" s="2026"/>
      <c r="V71" s="2026"/>
    </row>
    <row r="72" spans="1:22" ht="12" customHeight="1">
      <c r="A72" s="359" t="s">
        <v>407</v>
      </c>
      <c r="B72" s="3262" t="s">
        <v>408</v>
      </c>
      <c r="C72" s="3274"/>
      <c r="D72" s="358">
        <f ca="1">C86</f>
        <v>93</v>
      </c>
      <c r="E72" s="73" t="s">
        <v>409</v>
      </c>
      <c r="F72" s="360">
        <f>'数据-取费表'!B41</f>
        <v>6.3840000000000008E-2</v>
      </c>
      <c r="G72" s="361"/>
      <c r="H72" s="1296"/>
      <c r="I72" s="1290"/>
      <c r="J72" s="2033"/>
      <c r="K72" s="1974">
        <v>1</v>
      </c>
      <c r="L72" s="3224" t="s">
        <v>406</v>
      </c>
      <c r="M72" s="3224"/>
      <c r="N72" s="1294">
        <f ca="1">D66</f>
        <v>220</v>
      </c>
      <c r="O72" s="1857" t="str">
        <f>E66</f>
        <v>销售额×税（费）率</v>
      </c>
      <c r="P72" s="1295">
        <f>F66</f>
        <v>6.3840000000000008E-2</v>
      </c>
      <c r="Q72" s="2026"/>
      <c r="R72" s="2026"/>
      <c r="S72" s="2026"/>
      <c r="T72" s="2026"/>
      <c r="U72" s="2026"/>
      <c r="V72" s="2026"/>
    </row>
    <row r="73" spans="1:22" ht="24" customHeight="1">
      <c r="A73" s="3250" t="s">
        <v>411</v>
      </c>
      <c r="B73" s="3251"/>
      <c r="C73" s="3251"/>
      <c r="D73" s="362">
        <f>IF(H73="个人住宅",0,ROUND(D63*I73,0))</f>
        <v>0</v>
      </c>
      <c r="E73" s="17" t="s">
        <v>412</v>
      </c>
      <c r="F73" s="360" t="str">
        <f>IF(H73="正常",I73,"免征")</f>
        <v>免征</v>
      </c>
      <c r="G73" s="361"/>
      <c r="H73" s="191" t="s">
        <v>2458</v>
      </c>
      <c r="I73" s="360">
        <f>'数据-取费表'!B49</f>
        <v>5.0000000000000001E-4</v>
      </c>
      <c r="J73" s="2033"/>
      <c r="K73" s="1974">
        <v>2</v>
      </c>
      <c r="L73" s="3224" t="s">
        <v>410</v>
      </c>
      <c r="M73" s="3224"/>
      <c r="N73" s="1294">
        <f t="shared" ref="N73:P74" si="1">D73</f>
        <v>0</v>
      </c>
      <c r="O73" s="1857" t="str">
        <f t="shared" si="1"/>
        <v>销售额×税（费）率</v>
      </c>
      <c r="P73" s="1295" t="str">
        <f t="shared" si="1"/>
        <v>免征</v>
      </c>
      <c r="Q73" s="2026"/>
      <c r="R73" s="2026"/>
      <c r="S73" s="2026"/>
      <c r="T73" s="2026"/>
      <c r="U73" s="2026"/>
      <c r="V73" s="2026"/>
    </row>
    <row r="74" spans="1:22" ht="24.75">
      <c r="A74" s="3250" t="s">
        <v>415</v>
      </c>
      <c r="B74" s="3251"/>
      <c r="C74" s="3251"/>
      <c r="D74" s="362">
        <f ca="1">IF(H74="个人住宅",D75,D76)</f>
        <v>1386</v>
      </c>
      <c r="E74" s="17" t="s">
        <v>416</v>
      </c>
      <c r="F74" s="360" t="str">
        <f>IF(H74="正常",F76,"免征")</f>
        <v>——</v>
      </c>
      <c r="G74" s="981" t="s">
        <v>417</v>
      </c>
      <c r="H74" s="363" t="s">
        <v>413</v>
      </c>
      <c r="I74" s="42"/>
      <c r="J74" s="2033"/>
      <c r="K74" s="1974">
        <v>3</v>
      </c>
      <c r="L74" s="3224" t="s">
        <v>414</v>
      </c>
      <c r="M74" s="3224"/>
      <c r="N74" s="1294">
        <f t="shared" ca="1" si="1"/>
        <v>1386</v>
      </c>
      <c r="O74" s="1857" t="str">
        <f t="shared" si="1"/>
        <v>增值额×税（费）率</v>
      </c>
      <c r="P74" s="1297" t="str">
        <f t="shared" si="1"/>
        <v>——</v>
      </c>
      <c r="Q74" s="2026"/>
      <c r="R74" s="2026"/>
      <c r="S74" s="2026"/>
      <c r="T74" s="2026"/>
      <c r="U74" s="2026"/>
      <c r="V74" s="2026"/>
    </row>
    <row r="75" spans="1:22" ht="24">
      <c r="A75" s="359" t="s">
        <v>418</v>
      </c>
      <c r="B75" s="3231" t="s">
        <v>419</v>
      </c>
      <c r="C75" s="3232"/>
      <c r="D75" s="364">
        <v>0</v>
      </c>
      <c r="E75" s="41" t="s">
        <v>420</v>
      </c>
      <c r="F75" s="365"/>
      <c r="G75" s="361"/>
      <c r="H75" s="42"/>
      <c r="I75" s="42"/>
      <c r="J75" s="2033"/>
      <c r="K75" s="3012">
        <f>IF(H77="非个人房产","",4)</f>
        <v>4</v>
      </c>
      <c r="L75" s="3224" t="str">
        <f>IF(H77="非个人房产","——","个人所得税")</f>
        <v>个人所得税</v>
      </c>
      <c r="M75" s="3224"/>
      <c r="N75" s="1298">
        <f ca="1">D77</f>
        <v>36</v>
      </c>
      <c r="O75" s="1870" t="str">
        <f>E77</f>
        <v>销售额×税（费）率</v>
      </c>
      <c r="P75" s="1299">
        <f>F77</f>
        <v>0.01</v>
      </c>
      <c r="Q75" s="2026"/>
      <c r="R75" s="2026"/>
      <c r="S75" s="2026"/>
      <c r="T75" s="2026"/>
      <c r="U75" s="2026"/>
      <c r="V75" s="2026"/>
    </row>
    <row r="76" spans="1:22" ht="24.75">
      <c r="A76" s="359" t="s">
        <v>396</v>
      </c>
      <c r="B76" s="3231" t="s">
        <v>422</v>
      </c>
      <c r="C76" s="3273"/>
      <c r="D76" s="362">
        <f ca="1">IF(H76="转让取得",C99,C115)</f>
        <v>1386</v>
      </c>
      <c r="E76" s="17" t="s">
        <v>423</v>
      </c>
      <c r="F76" s="53" t="s">
        <v>21</v>
      </c>
      <c r="G76" s="361"/>
      <c r="H76" s="363" t="s">
        <v>424</v>
      </c>
      <c r="I76" s="42"/>
      <c r="J76" s="2033"/>
      <c r="K76" s="3012" t="str">
        <f>IF(项目基本情况!K6="上海银行",IF(K75="",4,K75+1),"")</f>
        <v/>
      </c>
      <c r="L76" s="3212" t="str">
        <f>IF(项目基本情况!K6="上海银行","其他处置费用","")</f>
        <v/>
      </c>
      <c r="M76" s="3213"/>
      <c r="N76" s="1294" t="str">
        <f>IF(项目基本情况!K6="上海银行",N89,"")</f>
        <v/>
      </c>
      <c r="O76" s="3214" t="str">
        <f>IF(项目基本情况!K6="上海银行","包含处置中涉及的律师、诉讼、拍卖、评估等费用","")</f>
        <v/>
      </c>
      <c r="P76" s="3215"/>
      <c r="Q76" s="2026"/>
      <c r="R76" s="2026"/>
      <c r="S76" s="2026"/>
      <c r="T76" s="2026"/>
      <c r="U76" s="2026"/>
      <c r="V76" s="2026"/>
    </row>
    <row r="77" spans="1:22" ht="26.25" thickBot="1">
      <c r="A77" s="3242" t="s">
        <v>426</v>
      </c>
      <c r="B77" s="3243"/>
      <c r="C77" s="3243"/>
      <c r="D77" s="366">
        <f ca="1">IF(H77="非个人房产","——",IF(H77="个人住宅",0,ROUND(D63*I77,0)))</f>
        <v>36</v>
      </c>
      <c r="E77" s="367" t="str">
        <f>IF(H77="非个人房产","——","销售额×税（费）率")</f>
        <v>销售额×税（费）率</v>
      </c>
      <c r="F77" s="368">
        <f>IF(H77="非个人房产","——",IF(H77="个人住宅","免征",I77))</f>
        <v>0.01</v>
      </c>
      <c r="G77" s="982" t="s">
        <v>417</v>
      </c>
      <c r="H77" s="363" t="s">
        <v>2890</v>
      </c>
      <c r="I77" s="369">
        <v>0.01</v>
      </c>
      <c r="J77" s="2033"/>
      <c r="K77" s="3238">
        <f>IF(AND(K75="",K76=""),4,IF(项目基本情况!K6="上海银行",K76+1,K75+1))</f>
        <v>5</v>
      </c>
      <c r="L77" s="3224" t="s">
        <v>2891</v>
      </c>
      <c r="M77" s="3018" t="s">
        <v>421</v>
      </c>
      <c r="N77" s="1300"/>
      <c r="O77" s="1301">
        <f ca="1">SUMIF(N72:N76,"&lt;9e307")</f>
        <v>1642</v>
      </c>
      <c r="P77" s="1302"/>
      <c r="Q77" s="3016">
        <f ca="1">O77/N69</f>
        <v>0.2701991114036531</v>
      </c>
      <c r="R77" s="2026"/>
      <c r="S77" s="2026"/>
      <c r="T77" s="2026"/>
      <c r="U77" s="2026"/>
      <c r="V77" s="2026"/>
    </row>
    <row r="78" spans="1:22" ht="12" customHeight="1">
      <c r="A78" s="1303"/>
      <c r="B78" s="311"/>
      <c r="C78" s="311"/>
      <c r="D78" s="311"/>
      <c r="E78" s="42"/>
      <c r="F78" s="42"/>
      <c r="G78" s="42"/>
      <c r="H78" s="1001"/>
      <c r="I78" s="311"/>
      <c r="J78" s="2033"/>
      <c r="K78" s="3238"/>
      <c r="L78" s="3224"/>
      <c r="M78" s="3018" t="s">
        <v>425</v>
      </c>
      <c r="N78" s="1300"/>
      <c r="O78" s="1301" t="str">
        <f ca="1">NUMBERSTRING(INT(O77*10000),2)&amp;"元整"</f>
        <v>壹仟陆佰肆拾贰万元整</v>
      </c>
      <c r="P78" s="1302"/>
      <c r="Q78" s="2026"/>
      <c r="R78" s="2026"/>
      <c r="S78" s="2026"/>
      <c r="T78" s="2026"/>
      <c r="U78" s="2026"/>
      <c r="V78" s="2026"/>
    </row>
    <row r="79" spans="1:22" ht="13.5" thickBot="1">
      <c r="A79" s="3228" t="s">
        <v>427</v>
      </c>
      <c r="B79" s="3228"/>
      <c r="C79" s="3228"/>
      <c r="D79" s="3228"/>
      <c r="E79" s="3228"/>
      <c r="F79" s="42"/>
      <c r="G79" s="42"/>
      <c r="H79" s="1001"/>
      <c r="I79" s="311"/>
      <c r="J79" s="2033"/>
      <c r="K79" s="3222">
        <f>K77+1</f>
        <v>6</v>
      </c>
      <c r="L79" s="3224" t="s">
        <v>2892</v>
      </c>
      <c r="M79" s="3018" t="s">
        <v>421</v>
      </c>
      <c r="N79" s="1300"/>
      <c r="O79" s="1301">
        <f ca="1">N69-O77</f>
        <v>4435</v>
      </c>
      <c r="P79" s="1302"/>
      <c r="Q79" s="2026"/>
      <c r="R79" s="2026"/>
      <c r="S79" s="2026"/>
      <c r="T79" s="2026"/>
      <c r="U79" s="2026"/>
      <c r="V79" s="2026"/>
    </row>
    <row r="80" spans="1:22" ht="25.5">
      <c r="A80" s="3229" t="s">
        <v>428</v>
      </c>
      <c r="B80" s="3230"/>
      <c r="C80" s="992"/>
      <c r="D80" s="992" t="s">
        <v>429</v>
      </c>
      <c r="E80" s="370" t="s">
        <v>430</v>
      </c>
      <c r="F80" s="42"/>
      <c r="G80" s="42"/>
      <c r="H80" s="1001"/>
      <c r="I80" s="311"/>
      <c r="J80" s="2026"/>
      <c r="K80" s="3223"/>
      <c r="L80" s="3224"/>
      <c r="M80" s="3018" t="s">
        <v>425</v>
      </c>
      <c r="N80" s="1300"/>
      <c r="O80" s="1301" t="str">
        <f ca="1">NUMBERSTRING(INT(O79*10000),2)&amp;"元整"</f>
        <v>肆仟肆佰叁拾伍万元整</v>
      </c>
      <c r="P80" s="1302"/>
      <c r="Q80" s="2026"/>
      <c r="R80" s="2026"/>
      <c r="S80" s="2026"/>
      <c r="T80" s="2026"/>
      <c r="U80" s="2026"/>
      <c r="V80" s="2026"/>
    </row>
    <row r="81" spans="1:26" ht="13.5" thickBot="1">
      <c r="A81" s="381" t="s">
        <v>1825</v>
      </c>
      <c r="B81" s="371" t="s">
        <v>431</v>
      </c>
      <c r="C81" s="372">
        <f ca="1">ROUND((C82+C83)/(1+'数据-取费表'!C42),0)</f>
        <v>3453</v>
      </c>
      <c r="D81" s="373"/>
      <c r="E81" s="374"/>
      <c r="F81" s="42"/>
      <c r="G81" s="42"/>
      <c r="H81" s="1001"/>
      <c r="I81" s="311"/>
      <c r="J81" s="2026"/>
      <c r="K81" s="3012">
        <f>K79+1</f>
        <v>7</v>
      </c>
      <c r="L81" s="3236" t="s">
        <v>2893</v>
      </c>
      <c r="M81" s="3237"/>
      <c r="N81" s="1304"/>
      <c r="O81" s="1305">
        <f ca="1">ROUND(O79*10000/'数据-汇总表'!E3,0)</f>
        <v>535</v>
      </c>
      <c r="P81" s="1306"/>
      <c r="Q81" s="2026"/>
      <c r="R81" s="2026"/>
      <c r="S81" s="2026"/>
      <c r="T81" s="2026"/>
      <c r="U81" s="2026"/>
      <c r="V81" s="2026"/>
    </row>
    <row r="82" spans="1:26" ht="13.5" thickTop="1">
      <c r="A82" s="375" t="s">
        <v>1826</v>
      </c>
      <c r="B82" s="376" t="s">
        <v>432</v>
      </c>
      <c r="C82" s="377">
        <f ca="1">D63</f>
        <v>3646</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1"/>
      <c r="I83" s="311"/>
      <c r="J83" s="2026"/>
      <c r="K83" s="3211" t="s">
        <v>2880</v>
      </c>
      <c r="L83" s="3024" t="s">
        <v>2881</v>
      </c>
      <c r="M83" s="3014">
        <f ca="1">IF(N69&gt;10000,N69*0.5%,IF(AND(N69&gt;1000,N69&lt;=10000),N69*1%,IF(AND(N69&gt;100,N69&lt;=1000),N69*3%,IF(AND(N69&gt;10,N69&lt;=100),N69*5%,N69*8%))))</f>
        <v>60.77</v>
      </c>
      <c r="N83" s="53">
        <f ca="1">ROUND(M83,1)</f>
        <v>60.8</v>
      </c>
      <c r="O83" s="3017"/>
      <c r="P83" s="2026"/>
      <c r="Q83" s="2026"/>
      <c r="R83" s="2026"/>
      <c r="S83" s="2026"/>
      <c r="T83" s="2026"/>
      <c r="U83" s="2026"/>
      <c r="V83" s="2026"/>
    </row>
    <row r="84" spans="1:26" ht="12.75">
      <c r="A84" s="381" t="s">
        <v>1828</v>
      </c>
      <c r="B84" s="382" t="s">
        <v>434</v>
      </c>
      <c r="C84" s="383">
        <v>2000</v>
      </c>
      <c r="D84" s="384" t="s">
        <v>19</v>
      </c>
      <c r="E84" s="3058" t="s">
        <v>2945</v>
      </c>
      <c r="F84" s="42"/>
      <c r="G84" s="42"/>
      <c r="H84" s="1001"/>
      <c r="I84" s="311"/>
      <c r="J84" s="2026"/>
      <c r="K84" s="3211"/>
      <c r="L84" s="3024" t="s">
        <v>2882</v>
      </c>
      <c r="M84" s="3014">
        <f ca="1">IF(N69&gt;2000,N69*0.5%,IF(AND(N69&gt;1000,N69&lt;=2000),N69*0.6%,IF(AND(N69&gt;500,N69&lt;=1000),N69*0.7%,IF(AND(N69&gt;200,N69&lt;=500),N69*0.8%,IF(AND(N69&gt;100,N69&lt;=200),N69*0.9%,IF(AND(N69&gt;50,N69&lt;=100),N69*1%,IF(AND(N69&gt;20,N69&lt;=50),N69*1.5%,IF(AND(N69&gt;10,N69&lt;=20),N69*2%,IF(AND(N69&gt;1,N69&lt;=10),N69*2.5%)))))))))</f>
        <v>30.385000000000002</v>
      </c>
      <c r="N84" s="53">
        <f t="shared" ref="N84:N85" ca="1" si="2">ROUND(M84,1)</f>
        <v>30.4</v>
      </c>
      <c r="O84" s="2026" t="s">
        <v>2883</v>
      </c>
      <c r="P84" s="2026"/>
      <c r="Q84" s="2026"/>
      <c r="R84" s="2026"/>
      <c r="S84" s="2026"/>
      <c r="T84" s="2026"/>
      <c r="U84" s="2026"/>
      <c r="V84" s="2026"/>
    </row>
    <row r="85" spans="1:26" ht="12.75">
      <c r="A85" s="381" t="s">
        <v>1829</v>
      </c>
      <c r="B85" s="382" t="s">
        <v>435</v>
      </c>
      <c r="C85" s="385">
        <f ca="1">C81-C84</f>
        <v>1453</v>
      </c>
      <c r="D85" s="378" t="s">
        <v>19</v>
      </c>
      <c r="E85" s="379"/>
      <c r="F85" s="42"/>
      <c r="G85" s="42"/>
      <c r="H85" s="1001"/>
      <c r="I85" s="311"/>
      <c r="J85" s="2026"/>
      <c r="K85" s="3211"/>
      <c r="L85" s="3024" t="s">
        <v>2884</v>
      </c>
      <c r="M85" s="3014">
        <f ca="1">IF(N69&gt;1000,N69*0.1%,IF(AND(N69&gt;500,N69&lt;=1000),N69*0.5%,IF(AND(N69&gt;50,N69&lt;=500),N69*1%,IF(AND(N69&gt;1,N69&lt;=50),N69*1.5%))))</f>
        <v>6.077</v>
      </c>
      <c r="N85" s="53">
        <f t="shared" ca="1" si="2"/>
        <v>6.1</v>
      </c>
      <c r="O85" s="2026" t="s">
        <v>2883</v>
      </c>
      <c r="P85" s="2026"/>
      <c r="Q85" s="2026"/>
      <c r="R85" s="2026"/>
      <c r="S85" s="2026"/>
      <c r="T85" s="2026"/>
      <c r="U85" s="2026"/>
      <c r="V85" s="2026"/>
    </row>
    <row r="86" spans="1:26" ht="13.5" thickBot="1">
      <c r="A86" s="386" t="s">
        <v>1830</v>
      </c>
      <c r="B86" s="387" t="s">
        <v>436</v>
      </c>
      <c r="C86" s="388">
        <f ca="1">IF(C85&lt;=0,0,ROUND(C85*D86,0))</f>
        <v>93</v>
      </c>
      <c r="D86" s="389">
        <f>'数据-取费表'!B41</f>
        <v>6.3840000000000008E-2</v>
      </c>
      <c r="E86" s="390"/>
      <c r="F86" s="42"/>
      <c r="G86" s="42"/>
      <c r="H86" s="1001"/>
      <c r="I86" s="311"/>
      <c r="J86" s="2026"/>
      <c r="K86" s="3211"/>
      <c r="L86" s="3024" t="s">
        <v>2885</v>
      </c>
      <c r="M86" s="3014">
        <f ca="1">N69*0.5%</f>
        <v>30.385000000000002</v>
      </c>
      <c r="N86" s="53">
        <f ca="1">IF(M86&gt;0.5,0.5,ROUND(M86,0))</f>
        <v>0.5</v>
      </c>
      <c r="O86" s="2026" t="s">
        <v>2886</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211"/>
      <c r="L87" s="3024" t="s">
        <v>2887</v>
      </c>
      <c r="M87" s="3014">
        <f ca="1">IF(N69&gt;=10000,(8.25+(N69-10000)*0.01%),IF(AND(N69&gt;=8000,N69&lt;10000),(7.85+(N69-8000)*0.02%),IF(AND(N69&gt;=5000,N69&lt;8000),(6.65+(N69-5000)*0.04%),IF(AND(N69&gt;=2000,N69&lt;5000),(4.25+(PN69-2000)*0.08%),IF(AND(N69&gt;=1000,N69&lt;2000),(2.75+(N69-1000)*0.15%),IF(AND(N69&gt;=100,N69&lt;1000),(0.5+(N69-100)*0.25%),IF(AND(N69&gt;0,N69&lt;100),N69*0.5%)))))))</f>
        <v>7.0808</v>
      </c>
      <c r="N87" s="53">
        <f ca="1">ROUND(M87*0.9,1)</f>
        <v>6.4</v>
      </c>
      <c r="O87" s="3017"/>
      <c r="P87" s="311"/>
      <c r="Q87" s="2026"/>
      <c r="R87" s="2026"/>
      <c r="S87" s="2026"/>
      <c r="T87" s="2026"/>
      <c r="U87" s="2026"/>
      <c r="V87" s="2026"/>
      <c r="W87" s="292"/>
      <c r="X87" s="292"/>
      <c r="Y87" s="292"/>
      <c r="Z87" s="292"/>
    </row>
    <row r="88" spans="1:26" s="1312" customFormat="1" ht="15" thickBot="1">
      <c r="A88" s="3265" t="s">
        <v>437</v>
      </c>
      <c r="B88" s="3266"/>
      <c r="C88" s="3266"/>
      <c r="D88" s="3266"/>
      <c r="E88" s="3266"/>
      <c r="F88" s="3266"/>
      <c r="G88" s="3266"/>
      <c r="H88" s="3266"/>
      <c r="I88" s="1313"/>
      <c r="J88" s="2034"/>
      <c r="K88" s="3211"/>
      <c r="L88" s="3024" t="s">
        <v>2888</v>
      </c>
      <c r="M88" s="3014">
        <f ca="1">IF(N69&gt;10000,N69*0.5%,IF(AND(N69&gt;5000,N69&lt;=10000),N69*1%,IF(AND(N69&gt;1000,N69&lt;=5000),N69*2%,IF(AND(N69&gt;200,N69&lt;=1000),N69*3%,N69*5%))))</f>
        <v>60.77</v>
      </c>
      <c r="N88" s="53">
        <f ca="1">ROUND(M88,1)</f>
        <v>60.8</v>
      </c>
      <c r="O88" s="3017"/>
      <c r="P88" s="11"/>
      <c r="Q88" s="2031"/>
      <c r="R88" s="2031"/>
      <c r="S88" s="2031"/>
      <c r="T88" s="2031"/>
      <c r="U88" s="2031"/>
      <c r="V88" s="2031"/>
      <c r="W88" s="2035"/>
      <c r="X88" s="2035"/>
      <c r="Y88" s="2035"/>
      <c r="Z88" s="2035"/>
    </row>
    <row r="89" spans="1:26" s="1312" customFormat="1" ht="14.25">
      <c r="A89" s="3229" t="s">
        <v>428</v>
      </c>
      <c r="B89" s="3230"/>
      <c r="C89" s="992"/>
      <c r="D89" s="992" t="s">
        <v>429</v>
      </c>
      <c r="E89" s="391" t="s">
        <v>438</v>
      </c>
      <c r="F89" s="392"/>
      <c r="G89" s="392"/>
      <c r="H89" s="393"/>
      <c r="I89" s="1314"/>
      <c r="J89" s="2036"/>
      <c r="K89" s="3211"/>
      <c r="L89" s="3024" t="s">
        <v>27</v>
      </c>
      <c r="M89" s="3015"/>
      <c r="N89" s="53">
        <f ca="1">ROUND(SUM(N83:N88),0)</f>
        <v>165</v>
      </c>
      <c r="O89" s="3025">
        <f ca="1">N89/N69</f>
        <v>2.7151555043607042E-2</v>
      </c>
      <c r="P89" s="2031"/>
      <c r="Q89" s="2031"/>
      <c r="R89" s="2031"/>
      <c r="S89" s="2031"/>
      <c r="T89" s="2031"/>
      <c r="U89" s="2031"/>
      <c r="V89" s="2031"/>
      <c r="W89" s="2035"/>
      <c r="X89" s="2035"/>
      <c r="Y89" s="2035"/>
      <c r="Z89" s="2035"/>
    </row>
    <row r="90" spans="1:26" s="1312" customFormat="1" ht="14.25">
      <c r="A90" s="381" t="s">
        <v>1825</v>
      </c>
      <c r="B90" s="382" t="s">
        <v>439</v>
      </c>
      <c r="C90" s="385">
        <f ca="1">ROUND(D63/(1+'数据-取费表'!C42),0)</f>
        <v>3453</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1831</v>
      </c>
      <c r="B91" s="348" t="s">
        <v>440</v>
      </c>
      <c r="C91" s="385">
        <f ca="1">C92+C96</f>
        <v>2608</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1832</v>
      </c>
      <c r="B92" s="376" t="s">
        <v>441</v>
      </c>
      <c r="C92" s="378">
        <f>ROUND(IF(G95="2016年5月1日后购买",C93/(1+'数据-取费表'!C30)+C94+C95,C93+C94+C95),0)</f>
        <v>2581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1834</v>
      </c>
      <c r="B94" s="400" t="s">
        <v>446</v>
      </c>
      <c r="C94" s="378">
        <f>IF(F93="购房发票",ROUND(C93*H93*5%,0),0)</f>
        <v>500</v>
      </c>
      <c r="D94" s="401">
        <v>0.05</v>
      </c>
      <c r="E94" s="3262" t="s">
        <v>447</v>
      </c>
      <c r="F94" s="3263"/>
      <c r="G94" s="3263"/>
      <c r="H94" s="3264"/>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7" t="str">
        <f>IF(G95="个人买卖住房","免征印花税"," ")</f>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1836</v>
      </c>
      <c r="B96" s="376" t="s">
        <v>450</v>
      </c>
      <c r="C96" s="405">
        <f ca="1">ROUND(D63*D96/(1+'数据-取费表'!C42),0)</f>
        <v>27</v>
      </c>
      <c r="D96" s="406">
        <f>'数据-取费表'!B43</f>
        <v>7.8400000000000015E-3</v>
      </c>
      <c r="E96" s="3252" t="s">
        <v>2430</v>
      </c>
      <c r="F96" s="3253"/>
      <c r="G96" s="3253"/>
      <c r="H96" s="3254"/>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1837</v>
      </c>
      <c r="B97" s="382" t="s">
        <v>451</v>
      </c>
      <c r="C97" s="385">
        <f ca="1">C90-C91</f>
        <v>845</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1838</v>
      </c>
      <c r="B98" s="382" t="s">
        <v>452</v>
      </c>
      <c r="C98" s="407">
        <f ca="1">IF(C97&lt;=0,0,C97/C91)</f>
        <v>0.32400306748466257</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1839</v>
      </c>
      <c r="B99" s="387" t="s">
        <v>453</v>
      </c>
      <c r="C99" s="408">
        <f ca="1">ROUND(IF(C97&lt;=0,0,IF(C98&gt;=200%,C97*60%-C91*35%,IF(C98&gt;=100%,C97*50%-C91*15%,IF(C98&gt;=50%,C97*40%-C91*5%,IF(C98&lt;50%,C97*30%,0))))),0)</f>
        <v>254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265" t="s">
        <v>454</v>
      </c>
      <c r="B101" s="3266"/>
      <c r="C101" s="3266"/>
      <c r="D101" s="3266"/>
      <c r="E101" s="3266"/>
      <c r="F101" s="3266"/>
      <c r="G101" s="3266"/>
      <c r="H101" s="3266"/>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229" t="s">
        <v>428</v>
      </c>
      <c r="B102" s="3230"/>
      <c r="C102" s="992"/>
      <c r="D102" s="992"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1825</v>
      </c>
      <c r="B103" s="382" t="s">
        <v>439</v>
      </c>
      <c r="C103" s="385">
        <f ca="1">ROUND(D63/(1+'数据-取费表'!C42),0)</f>
        <v>3453</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1831</v>
      </c>
      <c r="B104" s="348" t="s">
        <v>440</v>
      </c>
      <c r="C104" s="385">
        <f ca="1">IF(H106="仅含出让金",C105+C108+C109+C110+C111+C112,C105+C109+C110+C111+C112)</f>
        <v>722</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1832</v>
      </c>
      <c r="B105" s="376" t="s">
        <v>455</v>
      </c>
      <c r="C105" s="405">
        <f>C106+C107</f>
        <v>577</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1833</v>
      </c>
      <c r="B106" s="376" t="s">
        <v>456</v>
      </c>
      <c r="C106" s="416">
        <v>555</v>
      </c>
      <c r="D106" s="406"/>
      <c r="E106" s="417" t="s">
        <v>457</v>
      </c>
      <c r="F106" s="984"/>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1834</v>
      </c>
      <c r="B107" s="376" t="s">
        <v>448</v>
      </c>
      <c r="C107" s="405">
        <f>ROUND(C106*D107,0)</f>
        <v>22</v>
      </c>
      <c r="D107" s="406">
        <f>'数据-取费表'!B48+'数据-取费表'!B49</f>
        <v>4.0500000000000001E-2</v>
      </c>
      <c r="E107" s="417"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1836</v>
      </c>
      <c r="B108" s="376" t="s">
        <v>460</v>
      </c>
      <c r="C108" s="416"/>
      <c r="D108" s="406"/>
      <c r="E108" s="417" t="str">
        <f>IF(H106="-","土地取得成本中已包含该笔费用"," ")</f>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1840</v>
      </c>
      <c r="B109" s="376" t="s">
        <v>461</v>
      </c>
      <c r="C109" s="405">
        <f>IF(H109="——",IF(F1="现房",'剩余法-现房'!C18,'剩余法-待开发'!C18),I109)</f>
        <v>55</v>
      </c>
      <c r="D109" s="406"/>
      <c r="E109" s="3255" t="s">
        <v>462</v>
      </c>
      <c r="F109" s="3253"/>
      <c r="G109" s="3253"/>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1841</v>
      </c>
      <c r="B110" s="376" t="s">
        <v>463</v>
      </c>
      <c r="C110" s="405">
        <f>ROUND((C105+C108+C109)*D110,0)</f>
        <v>63</v>
      </c>
      <c r="D110" s="406">
        <v>0.1</v>
      </c>
      <c r="E110" s="3255" t="s">
        <v>464</v>
      </c>
      <c r="F110" s="3253"/>
      <c r="G110" s="3253"/>
      <c r="H110" s="3254"/>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1842</v>
      </c>
      <c r="B111" s="376" t="s">
        <v>450</v>
      </c>
      <c r="C111" s="405">
        <f ca="1">ROUND(D63*D111/(1+'数据-取费表'!C42),0)</f>
        <v>27</v>
      </c>
      <c r="D111" s="406">
        <f>'数据-取费表'!B43</f>
        <v>7.8400000000000015E-3</v>
      </c>
      <c r="E111" s="3252" t="s">
        <v>2430</v>
      </c>
      <c r="F111" s="3253"/>
      <c r="G111" s="3253"/>
      <c r="H111" s="3254"/>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1843</v>
      </c>
      <c r="B112" s="376" t="s">
        <v>465</v>
      </c>
      <c r="C112" s="405">
        <f>ROUND(C108*D112,0)</f>
        <v>0</v>
      </c>
      <c r="D112" s="406">
        <v>0.2</v>
      </c>
      <c r="E112" s="3255" t="s">
        <v>2455</v>
      </c>
      <c r="F112" s="3253"/>
      <c r="G112" s="3253"/>
      <c r="H112" s="3254"/>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1837</v>
      </c>
      <c r="B113" s="382" t="s">
        <v>451</v>
      </c>
      <c r="C113" s="385">
        <f ca="1">ROUND(C103-C104,0)</f>
        <v>2731</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1838</v>
      </c>
      <c r="B114" s="382" t="s">
        <v>452</v>
      </c>
      <c r="C114" s="407">
        <f ca="1">IF(C113&lt;=0,0,C113/C104)</f>
        <v>3.7825484764542936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1839</v>
      </c>
      <c r="B115" s="387" t="s">
        <v>453</v>
      </c>
      <c r="C115" s="408">
        <f ca="1">ROUND(IF(C113&lt;=0,0,IF(C114&gt;=200%,C113*60%-C104*35%,IF(C114&gt;=100%,C113*50%-C104*15%,IF(C114&gt;=50%,C113*40%-C104*5%,IF(C114&lt;50%,C113*30%,0))))),0)</f>
        <v>1386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43" zoomScale="80" zoomScaleNormal="95" zoomScaleSheetLayoutView="80" workbookViewId="0">
      <selection activeCell="A6" sqref="A6:J4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6">
        <f>F68</f>
        <v>2187</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1686</v>
      </c>
      <c r="B3" s="508">
        <f>ROUND(B2*10000/'数据-汇总表'!E3,0)</f>
        <v>264</v>
      </c>
      <c r="C3" s="2059"/>
      <c r="D3" s="258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09" t="s">
        <v>521</v>
      </c>
      <c r="B4" s="427">
        <f>IF(B48="单位面积地价",C50,ROUND(B2*10000/'数据-汇总表'!D3,0))</f>
        <v>581</v>
      </c>
      <c r="C4" s="2059"/>
      <c r="D4" s="258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39</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0" t="s">
        <v>522</v>
      </c>
      <c r="B6" s="511"/>
      <c r="C6" s="3310" t="s">
        <v>523</v>
      </c>
      <c r="D6" s="3311"/>
      <c r="E6" s="3310" t="s">
        <v>524</v>
      </c>
      <c r="F6" s="3311"/>
      <c r="G6" s="3310" t="s">
        <v>525</v>
      </c>
      <c r="H6" s="3311"/>
      <c r="I6" s="3310" t="s">
        <v>526</v>
      </c>
      <c r="J6" s="3311"/>
      <c r="K6" s="512" t="s">
        <v>527</v>
      </c>
      <c r="L6" s="2131"/>
      <c r="M6" s="2130"/>
      <c r="N6" s="2130"/>
      <c r="O6" s="2132"/>
      <c r="P6" s="3312" t="s">
        <v>528</v>
      </c>
      <c r="Q6" s="3313"/>
      <c r="R6" s="3298" t="s">
        <v>524</v>
      </c>
      <c r="S6" s="3299"/>
      <c r="T6" s="3298" t="s">
        <v>525</v>
      </c>
      <c r="U6" s="3299"/>
      <c r="V6" s="3318" t="s">
        <v>526</v>
      </c>
      <c r="W6" s="3318"/>
      <c r="X6" s="1566"/>
      <c r="Y6" s="3298" t="s">
        <v>528</v>
      </c>
      <c r="Z6" s="3299"/>
      <c r="AA6" s="3293" t="s">
        <v>524</v>
      </c>
      <c r="AB6" s="3294" t="s">
        <v>525</v>
      </c>
      <c r="AC6" s="3293" t="s">
        <v>526</v>
      </c>
    </row>
    <row r="7" spans="1:30" ht="20.25">
      <c r="A7" s="513"/>
      <c r="B7" s="514"/>
      <c r="C7" s="3323" t="s">
        <v>2932</v>
      </c>
      <c r="D7" s="3322"/>
      <c r="E7" s="3321" t="s">
        <v>3084</v>
      </c>
      <c r="F7" s="3322"/>
      <c r="G7" s="3321" t="s">
        <v>3092</v>
      </c>
      <c r="H7" s="3322"/>
      <c r="I7" s="3321" t="s">
        <v>3094</v>
      </c>
      <c r="J7" s="3322"/>
      <c r="K7" s="512"/>
      <c r="L7" s="2131"/>
      <c r="M7" s="2130"/>
      <c r="N7" s="2130"/>
      <c r="O7" s="2132"/>
      <c r="P7" s="3314"/>
      <c r="Q7" s="3315"/>
      <c r="R7" s="3300"/>
      <c r="S7" s="3301"/>
      <c r="T7" s="3300"/>
      <c r="U7" s="3301"/>
      <c r="V7" s="3318"/>
      <c r="W7" s="3318"/>
      <c r="X7" s="1566"/>
      <c r="Y7" s="3300"/>
      <c r="Z7" s="3301"/>
      <c r="AA7" s="3294"/>
      <c r="AB7" s="3294"/>
      <c r="AC7" s="3294"/>
    </row>
    <row r="8" spans="1:30" ht="21" thickBot="1">
      <c r="A8" s="513"/>
      <c r="B8" s="514"/>
      <c r="C8" s="3324" t="s">
        <v>2936</v>
      </c>
      <c r="D8" s="3325"/>
      <c r="E8" s="3326" t="s">
        <v>3085</v>
      </c>
      <c r="F8" s="3325"/>
      <c r="G8" s="3319" t="s">
        <v>3093</v>
      </c>
      <c r="H8" s="3320"/>
      <c r="I8" s="3319" t="s">
        <v>3095</v>
      </c>
      <c r="J8" s="3320"/>
      <c r="K8" s="512" t="s">
        <v>529</v>
      </c>
      <c r="L8" s="2131"/>
      <c r="M8" s="2130"/>
      <c r="N8" s="2130"/>
      <c r="O8" s="2132"/>
      <c r="P8" s="3316"/>
      <c r="Q8" s="3317"/>
      <c r="R8" s="3300"/>
      <c r="S8" s="3301"/>
      <c r="T8" s="3302"/>
      <c r="U8" s="3303"/>
      <c r="V8" s="3318"/>
      <c r="W8" s="3318"/>
      <c r="X8" s="1566"/>
      <c r="Y8" s="3302"/>
      <c r="Z8" s="3303"/>
      <c r="AA8" s="3295"/>
      <c r="AB8" s="3295"/>
      <c r="AC8" s="3295"/>
    </row>
    <row r="9" spans="1:30" s="1218" customFormat="1" ht="21" thickBot="1">
      <c r="A9" s="2876"/>
      <c r="B9" s="2883" t="s">
        <v>530</v>
      </c>
      <c r="C9" s="2875">
        <f>'数据-取费表'!B2</f>
        <v>43061</v>
      </c>
      <c r="D9" s="518">
        <v>100</v>
      </c>
      <c r="E9" s="519">
        <v>42261</v>
      </c>
      <c r="F9" s="520">
        <f>SUMIF(72:72,YEAR(E9)&amp;"-"&amp;INT((MONTH(E9)+2)/3),73:73)</f>
        <v>95.5</v>
      </c>
      <c r="G9" s="521">
        <v>42878</v>
      </c>
      <c r="H9" s="518">
        <f>SUMIF(72:72,YEAR(G9)&amp;"-"&amp;INT((MONTH(G9)+2)/3),73:73)</f>
        <v>99</v>
      </c>
      <c r="I9" s="521">
        <v>42214</v>
      </c>
      <c r="J9" s="518">
        <f>SUMIF(72:72,YEAR(I9)&amp;"-"&amp;INT((MONTH(I9)+2)/3),73:73)</f>
        <v>95.5</v>
      </c>
      <c r="K9" s="522"/>
      <c r="L9" s="2133"/>
      <c r="M9" s="2130"/>
      <c r="N9" s="2130"/>
      <c r="O9" s="2134"/>
      <c r="P9" s="3296" t="s">
        <v>531</v>
      </c>
      <c r="Q9" s="3305"/>
      <c r="R9" s="1567" t="s">
        <v>8</v>
      </c>
      <c r="S9" s="1568">
        <f t="shared" ref="S9:S17" si="0">F9</f>
        <v>95.5</v>
      </c>
      <c r="T9" s="1567" t="s">
        <v>8</v>
      </c>
      <c r="U9" s="1568">
        <f t="shared" ref="U9:U17" si="1">H9</f>
        <v>99</v>
      </c>
      <c r="V9" s="1567" t="s">
        <v>8</v>
      </c>
      <c r="W9" s="1568">
        <f t="shared" ref="W9:W17" si="2">J9</f>
        <v>95.5</v>
      </c>
      <c r="X9" s="1569"/>
      <c r="Y9" s="3296" t="s">
        <v>531</v>
      </c>
      <c r="Z9" s="3297"/>
      <c r="AA9" s="1570">
        <f>D9/F9</f>
        <v>1.0471204188481675</v>
      </c>
      <c r="AB9" s="1570">
        <f>D9/H9</f>
        <v>1.0101010101010102</v>
      </c>
      <c r="AC9" s="1570">
        <f>D9/J9</f>
        <v>1.0471204188481675</v>
      </c>
    </row>
    <row r="10" spans="1:30" s="1218" customFormat="1" ht="21" thickBot="1">
      <c r="A10" s="2877"/>
      <c r="B10" s="2884" t="s">
        <v>532</v>
      </c>
      <c r="C10" s="854" t="s">
        <v>533</v>
      </c>
      <c r="D10" s="518">
        <v>100</v>
      </c>
      <c r="E10" s="523" t="s">
        <v>3004</v>
      </c>
      <c r="F10" s="520">
        <f>SUMIF(75:75,E10,76:76)-SUMIF(75:75,C10,76:76)+100</f>
        <v>100</v>
      </c>
      <c r="G10" s="523" t="s">
        <v>3004</v>
      </c>
      <c r="H10" s="518">
        <f>SUMIF(75:75,G10,76:76)-SUMIF(75:75,C10,76:76)+100</f>
        <v>100</v>
      </c>
      <c r="I10" s="523" t="s">
        <v>3004</v>
      </c>
      <c r="J10" s="518">
        <f>SUMIF(75:75,I10,76:76)-SUMIF(75:75,C10,76:76)+100</f>
        <v>100</v>
      </c>
      <c r="K10" s="522"/>
      <c r="L10" s="2133"/>
      <c r="M10" s="2130"/>
      <c r="N10" s="2130"/>
      <c r="O10" s="2134"/>
      <c r="P10" s="3296" t="s">
        <v>534</v>
      </c>
      <c r="Q10" s="3297"/>
      <c r="R10" s="1567" t="s">
        <v>8</v>
      </c>
      <c r="S10" s="1568">
        <f t="shared" si="0"/>
        <v>100</v>
      </c>
      <c r="T10" s="1567" t="s">
        <v>8</v>
      </c>
      <c r="U10" s="1568">
        <f t="shared" si="1"/>
        <v>100</v>
      </c>
      <c r="V10" s="1567" t="s">
        <v>8</v>
      </c>
      <c r="W10" s="1568">
        <f t="shared" si="2"/>
        <v>100</v>
      </c>
      <c r="X10" s="1569"/>
      <c r="Y10" s="3296" t="s">
        <v>534</v>
      </c>
      <c r="Z10" s="3297"/>
      <c r="AA10" s="1570">
        <f t="shared" ref="AA10:AA47" si="3">D10/F10</f>
        <v>1</v>
      </c>
      <c r="AB10" s="1570">
        <f t="shared" ref="AB10:AB47" si="4">D10/H10</f>
        <v>1</v>
      </c>
      <c r="AC10" s="1570">
        <f t="shared" ref="AC10:AC47" si="5">D10/J10</f>
        <v>1</v>
      </c>
    </row>
    <row r="11" spans="1:30" s="1218" customFormat="1" ht="20.25">
      <c r="A11" s="2878"/>
      <c r="B11" s="2885" t="s">
        <v>2762</v>
      </c>
      <c r="C11" s="2872" t="s">
        <v>3086</v>
      </c>
      <c r="D11" s="254">
        <v>100</v>
      </c>
      <c r="E11" s="524" t="s">
        <v>3088</v>
      </c>
      <c r="F11" s="254">
        <f>SUMIF(77:77,E11,78:78)-SUMIF(77:77,C11,78:78)+100</f>
        <v>100</v>
      </c>
      <c r="G11" s="524" t="s">
        <v>3088</v>
      </c>
      <c r="H11" s="254">
        <f>SUMIF(77:77,G11,78:78)-SUMIF(77:77,C11,78:78)+100</f>
        <v>100</v>
      </c>
      <c r="I11" s="524" t="s">
        <v>3088</v>
      </c>
      <c r="J11" s="254">
        <f>SUMIF(77:77,I11,78:78)-SUMIF(77:77,C11,78:78)+100</f>
        <v>100</v>
      </c>
      <c r="K11" s="522"/>
      <c r="L11" s="2133"/>
      <c r="M11" s="2130"/>
      <c r="N11" s="2130"/>
      <c r="O11" s="2135"/>
      <c r="P11" s="3304" t="s">
        <v>536</v>
      </c>
      <c r="Q11" s="1149" t="str">
        <f t="shared" ref="Q11:Q17" si="6">B11</f>
        <v>用途</v>
      </c>
      <c r="R11" s="1567" t="s">
        <v>8</v>
      </c>
      <c r="S11" s="1568">
        <f t="shared" si="0"/>
        <v>100</v>
      </c>
      <c r="T11" s="1567" t="s">
        <v>8</v>
      </c>
      <c r="U11" s="1568">
        <f t="shared" si="1"/>
        <v>100</v>
      </c>
      <c r="V11" s="1567" t="s">
        <v>8</v>
      </c>
      <c r="W11" s="1568">
        <f t="shared" si="2"/>
        <v>100</v>
      </c>
      <c r="X11" s="1569"/>
      <c r="Y11" s="3261" t="s">
        <v>537</v>
      </c>
      <c r="Z11" s="1148" t="str">
        <f t="shared" ref="Z11:Z17" si="7">Q11</f>
        <v>用途</v>
      </c>
      <c r="AA11" s="1570">
        <f t="shared" si="3"/>
        <v>1</v>
      </c>
      <c r="AB11" s="1570">
        <f t="shared" si="4"/>
        <v>1</v>
      </c>
      <c r="AC11" s="1570">
        <f t="shared" si="5"/>
        <v>1</v>
      </c>
    </row>
    <row r="12" spans="1:30" s="1336" customFormat="1" ht="27">
      <c r="A12" s="2879"/>
      <c r="B12" s="2884" t="s">
        <v>2763</v>
      </c>
      <c r="C12" s="908" t="str">
        <f>项目基本情况!D20</f>
        <v>商业36.29年</v>
      </c>
      <c r="D12" s="255">
        <v>100</v>
      </c>
      <c r="E12" s="527" t="s">
        <v>3091</v>
      </c>
      <c r="F12" s="255">
        <f>ROUND(100/'数据-取费表'!G16,0)</f>
        <v>104</v>
      </c>
      <c r="G12" s="528" t="s">
        <v>3091</v>
      </c>
      <c r="H12" s="255">
        <f>ROUND(100/'数据-取费表'!G16,0)</f>
        <v>104</v>
      </c>
      <c r="I12" s="528" t="s">
        <v>3091</v>
      </c>
      <c r="J12" s="255">
        <f>ROUND(100/'数据-取费表'!G16,0)</f>
        <v>104</v>
      </c>
      <c r="K12" s="529"/>
      <c r="L12" s="2136"/>
      <c r="M12" s="2130"/>
      <c r="N12" s="2130"/>
      <c r="O12" s="2137"/>
      <c r="P12" s="3304"/>
      <c r="Q12" s="1149" t="str">
        <f t="shared" si="6"/>
        <v>土地使用年限（年）</v>
      </c>
      <c r="R12" s="1567" t="s">
        <v>8</v>
      </c>
      <c r="S12" s="1568">
        <f t="shared" si="0"/>
        <v>104</v>
      </c>
      <c r="T12" s="1567" t="s">
        <v>8</v>
      </c>
      <c r="U12" s="1568">
        <f t="shared" si="1"/>
        <v>104</v>
      </c>
      <c r="V12" s="1567" t="s">
        <v>8</v>
      </c>
      <c r="W12" s="1568">
        <f t="shared" si="2"/>
        <v>104</v>
      </c>
      <c r="X12" s="1569"/>
      <c r="Y12" s="3261"/>
      <c r="Z12" s="1148" t="str">
        <f t="shared" si="7"/>
        <v>土地使用年限（年）</v>
      </c>
      <c r="AA12" s="1570">
        <f t="shared" si="3"/>
        <v>0.96153846153846156</v>
      </c>
      <c r="AB12" s="1570">
        <f t="shared" si="4"/>
        <v>0.96153846153846156</v>
      </c>
      <c r="AC12" s="1570">
        <f t="shared" si="5"/>
        <v>0.96153846153846156</v>
      </c>
    </row>
    <row r="13" spans="1:30" ht="20.25">
      <c r="A13" s="2880"/>
      <c r="B13" s="2884" t="s">
        <v>2764</v>
      </c>
      <c r="C13" s="532">
        <v>2.2000000000000002</v>
      </c>
      <c r="D13" s="255">
        <v>100</v>
      </c>
      <c r="E13" s="531">
        <v>1.8</v>
      </c>
      <c r="F13" s="255">
        <f>LOOKUP(E13,82:82,83:83)-LOOKUP(C13,82:82,83:83)+100</f>
        <v>102</v>
      </c>
      <c r="G13" s="532">
        <v>2.0099999999999998</v>
      </c>
      <c r="H13" s="255">
        <f>LOOKUP(G13,82:82,83:83)-LOOKUP(C13,82:82,83:83)+100</f>
        <v>100</v>
      </c>
      <c r="I13" s="531">
        <v>2.06</v>
      </c>
      <c r="J13" s="255">
        <f>LOOKUP(I13,82:82,83:83)-LOOKUP(C13,82:82,83:83)+100</f>
        <v>100</v>
      </c>
      <c r="K13" s="533">
        <v>2</v>
      </c>
      <c r="L13" s="2138"/>
      <c r="M13" s="2130"/>
      <c r="N13" s="2130"/>
      <c r="O13" s="2139"/>
      <c r="P13" s="3304"/>
      <c r="Q13" s="1149" t="str">
        <f t="shared" si="6"/>
        <v>容积率</v>
      </c>
      <c r="R13" s="1567" t="s">
        <v>8</v>
      </c>
      <c r="S13" s="1568">
        <f t="shared" si="0"/>
        <v>102</v>
      </c>
      <c r="T13" s="1567" t="s">
        <v>8</v>
      </c>
      <c r="U13" s="1568">
        <f t="shared" si="1"/>
        <v>100</v>
      </c>
      <c r="V13" s="1567" t="s">
        <v>8</v>
      </c>
      <c r="W13" s="1568">
        <f t="shared" si="2"/>
        <v>100</v>
      </c>
      <c r="X13" s="1569"/>
      <c r="Y13" s="3261"/>
      <c r="Z13" s="1148" t="str">
        <f t="shared" si="7"/>
        <v>容积率</v>
      </c>
      <c r="AA13" s="1570">
        <f t="shared" si="3"/>
        <v>0.98039215686274506</v>
      </c>
      <c r="AB13" s="1570">
        <f t="shared" si="4"/>
        <v>1</v>
      </c>
      <c r="AC13" s="1570">
        <f t="shared" si="5"/>
        <v>1</v>
      </c>
    </row>
    <row r="14" spans="1:30" s="1218" customFormat="1" ht="20.25" hidden="1">
      <c r="A14" s="2877"/>
      <c r="B14" s="2886" t="s">
        <v>2765</v>
      </c>
      <c r="C14" s="2873"/>
      <c r="D14" s="536">
        <v>100</v>
      </c>
      <c r="E14" s="1373"/>
      <c r="F14" s="255">
        <f>SUMIF(84:84,E14,85:85)-SUMIF(84:84,C14,85:85)+100</f>
        <v>100</v>
      </c>
      <c r="G14" s="528"/>
      <c r="H14" s="255">
        <f>SUMIF(84:84,G14,85:85)-SUMIF(84:84,C14,85:85)+100</f>
        <v>100</v>
      </c>
      <c r="I14" s="527"/>
      <c r="J14" s="255">
        <f>SUMIF(84:84,I14,85:85)-SUMIF(84:84,C14,85:85)+100</f>
        <v>100</v>
      </c>
      <c r="K14" s="529"/>
      <c r="L14" s="2133"/>
      <c r="M14" s="2130"/>
      <c r="N14" s="2130"/>
      <c r="O14" s="2135"/>
      <c r="P14" s="3304"/>
      <c r="Q14" s="1149" t="str">
        <f t="shared" si="6"/>
        <v>配建</v>
      </c>
      <c r="R14" s="1567" t="s">
        <v>8</v>
      </c>
      <c r="S14" s="1568">
        <f t="shared" si="0"/>
        <v>100</v>
      </c>
      <c r="T14" s="1567" t="s">
        <v>8</v>
      </c>
      <c r="U14" s="1568">
        <f t="shared" si="1"/>
        <v>100</v>
      </c>
      <c r="V14" s="1567" t="s">
        <v>8</v>
      </c>
      <c r="W14" s="1568">
        <f t="shared" si="2"/>
        <v>100</v>
      </c>
      <c r="X14" s="1569"/>
      <c r="Y14" s="3261"/>
      <c r="Z14" s="1148" t="str">
        <f t="shared" si="7"/>
        <v>配建</v>
      </c>
      <c r="AA14" s="1570">
        <f>D14/F14</f>
        <v>1</v>
      </c>
      <c r="AB14" s="1570">
        <f>D14/H14</f>
        <v>1</v>
      </c>
      <c r="AC14" s="1570">
        <f>D14/J14</f>
        <v>1</v>
      </c>
    </row>
    <row r="15" spans="1:30" ht="20.25" hidden="1">
      <c r="A15" s="2881"/>
      <c r="B15" s="2887">
        <v>111</v>
      </c>
      <c r="C15" s="910"/>
      <c r="D15" s="538">
        <v>100</v>
      </c>
      <c r="E15" s="539"/>
      <c r="F15" s="255">
        <f>SUMIF(86:86,E15,87:87)-SUMIF(86:86,C15,87:87)+100</f>
        <v>100</v>
      </c>
      <c r="G15" s="540"/>
      <c r="H15" s="538">
        <f>SUMIF(86:86,G15,87:87)-SUMIF(86:86,C15,87:87)+100</f>
        <v>100</v>
      </c>
      <c r="I15" s="540"/>
      <c r="J15" s="538">
        <f>SUMIF(86:86,I15,87:87)-SUMIF(86:86,C15,87:87)+100</f>
        <v>100</v>
      </c>
      <c r="K15" s="529"/>
      <c r="L15" s="2140"/>
      <c r="M15" s="2130"/>
      <c r="N15" s="2130"/>
      <c r="O15" s="2139"/>
      <c r="P15" s="3304"/>
      <c r="Q15" s="1149">
        <f t="shared" si="6"/>
        <v>111</v>
      </c>
      <c r="R15" s="1567" t="s">
        <v>8</v>
      </c>
      <c r="S15" s="1568">
        <f t="shared" si="0"/>
        <v>100</v>
      </c>
      <c r="T15" s="1567" t="s">
        <v>8</v>
      </c>
      <c r="U15" s="1568">
        <f t="shared" si="1"/>
        <v>100</v>
      </c>
      <c r="V15" s="1567" t="s">
        <v>8</v>
      </c>
      <c r="W15" s="1568">
        <f t="shared" si="2"/>
        <v>100</v>
      </c>
      <c r="X15" s="1569"/>
      <c r="Y15" s="3261"/>
      <c r="Z15" s="1148">
        <f t="shared" si="7"/>
        <v>111</v>
      </c>
      <c r="AA15" s="1570">
        <f>D15/F15</f>
        <v>1</v>
      </c>
      <c r="AB15" s="1570">
        <f>D15/H15</f>
        <v>1</v>
      </c>
      <c r="AC15" s="1570">
        <f>D15/J15</f>
        <v>1</v>
      </c>
    </row>
    <row r="16" spans="1:30" ht="21" hidden="1" thickBot="1">
      <c r="A16" s="2882"/>
      <c r="B16" s="2888">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04"/>
      <c r="Q16" s="1149">
        <f t="shared" si="6"/>
        <v>111</v>
      </c>
      <c r="R16" s="1567" t="s">
        <v>8</v>
      </c>
      <c r="S16" s="1568">
        <f t="shared" si="0"/>
        <v>100</v>
      </c>
      <c r="T16" s="1567" t="s">
        <v>8</v>
      </c>
      <c r="U16" s="1568">
        <f t="shared" si="1"/>
        <v>100</v>
      </c>
      <c r="V16" s="1567" t="s">
        <v>8</v>
      </c>
      <c r="W16" s="1568">
        <f t="shared" si="2"/>
        <v>100</v>
      </c>
      <c r="X16" s="1569"/>
      <c r="Y16" s="3261"/>
      <c r="Z16" s="1148">
        <f t="shared" si="7"/>
        <v>111</v>
      </c>
      <c r="AA16" s="1570">
        <f>D16/F16</f>
        <v>1</v>
      </c>
      <c r="AB16" s="1570">
        <f>D16/H16</f>
        <v>1</v>
      </c>
      <c r="AC16" s="1570">
        <f>D16/J16</f>
        <v>1</v>
      </c>
    </row>
    <row r="17" spans="1:29" ht="99.75" hidden="1">
      <c r="A17" s="2874" t="s">
        <v>2760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306" t="s">
        <v>541</v>
      </c>
      <c r="Q17" s="1571" t="str">
        <f t="shared" si="6"/>
        <v>居住社区成熟度</v>
      </c>
      <c r="R17" s="1572" t="s">
        <v>8</v>
      </c>
      <c r="S17" s="1573">
        <f t="shared" si="0"/>
        <v>100</v>
      </c>
      <c r="T17" s="1572" t="s">
        <v>8</v>
      </c>
      <c r="U17" s="1573">
        <f t="shared" si="1"/>
        <v>100</v>
      </c>
      <c r="V17" s="1572" t="s">
        <v>8</v>
      </c>
      <c r="W17" s="1573">
        <f t="shared" si="2"/>
        <v>100</v>
      </c>
      <c r="X17" s="1566"/>
      <c r="Y17" s="3306" t="s">
        <v>541</v>
      </c>
      <c r="Z17" s="1574" t="str">
        <f t="shared" si="7"/>
        <v>居住社区成熟度</v>
      </c>
      <c r="AA17" s="1575">
        <f t="shared" si="3"/>
        <v>1</v>
      </c>
      <c r="AB17" s="1575">
        <f t="shared" si="4"/>
        <v>1</v>
      </c>
      <c r="AC17" s="1575">
        <f t="shared" si="5"/>
        <v>1</v>
      </c>
    </row>
    <row r="18" spans="1:29" ht="20.25" hidden="1">
      <c r="A18" s="530"/>
      <c r="B18" s="551"/>
      <c r="C18" s="552" t="s">
        <v>3017</v>
      </c>
      <c r="D18" s="555"/>
      <c r="E18" s="556" t="s">
        <v>3017</v>
      </c>
      <c r="F18" s="553"/>
      <c r="G18" s="554" t="s">
        <v>3017</v>
      </c>
      <c r="H18" s="557"/>
      <c r="I18" s="556" t="s">
        <v>3017</v>
      </c>
      <c r="J18" s="553"/>
      <c r="K18" s="529"/>
      <c r="L18" s="2140"/>
      <c r="M18" s="2130"/>
      <c r="N18" s="2130"/>
      <c r="O18" s="2139"/>
      <c r="P18" s="3307"/>
      <c r="Q18" s="1571"/>
      <c r="R18" s="1572"/>
      <c r="S18" s="1573"/>
      <c r="T18" s="1572"/>
      <c r="U18" s="1573"/>
      <c r="V18" s="1572"/>
      <c r="W18" s="1573"/>
      <c r="X18" s="1566"/>
      <c r="Y18" s="3307"/>
      <c r="Z18" s="1574"/>
      <c r="AA18" s="1575">
        <v>1</v>
      </c>
      <c r="AB18" s="1575">
        <v>1</v>
      </c>
      <c r="AC18" s="1575">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103</v>
      </c>
      <c r="G19" s="560"/>
      <c r="H19" s="563">
        <f>SUMIF(92:92,G20,93:93)-SUMIF(92:92,C20,93:93)+100</f>
        <v>100</v>
      </c>
      <c r="I19" s="562"/>
      <c r="J19" s="563">
        <f>SUMIF(92:92,I20,93:93)-SUMIF(92:92,C20,93:93)+100</f>
        <v>103</v>
      </c>
      <c r="K19" s="533">
        <v>3</v>
      </c>
      <c r="L19" s="2140"/>
      <c r="M19" s="2130"/>
      <c r="N19" s="2130"/>
      <c r="O19" s="2139"/>
      <c r="P19" s="3307"/>
      <c r="Q19" s="1571" t="str">
        <f>B19</f>
        <v>商业繁华度</v>
      </c>
      <c r="R19" s="1572" t="s">
        <v>8</v>
      </c>
      <c r="S19" s="1573">
        <f>F19</f>
        <v>103</v>
      </c>
      <c r="T19" s="1572" t="s">
        <v>8</v>
      </c>
      <c r="U19" s="1573">
        <f>H19</f>
        <v>100</v>
      </c>
      <c r="V19" s="1572" t="s">
        <v>8</v>
      </c>
      <c r="W19" s="1573">
        <f>J19</f>
        <v>103</v>
      </c>
      <c r="X19" s="1566"/>
      <c r="Y19" s="3307"/>
      <c r="Z19" s="1574" t="str">
        <f>Q19</f>
        <v>商业繁华度</v>
      </c>
      <c r="AA19" s="1575">
        <f t="shared" si="3"/>
        <v>0.970873786407767</v>
      </c>
      <c r="AB19" s="1575">
        <f t="shared" si="4"/>
        <v>1</v>
      </c>
      <c r="AC19" s="1575">
        <f t="shared" si="5"/>
        <v>0.970873786407767</v>
      </c>
    </row>
    <row r="20" spans="1:29" ht="20.25">
      <c r="A20" s="530"/>
      <c r="B20" s="564"/>
      <c r="C20" s="565" t="s">
        <v>3019</v>
      </c>
      <c r="D20" s="561"/>
      <c r="E20" s="567" t="s">
        <v>3017</v>
      </c>
      <c r="F20" s="557"/>
      <c r="G20" s="566" t="s">
        <v>3019</v>
      </c>
      <c r="H20" s="553"/>
      <c r="I20" s="567" t="s">
        <v>3017</v>
      </c>
      <c r="J20" s="553"/>
      <c r="K20" s="529"/>
      <c r="L20" s="2140"/>
      <c r="M20" s="2130"/>
      <c r="N20" s="2130"/>
      <c r="O20" s="2139"/>
      <c r="P20" s="3307"/>
      <c r="Q20" s="1571"/>
      <c r="R20" s="1572"/>
      <c r="S20" s="1573"/>
      <c r="T20" s="1572"/>
      <c r="U20" s="1573"/>
      <c r="V20" s="1572"/>
      <c r="W20" s="1573"/>
      <c r="X20" s="1566"/>
      <c r="Y20" s="3307"/>
      <c r="Z20" s="1574"/>
      <c r="AA20" s="1575">
        <v>1</v>
      </c>
      <c r="AB20" s="1575">
        <v>1</v>
      </c>
      <c r="AC20" s="1575">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307"/>
      <c r="Q21" s="1571" t="str">
        <f>B21</f>
        <v>办公集聚程度</v>
      </c>
      <c r="R21" s="1572" t="s">
        <v>8</v>
      </c>
      <c r="S21" s="1573">
        <f>F21</f>
        <v>100</v>
      </c>
      <c r="T21" s="1572" t="s">
        <v>8</v>
      </c>
      <c r="U21" s="1573">
        <f>H21</f>
        <v>100</v>
      </c>
      <c r="V21" s="1572" t="s">
        <v>8</v>
      </c>
      <c r="W21" s="1573">
        <f>J21</f>
        <v>100</v>
      </c>
      <c r="X21" s="1566"/>
      <c r="Y21" s="3307"/>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307"/>
      <c r="Q22" s="1571"/>
      <c r="R22" s="1572"/>
      <c r="S22" s="1573"/>
      <c r="T22" s="1572"/>
      <c r="U22" s="1573"/>
      <c r="V22" s="1572"/>
      <c r="W22" s="1573"/>
      <c r="X22" s="1566"/>
      <c r="Y22" s="3307"/>
      <c r="Z22" s="1574"/>
      <c r="AA22" s="1575">
        <v>1</v>
      </c>
      <c r="AB22" s="1575">
        <v>1</v>
      </c>
      <c r="AC22" s="1575">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2</v>
      </c>
      <c r="L23" s="2140"/>
      <c r="M23" s="2130"/>
      <c r="N23" s="2130"/>
      <c r="O23" s="2139"/>
      <c r="P23" s="3307"/>
      <c r="Q23" s="1571" t="str">
        <f>B23</f>
        <v>交通便捷度</v>
      </c>
      <c r="R23" s="1572" t="s">
        <v>8</v>
      </c>
      <c r="S23" s="1573">
        <f>F23</f>
        <v>100</v>
      </c>
      <c r="T23" s="1572" t="s">
        <v>8</v>
      </c>
      <c r="U23" s="1573">
        <f>H23</f>
        <v>100</v>
      </c>
      <c r="V23" s="1572" t="s">
        <v>8</v>
      </c>
      <c r="W23" s="1573">
        <f>J23</f>
        <v>100</v>
      </c>
      <c r="X23" s="1566"/>
      <c r="Y23" s="3307"/>
      <c r="Z23" s="1574" t="str">
        <f>Q23</f>
        <v>交通便捷度</v>
      </c>
      <c r="AA23" s="1575">
        <f t="shared" si="3"/>
        <v>1</v>
      </c>
      <c r="AB23" s="1575">
        <f t="shared" si="4"/>
        <v>1</v>
      </c>
      <c r="AC23" s="1575">
        <f t="shared" si="5"/>
        <v>1</v>
      </c>
    </row>
    <row r="24" spans="1:29" ht="20.25">
      <c r="A24" s="530"/>
      <c r="B24" s="576"/>
      <c r="C24" s="552" t="s">
        <v>3017</v>
      </c>
      <c r="D24" s="555"/>
      <c r="E24" s="556" t="s">
        <v>3017</v>
      </c>
      <c r="F24" s="553"/>
      <c r="G24" s="554" t="s">
        <v>3017</v>
      </c>
      <c r="H24" s="553"/>
      <c r="I24" s="556" t="s">
        <v>3017</v>
      </c>
      <c r="J24" s="553"/>
      <c r="K24" s="529"/>
      <c r="L24" s="2140"/>
      <c r="M24" s="2130"/>
      <c r="N24" s="2130"/>
      <c r="O24" s="2139"/>
      <c r="P24" s="3307"/>
      <c r="Q24" s="1571"/>
      <c r="R24" s="1572"/>
      <c r="S24" s="1573"/>
      <c r="T24" s="1572"/>
      <c r="U24" s="1573"/>
      <c r="V24" s="1572"/>
      <c r="W24" s="1573"/>
      <c r="X24" s="1566"/>
      <c r="Y24" s="3307"/>
      <c r="Z24" s="1574"/>
      <c r="AA24" s="1575">
        <v>1</v>
      </c>
      <c r="AB24" s="1575">
        <v>1</v>
      </c>
      <c r="AC24" s="1575">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0"/>
      <c r="M25" s="2130"/>
      <c r="N25" s="2130"/>
      <c r="O25" s="2139"/>
      <c r="P25" s="3307"/>
      <c r="Q25" s="1571" t="str">
        <f t="shared" ref="Q25:Q39" si="8">B25</f>
        <v>区域土地利用方向</v>
      </c>
      <c r="R25" s="1572" t="s">
        <v>8</v>
      </c>
      <c r="S25" s="1573">
        <f>F25</f>
        <v>100</v>
      </c>
      <c r="T25" s="1572" t="s">
        <v>8</v>
      </c>
      <c r="U25" s="1573">
        <f>H25</f>
        <v>100</v>
      </c>
      <c r="V25" s="1572" t="s">
        <v>8</v>
      </c>
      <c r="W25" s="1573">
        <f>J25</f>
        <v>100</v>
      </c>
      <c r="X25" s="1566"/>
      <c r="Y25" s="3307"/>
      <c r="Z25" s="1574" t="str">
        <f>Q25</f>
        <v>区域土地利用方向</v>
      </c>
      <c r="AA25" s="1575">
        <f t="shared" si="3"/>
        <v>1</v>
      </c>
      <c r="AB25" s="1575">
        <f t="shared" si="4"/>
        <v>1</v>
      </c>
      <c r="AC25" s="1575">
        <f t="shared" si="5"/>
        <v>1</v>
      </c>
    </row>
    <row r="26" spans="1:29" ht="20.25">
      <c r="A26" s="513"/>
      <c r="B26" s="1005"/>
      <c r="C26" s="552" t="s">
        <v>3017</v>
      </c>
      <c r="D26" s="555"/>
      <c r="E26" s="556" t="s">
        <v>3017</v>
      </c>
      <c r="F26" s="553"/>
      <c r="G26" s="554" t="s">
        <v>3017</v>
      </c>
      <c r="H26" s="553"/>
      <c r="I26" s="556" t="s">
        <v>3017</v>
      </c>
      <c r="J26" s="553"/>
      <c r="K26" s="529"/>
      <c r="L26" s="2140"/>
      <c r="M26" s="2130"/>
      <c r="N26" s="2130"/>
      <c r="O26" s="2139"/>
      <c r="P26" s="3307"/>
      <c r="Q26" s="1571"/>
      <c r="R26" s="1572"/>
      <c r="S26" s="1573"/>
      <c r="T26" s="1572"/>
      <c r="U26" s="1573"/>
      <c r="V26" s="1572"/>
      <c r="W26" s="1573"/>
      <c r="X26" s="1566"/>
      <c r="Y26" s="3307"/>
      <c r="Z26" s="1574"/>
      <c r="AA26" s="1575"/>
      <c r="AB26" s="1575"/>
      <c r="AC26" s="1575"/>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307"/>
      <c r="Q27" s="1571" t="str">
        <f t="shared" si="8"/>
        <v>自然及人文环境状况</v>
      </c>
      <c r="R27" s="1572" t="s">
        <v>8</v>
      </c>
      <c r="S27" s="1573">
        <f>F27</f>
        <v>100</v>
      </c>
      <c r="T27" s="1572" t="s">
        <v>8</v>
      </c>
      <c r="U27" s="1573">
        <f>H27</f>
        <v>100</v>
      </c>
      <c r="V27" s="1572" t="s">
        <v>8</v>
      </c>
      <c r="W27" s="1573">
        <f>J27</f>
        <v>100</v>
      </c>
      <c r="X27" s="1566"/>
      <c r="Y27" s="3307"/>
      <c r="Z27" s="1574" t="str">
        <f>Q27</f>
        <v>自然及人文环境状况</v>
      </c>
      <c r="AA27" s="1575">
        <f t="shared" si="3"/>
        <v>1</v>
      </c>
      <c r="AB27" s="1575">
        <f t="shared" si="4"/>
        <v>1</v>
      </c>
      <c r="AC27" s="1575">
        <f t="shared" si="5"/>
        <v>1</v>
      </c>
    </row>
    <row r="28" spans="1:29" ht="20.25">
      <c r="A28" s="513"/>
      <c r="B28" s="564"/>
      <c r="C28" s="552" t="s">
        <v>3017</v>
      </c>
      <c r="D28" s="555"/>
      <c r="E28" s="574" t="s">
        <v>3017</v>
      </c>
      <c r="F28" s="553"/>
      <c r="G28" s="552" t="s">
        <v>3017</v>
      </c>
      <c r="H28" s="553"/>
      <c r="I28" s="574" t="s">
        <v>3017</v>
      </c>
      <c r="J28" s="553"/>
      <c r="K28" s="529"/>
      <c r="L28" s="2140"/>
      <c r="M28" s="2130"/>
      <c r="N28" s="2130"/>
      <c r="O28" s="2139"/>
      <c r="P28" s="3307"/>
      <c r="Q28" s="1571"/>
      <c r="R28" s="1572"/>
      <c r="S28" s="1573"/>
      <c r="T28" s="1572"/>
      <c r="U28" s="1573"/>
      <c r="V28" s="1572"/>
      <c r="W28" s="1573"/>
      <c r="X28" s="1566"/>
      <c r="Y28" s="3307"/>
      <c r="Z28" s="1574"/>
      <c r="AA28" s="1575">
        <v>1</v>
      </c>
      <c r="AB28" s="1575">
        <v>1</v>
      </c>
      <c r="AC28" s="1575">
        <v>1</v>
      </c>
    </row>
    <row r="29" spans="1:29" s="1218" customFormat="1" ht="42.75">
      <c r="A29" s="575"/>
      <c r="B29" s="2610" t="s">
        <v>2552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3</v>
      </c>
      <c r="L29" s="2133"/>
      <c r="M29" s="2130"/>
      <c r="N29" s="2130"/>
      <c r="O29" s="2135"/>
      <c r="P29" s="3307"/>
      <c r="Q29" s="1149" t="str">
        <f t="shared" si="8"/>
        <v>公共配套设施</v>
      </c>
      <c r="R29" s="1567" t="s">
        <v>8</v>
      </c>
      <c r="S29" s="1568">
        <f>F29</f>
        <v>100</v>
      </c>
      <c r="T29" s="1567" t="s">
        <v>8</v>
      </c>
      <c r="U29" s="1568">
        <f>H29</f>
        <v>100</v>
      </c>
      <c r="V29" s="1567" t="s">
        <v>8</v>
      </c>
      <c r="W29" s="1568">
        <f>J29</f>
        <v>100</v>
      </c>
      <c r="X29" s="1569"/>
      <c r="Y29" s="3307"/>
      <c r="Z29" s="1148" t="str">
        <f>Q29</f>
        <v>公共配套设施</v>
      </c>
      <c r="AA29" s="1575">
        <f>D29/F29</f>
        <v>1</v>
      </c>
      <c r="AB29" s="1575">
        <f>D29/H29</f>
        <v>1</v>
      </c>
      <c r="AC29" s="1575">
        <f>D29/J29</f>
        <v>1</v>
      </c>
    </row>
    <row r="30" spans="1:29" s="1218" customFormat="1" ht="20.25">
      <c r="A30" s="575"/>
      <c r="B30" s="564"/>
      <c r="C30" s="577" t="s">
        <v>3019</v>
      </c>
      <c r="D30" s="555"/>
      <c r="E30" s="574" t="s">
        <v>3019</v>
      </c>
      <c r="F30" s="553"/>
      <c r="G30" s="552" t="s">
        <v>3019</v>
      </c>
      <c r="H30" s="553"/>
      <c r="I30" s="574" t="s">
        <v>3019</v>
      </c>
      <c r="J30" s="553"/>
      <c r="K30" s="529"/>
      <c r="L30" s="2133"/>
      <c r="M30" s="2130"/>
      <c r="N30" s="2130"/>
      <c r="O30" s="2135"/>
      <c r="P30" s="3307"/>
      <c r="Q30" s="1149"/>
      <c r="R30" s="1567"/>
      <c r="S30" s="1568"/>
      <c r="T30" s="1567"/>
      <c r="U30" s="1568"/>
      <c r="V30" s="1567"/>
      <c r="W30" s="1568"/>
      <c r="X30" s="1569"/>
      <c r="Y30" s="3307"/>
      <c r="Z30" s="1148"/>
      <c r="AA30" s="1575">
        <v>1</v>
      </c>
      <c r="AB30" s="1575">
        <v>1</v>
      </c>
      <c r="AC30" s="1575">
        <v>1</v>
      </c>
    </row>
    <row r="31" spans="1:29" s="1218" customFormat="1" ht="28.5">
      <c r="A31" s="575"/>
      <c r="B31" s="2610" t="s">
        <v>2553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3"/>
      <c r="M31" s="2130"/>
      <c r="N31" s="2130"/>
      <c r="O31" s="2135"/>
      <c r="P31" s="3307"/>
      <c r="Q31" s="2597" t="str">
        <f t="shared" ref="Q31" si="9">B31</f>
        <v>基础设施水平</v>
      </c>
      <c r="R31" s="1567" t="s">
        <v>8</v>
      </c>
      <c r="S31" s="1568">
        <f>F31</f>
        <v>100</v>
      </c>
      <c r="T31" s="1567" t="s">
        <v>8</v>
      </c>
      <c r="U31" s="1568">
        <f>H31</f>
        <v>100</v>
      </c>
      <c r="V31" s="1567" t="s">
        <v>8</v>
      </c>
      <c r="W31" s="1568">
        <f>J31</f>
        <v>100</v>
      </c>
      <c r="X31" s="1569"/>
      <c r="Y31" s="3307"/>
      <c r="Z31" s="2594" t="str">
        <f>Q31</f>
        <v>基础设施水平</v>
      </c>
      <c r="AA31" s="1575">
        <f>D31/F31</f>
        <v>1</v>
      </c>
      <c r="AB31" s="1575">
        <f>D31/H31</f>
        <v>1</v>
      </c>
      <c r="AC31" s="1575">
        <f>D31/J31</f>
        <v>1</v>
      </c>
    </row>
    <row r="32" spans="1:29" s="1218" customFormat="1" ht="20.25">
      <c r="A32" s="575"/>
      <c r="B32" s="564"/>
      <c r="C32" s="577" t="s">
        <v>3024</v>
      </c>
      <c r="D32" s="555"/>
      <c r="E32" s="2611" t="s">
        <v>3024</v>
      </c>
      <c r="F32" s="553"/>
      <c r="G32" s="577" t="s">
        <v>3024</v>
      </c>
      <c r="H32" s="553"/>
      <c r="I32" s="577" t="s">
        <v>3024</v>
      </c>
      <c r="J32" s="553"/>
      <c r="K32" s="529"/>
      <c r="L32" s="2133"/>
      <c r="M32" s="2130"/>
      <c r="N32" s="2130"/>
      <c r="O32" s="2135"/>
      <c r="P32" s="3307"/>
      <c r="Q32" s="2597"/>
      <c r="R32" s="1567"/>
      <c r="S32" s="1568"/>
      <c r="T32" s="1567"/>
      <c r="U32" s="1568"/>
      <c r="V32" s="1567"/>
      <c r="W32" s="1568"/>
      <c r="X32" s="1569"/>
      <c r="Y32" s="3307"/>
      <c r="Z32" s="2594"/>
      <c r="AA32" s="1575">
        <v>1</v>
      </c>
      <c r="AB32" s="1575">
        <v>1</v>
      </c>
      <c r="AC32" s="1575">
        <v>1</v>
      </c>
    </row>
    <row r="33" spans="1:29" ht="20.25">
      <c r="A33" s="530"/>
      <c r="B33" s="564" t="s">
        <v>548</v>
      </c>
      <c r="C33" s="578" t="s">
        <v>3029</v>
      </c>
      <c r="D33" s="573">
        <v>100</v>
      </c>
      <c r="E33" s="581" t="s">
        <v>3029</v>
      </c>
      <c r="F33" s="538">
        <f>SUMIF(106:106,E33,107:107)-SUMIF(106:106,C33,107:107)+100</f>
        <v>100</v>
      </c>
      <c r="G33" s="578" t="s">
        <v>3029</v>
      </c>
      <c r="H33" s="538">
        <f>SUMIF(106:106,G33,107:107)-SUMIF(106:106,C33,107:107)+100</f>
        <v>100</v>
      </c>
      <c r="I33" s="578" t="s">
        <v>3029</v>
      </c>
      <c r="J33" s="538">
        <f>SUMIF(106:106,I33,107:107)-SUMIF(106:106,C33,107:107)+100</f>
        <v>100</v>
      </c>
      <c r="K33" s="533"/>
      <c r="L33" s="2140"/>
      <c r="M33" s="2130"/>
      <c r="N33" s="2130"/>
      <c r="O33" s="2139"/>
      <c r="P33" s="3307"/>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07"/>
      <c r="Z33" s="1574" t="str">
        <f t="shared" ref="Z33:Z47" si="13">Q33</f>
        <v>临街状况</v>
      </c>
      <c r="AA33" s="1575">
        <f t="shared" si="3"/>
        <v>1</v>
      </c>
      <c r="AB33" s="1575">
        <f t="shared" si="4"/>
        <v>1</v>
      </c>
      <c r="AC33" s="1575">
        <f t="shared" si="5"/>
        <v>1</v>
      </c>
    </row>
    <row r="34" spans="1:29" ht="27">
      <c r="A34" s="530"/>
      <c r="B34" s="576" t="s">
        <v>549</v>
      </c>
      <c r="C34" s="560"/>
      <c r="D34" s="561">
        <v>100</v>
      </c>
      <c r="E34" s="562"/>
      <c r="F34" s="557">
        <f>SUMIF(108:108,E35,109:109)-SUMIF(108:108,C35,109:109)+100</f>
        <v>98</v>
      </c>
      <c r="G34" s="560"/>
      <c r="H34" s="557">
        <f>SUMIF(108:108,G35,109:109)-SUMIF(108:108,C35,109:109)+100</f>
        <v>100</v>
      </c>
      <c r="I34" s="562"/>
      <c r="J34" s="557">
        <f>SUMIF(108:108,I35,109:109)-SUMIF(108:108,C35,109:109)+100</f>
        <v>98</v>
      </c>
      <c r="K34" s="533">
        <v>2</v>
      </c>
      <c r="L34" s="2140"/>
      <c r="M34" s="2130"/>
      <c r="N34" s="2130"/>
      <c r="O34" s="2139"/>
      <c r="P34" s="3307"/>
      <c r="Q34" s="1571" t="str">
        <f t="shared" si="8"/>
        <v>毗邻道路的类型与等级</v>
      </c>
      <c r="R34" s="1572" t="s">
        <v>8</v>
      </c>
      <c r="S34" s="1573">
        <f t="shared" si="10"/>
        <v>98</v>
      </c>
      <c r="T34" s="1572" t="s">
        <v>8</v>
      </c>
      <c r="U34" s="1573">
        <f t="shared" si="11"/>
        <v>100</v>
      </c>
      <c r="V34" s="1572" t="s">
        <v>8</v>
      </c>
      <c r="W34" s="1573">
        <f t="shared" si="12"/>
        <v>98</v>
      </c>
      <c r="X34" s="1566"/>
      <c r="Y34" s="3307"/>
      <c r="Z34" s="1574" t="str">
        <f t="shared" si="13"/>
        <v>毗邻道路的类型与等级</v>
      </c>
      <c r="AA34" s="1575">
        <f t="shared" si="3"/>
        <v>1.0204081632653061</v>
      </c>
      <c r="AB34" s="1575">
        <f t="shared" si="4"/>
        <v>1</v>
      </c>
      <c r="AC34" s="1575">
        <f t="shared" si="5"/>
        <v>1.0204081632653061</v>
      </c>
    </row>
    <row r="35" spans="1:29" ht="21" thickBot="1">
      <c r="A35" s="530"/>
      <c r="B35" s="564"/>
      <c r="C35" s="552" t="s">
        <v>3007</v>
      </c>
      <c r="D35" s="555"/>
      <c r="E35" s="574" t="s">
        <v>3009</v>
      </c>
      <c r="F35" s="553"/>
      <c r="G35" s="552" t="s">
        <v>3007</v>
      </c>
      <c r="H35" s="553"/>
      <c r="I35" s="574" t="s">
        <v>3009</v>
      </c>
      <c r="J35" s="553"/>
      <c r="K35" s="579"/>
      <c r="L35" s="2140"/>
      <c r="M35" s="2130"/>
      <c r="N35" s="2130"/>
      <c r="O35" s="2139"/>
      <c r="P35" s="3307"/>
      <c r="Q35" s="1571"/>
      <c r="R35" s="1572"/>
      <c r="S35" s="1573"/>
      <c r="T35" s="1572"/>
      <c r="U35" s="1573"/>
      <c r="V35" s="1572"/>
      <c r="W35" s="1573"/>
      <c r="X35" s="1566"/>
      <c r="Y35" s="3307"/>
      <c r="Z35" s="1574"/>
      <c r="AA35" s="1575">
        <v>1</v>
      </c>
      <c r="AB35" s="1575">
        <v>1</v>
      </c>
      <c r="AC35" s="1575">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07"/>
      <c r="Q36" s="1571" t="str">
        <f t="shared" si="8"/>
        <v>土地级别</v>
      </c>
      <c r="R36" s="1572" t="s">
        <v>8</v>
      </c>
      <c r="S36" s="1573">
        <f t="shared" si="10"/>
        <v>100</v>
      </c>
      <c r="T36" s="1572" t="s">
        <v>8</v>
      </c>
      <c r="U36" s="1573">
        <f t="shared" si="11"/>
        <v>100</v>
      </c>
      <c r="V36" s="1572" t="s">
        <v>8</v>
      </c>
      <c r="W36" s="1573">
        <f t="shared" si="12"/>
        <v>100</v>
      </c>
      <c r="X36" s="1566"/>
      <c r="Y36" s="3307"/>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07"/>
      <c r="Q37" s="1571">
        <f t="shared" si="8"/>
        <v>111</v>
      </c>
      <c r="R37" s="1572" t="s">
        <v>8</v>
      </c>
      <c r="S37" s="1573">
        <f t="shared" si="10"/>
        <v>100</v>
      </c>
      <c r="T37" s="1572" t="s">
        <v>8</v>
      </c>
      <c r="U37" s="1573">
        <f t="shared" si="11"/>
        <v>100</v>
      </c>
      <c r="V37" s="1572" t="s">
        <v>8</v>
      </c>
      <c r="W37" s="1573">
        <f t="shared" si="12"/>
        <v>100</v>
      </c>
      <c r="X37" s="1566"/>
      <c r="Y37" s="3307"/>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08" t="s">
        <v>551</v>
      </c>
      <c r="Q38" s="1571">
        <f t="shared" si="8"/>
        <v>111</v>
      </c>
      <c r="R38" s="1572" t="s">
        <v>8</v>
      </c>
      <c r="S38" s="1573">
        <f t="shared" si="10"/>
        <v>100</v>
      </c>
      <c r="T38" s="1572" t="s">
        <v>8</v>
      </c>
      <c r="U38" s="1573">
        <f t="shared" si="11"/>
        <v>100</v>
      </c>
      <c r="V38" s="1572" t="s">
        <v>8</v>
      </c>
      <c r="W38" s="1573">
        <f t="shared" si="12"/>
        <v>100</v>
      </c>
      <c r="X38" s="1566"/>
      <c r="Y38" s="3309" t="s">
        <v>551</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09"/>
      <c r="Q39" s="1571">
        <f t="shared" si="8"/>
        <v>111</v>
      </c>
      <c r="R39" s="1576" t="s">
        <v>8</v>
      </c>
      <c r="S39" s="1577">
        <f t="shared" si="10"/>
        <v>100</v>
      </c>
      <c r="T39" s="1576" t="s">
        <v>8</v>
      </c>
      <c r="U39" s="1577">
        <f t="shared" si="11"/>
        <v>100</v>
      </c>
      <c r="V39" s="1576" t="s">
        <v>8</v>
      </c>
      <c r="W39" s="1577">
        <f t="shared" si="12"/>
        <v>100</v>
      </c>
      <c r="X39" s="1578"/>
      <c r="Y39" s="3309"/>
      <c r="Z39" s="1579">
        <f t="shared" si="13"/>
        <v>111</v>
      </c>
      <c r="AA39" s="1575">
        <f t="shared" si="3"/>
        <v>1</v>
      </c>
      <c r="AB39" s="1575">
        <f t="shared" si="4"/>
        <v>1</v>
      </c>
      <c r="AC39" s="1575">
        <f t="shared" si="5"/>
        <v>1</v>
      </c>
    </row>
    <row r="40" spans="1:29" ht="20.25">
      <c r="A40" s="2871" t="s">
        <v>2761</v>
      </c>
      <c r="B40" s="593" t="s">
        <v>553</v>
      </c>
      <c r="C40" s="594">
        <f>'数据-基础表'!A3</f>
        <v>37649</v>
      </c>
      <c r="D40" s="595">
        <v>100</v>
      </c>
      <c r="E40" s="594">
        <v>5814.36</v>
      </c>
      <c r="F40" s="595">
        <f>LOOKUP(E40,119:119,120:120)-LOOKUP(C40,119:119,120:120)+100</f>
        <v>100</v>
      </c>
      <c r="G40" s="594">
        <v>19717.59</v>
      </c>
      <c r="H40" s="595">
        <f>LOOKUP(G40,119:119,120:120)-LOOKUP(C40,119:119,120:120)+100</f>
        <v>100</v>
      </c>
      <c r="I40" s="596">
        <v>29146.080000000002</v>
      </c>
      <c r="J40" s="595">
        <f>LOOKUP(I40,119:119,120:120)-LOOKUP(C40,119:119,120:120)+100</f>
        <v>100</v>
      </c>
      <c r="K40" s="579"/>
      <c r="L40" s="2140"/>
      <c r="M40" s="2130"/>
      <c r="N40" s="2130"/>
      <c r="O40" s="2139"/>
      <c r="P40" s="3309"/>
      <c r="Q40" s="1571" t="str">
        <f>B40</f>
        <v>宗地面积</v>
      </c>
      <c r="R40" s="1572" t="s">
        <v>8</v>
      </c>
      <c r="S40" s="1573">
        <f t="shared" si="10"/>
        <v>100</v>
      </c>
      <c r="T40" s="1572" t="s">
        <v>8</v>
      </c>
      <c r="U40" s="1573">
        <f t="shared" si="11"/>
        <v>100</v>
      </c>
      <c r="V40" s="1572" t="s">
        <v>8</v>
      </c>
      <c r="W40" s="1573">
        <f t="shared" si="12"/>
        <v>100</v>
      </c>
      <c r="X40" s="1566"/>
      <c r="Y40" s="3309"/>
      <c r="Z40" s="1574" t="str">
        <f t="shared" si="13"/>
        <v>宗地面积</v>
      </c>
      <c r="AA40" s="1575">
        <f t="shared" si="3"/>
        <v>1</v>
      </c>
      <c r="AB40" s="1575">
        <f t="shared" si="4"/>
        <v>1</v>
      </c>
      <c r="AC40" s="1575">
        <f t="shared" si="5"/>
        <v>1</v>
      </c>
    </row>
    <row r="41" spans="1:29" ht="20.25">
      <c r="A41" s="592"/>
      <c r="B41" s="525" t="s">
        <v>554</v>
      </c>
      <c r="C41" s="597" t="s">
        <v>3013</v>
      </c>
      <c r="D41" s="538">
        <v>100</v>
      </c>
      <c r="E41" s="597" t="s">
        <v>3013</v>
      </c>
      <c r="F41" s="538">
        <f>SUMIF(121:121,E41,122:122)-SUMIF(121:121,C41,122:122)+100</f>
        <v>100</v>
      </c>
      <c r="G41" s="597" t="s">
        <v>3096</v>
      </c>
      <c r="H41" s="538">
        <f>SUMIF(121:121,G41,122:122)-SUMIF(121:121,C41,122:122)+100</f>
        <v>97</v>
      </c>
      <c r="I41" s="597" t="s">
        <v>3013</v>
      </c>
      <c r="J41" s="538">
        <f>SUMIF(121:121,I41,122:122)-SUMIF(121:121,C41,122:122)+100</f>
        <v>100</v>
      </c>
      <c r="K41" s="582">
        <v>3</v>
      </c>
      <c r="L41" s="2140"/>
      <c r="M41" s="2130"/>
      <c r="N41" s="2130"/>
      <c r="O41" s="2139"/>
      <c r="P41" s="3309"/>
      <c r="Q41" s="1571" t="str">
        <f t="shared" ref="Q41:Q47" si="14">B41</f>
        <v>宗地形状</v>
      </c>
      <c r="R41" s="1572" t="s">
        <v>8</v>
      </c>
      <c r="S41" s="1573">
        <f t="shared" si="10"/>
        <v>100</v>
      </c>
      <c r="T41" s="1572" t="s">
        <v>8</v>
      </c>
      <c r="U41" s="1573">
        <f t="shared" si="11"/>
        <v>97</v>
      </c>
      <c r="V41" s="1572" t="s">
        <v>8</v>
      </c>
      <c r="W41" s="1573">
        <f t="shared" si="12"/>
        <v>100</v>
      </c>
      <c r="X41" s="1566"/>
      <c r="Y41" s="3309"/>
      <c r="Z41" s="1574" t="str">
        <f t="shared" si="13"/>
        <v>宗地形状</v>
      </c>
      <c r="AA41" s="1575">
        <f t="shared" si="3"/>
        <v>1</v>
      </c>
      <c r="AB41" s="1575">
        <f t="shared" si="4"/>
        <v>1.0309278350515463</v>
      </c>
      <c r="AC41" s="1575">
        <f t="shared" si="5"/>
        <v>1</v>
      </c>
    </row>
    <row r="42" spans="1:29" ht="20.25">
      <c r="A42" s="592"/>
      <c r="B42" s="525" t="s">
        <v>555</v>
      </c>
      <c r="C42" s="597" t="s">
        <v>3017</v>
      </c>
      <c r="D42" s="538">
        <v>100</v>
      </c>
      <c r="E42" s="597" t="s">
        <v>3017</v>
      </c>
      <c r="F42" s="538">
        <f>SUMIF(123:123,E42,124:124)-SUMIF(123:123,C42,124:124)+100</f>
        <v>100</v>
      </c>
      <c r="G42" s="597" t="s">
        <v>3019</v>
      </c>
      <c r="H42" s="538">
        <f>SUMIF(123:123,G42,124:124)-SUMIF(123:123,C42,124:124)+100</f>
        <v>97</v>
      </c>
      <c r="I42" s="597" t="s">
        <v>3017</v>
      </c>
      <c r="J42" s="538">
        <f>SUMIF(123:123,I42,124:124)-SUMIF(123:123,C42,124:124)+100</f>
        <v>100</v>
      </c>
      <c r="K42" s="582">
        <v>3</v>
      </c>
      <c r="L42" s="2140"/>
      <c r="M42" s="2130"/>
      <c r="N42" s="2130"/>
      <c r="O42" s="2139"/>
      <c r="P42" s="3309"/>
      <c r="Q42" s="1571" t="str">
        <f t="shared" si="14"/>
        <v>临街宽度及深度</v>
      </c>
      <c r="R42" s="1572" t="s">
        <v>8</v>
      </c>
      <c r="S42" s="1573">
        <f t="shared" si="10"/>
        <v>100</v>
      </c>
      <c r="T42" s="1572" t="s">
        <v>8</v>
      </c>
      <c r="U42" s="1573">
        <f t="shared" si="11"/>
        <v>97</v>
      </c>
      <c r="V42" s="1572" t="s">
        <v>8</v>
      </c>
      <c r="W42" s="1573">
        <f t="shared" si="12"/>
        <v>100</v>
      </c>
      <c r="X42" s="1566"/>
      <c r="Y42" s="3309"/>
      <c r="Z42" s="1574" t="str">
        <f t="shared" si="13"/>
        <v>临街宽度及深度</v>
      </c>
      <c r="AA42" s="1575">
        <f t="shared" si="3"/>
        <v>1</v>
      </c>
      <c r="AB42" s="1575">
        <f t="shared" si="4"/>
        <v>1.0309278350515463</v>
      </c>
      <c r="AC42" s="1575">
        <f t="shared" si="5"/>
        <v>1</v>
      </c>
    </row>
    <row r="43" spans="1:29" s="1218" customFormat="1" ht="20.25">
      <c r="A43" s="598"/>
      <c r="B43" s="1893" t="s">
        <v>2426</v>
      </c>
      <c r="C43" s="599" t="s">
        <v>3024</v>
      </c>
      <c r="D43" s="255">
        <v>100</v>
      </c>
      <c r="E43" s="599" t="s">
        <v>3024</v>
      </c>
      <c r="F43" s="538">
        <f>SUMIF(125:125,E43,126:126)-SUMIF(125:125,C43,126:126)+100</f>
        <v>100</v>
      </c>
      <c r="G43" s="599" t="s">
        <v>3024</v>
      </c>
      <c r="H43" s="538">
        <f>SUMIF(125:125,G43,126:126)-SUMIF(125:125,C43,126:126)+100</f>
        <v>100</v>
      </c>
      <c r="I43" s="599" t="s">
        <v>3024</v>
      </c>
      <c r="J43" s="538">
        <f>SUMIF(125:125,I43,126:126)-SUMIF(125:125,C43,126:126)+100</f>
        <v>100</v>
      </c>
      <c r="K43" s="582"/>
      <c r="L43" s="2133"/>
      <c r="M43" s="2130"/>
      <c r="N43" s="2130"/>
      <c r="O43" s="2135"/>
      <c r="P43" s="3309"/>
      <c r="Q43" s="1571" t="str">
        <f t="shared" si="14"/>
        <v>宗地开发程度</v>
      </c>
      <c r="R43" s="1567" t="s">
        <v>8</v>
      </c>
      <c r="S43" s="1568">
        <f t="shared" si="10"/>
        <v>100</v>
      </c>
      <c r="T43" s="1567" t="s">
        <v>8</v>
      </c>
      <c r="U43" s="1568">
        <f t="shared" si="11"/>
        <v>100</v>
      </c>
      <c r="V43" s="1567" t="s">
        <v>8</v>
      </c>
      <c r="W43" s="1568">
        <f t="shared" si="12"/>
        <v>100</v>
      </c>
      <c r="X43" s="1569"/>
      <c r="Y43" s="3309"/>
      <c r="Z43" s="1148" t="str">
        <f t="shared" si="13"/>
        <v>宗地开发程度</v>
      </c>
      <c r="AA43" s="1570">
        <f t="shared" si="3"/>
        <v>1</v>
      </c>
      <c r="AB43" s="1570">
        <f t="shared" si="4"/>
        <v>1</v>
      </c>
      <c r="AC43" s="1570">
        <f t="shared" si="5"/>
        <v>1</v>
      </c>
    </row>
    <row r="44" spans="1:29" ht="21" thickBot="1">
      <c r="A44" s="592"/>
      <c r="B44" s="525" t="s">
        <v>556</v>
      </c>
      <c r="C44" s="597" t="s">
        <v>3017</v>
      </c>
      <c r="D44" s="538">
        <v>100</v>
      </c>
      <c r="E44" s="597" t="s">
        <v>3017</v>
      </c>
      <c r="F44" s="538">
        <f>SUMIF(127:127,E44,128:128)-SUMIF(127:127,C44,128:128)+100</f>
        <v>100</v>
      </c>
      <c r="G44" s="597" t="s">
        <v>3017</v>
      </c>
      <c r="H44" s="538">
        <f>SUMIF(127:127,G44,128:128)-SUMIF(127:127,C44,128:128)+100</f>
        <v>100</v>
      </c>
      <c r="I44" s="597" t="s">
        <v>3017</v>
      </c>
      <c r="J44" s="538">
        <f>SUMIF(127:127,I44,128:128)-SUMIF(127:127,C44,128:128)+100</f>
        <v>100</v>
      </c>
      <c r="K44" s="582"/>
      <c r="L44" s="2140"/>
      <c r="M44" s="2130"/>
      <c r="N44" s="2130"/>
      <c r="O44" s="2139"/>
      <c r="P44" s="3309" t="s">
        <v>551</v>
      </c>
      <c r="Q44" s="1571" t="str">
        <f t="shared" si="14"/>
        <v>工程地质条件</v>
      </c>
      <c r="R44" s="1572" t="s">
        <v>8</v>
      </c>
      <c r="S44" s="1573">
        <f t="shared" si="10"/>
        <v>100</v>
      </c>
      <c r="T44" s="1572" t="s">
        <v>8</v>
      </c>
      <c r="U44" s="1573">
        <f t="shared" si="11"/>
        <v>100</v>
      </c>
      <c r="V44" s="1572" t="s">
        <v>8</v>
      </c>
      <c r="W44" s="1573">
        <f t="shared" si="12"/>
        <v>100</v>
      </c>
      <c r="X44" s="1566"/>
      <c r="Y44" s="3309" t="s">
        <v>551</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09"/>
      <c r="Q45" s="1571">
        <f t="shared" si="14"/>
        <v>111</v>
      </c>
      <c r="R45" s="1572" t="s">
        <v>8</v>
      </c>
      <c r="S45" s="1573">
        <f t="shared" si="10"/>
        <v>100</v>
      </c>
      <c r="T45" s="1572" t="s">
        <v>8</v>
      </c>
      <c r="U45" s="1573">
        <f t="shared" si="11"/>
        <v>100</v>
      </c>
      <c r="V45" s="1572" t="s">
        <v>8</v>
      </c>
      <c r="W45" s="1573">
        <f t="shared" si="12"/>
        <v>100</v>
      </c>
      <c r="X45" s="1566"/>
      <c r="Y45" s="3309"/>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09"/>
      <c r="Q46" s="1571">
        <f t="shared" si="14"/>
        <v>111</v>
      </c>
      <c r="R46" s="1572" t="s">
        <v>8</v>
      </c>
      <c r="S46" s="1573">
        <f t="shared" si="10"/>
        <v>100</v>
      </c>
      <c r="T46" s="1572" t="s">
        <v>8</v>
      </c>
      <c r="U46" s="1573">
        <f t="shared" si="11"/>
        <v>100</v>
      </c>
      <c r="V46" s="1572" t="s">
        <v>8</v>
      </c>
      <c r="W46" s="1573">
        <f t="shared" si="12"/>
        <v>100</v>
      </c>
      <c r="X46" s="1566"/>
      <c r="Y46" s="3309"/>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09"/>
      <c r="Q47" s="1571">
        <f t="shared" si="14"/>
        <v>111</v>
      </c>
      <c r="R47" s="1576" t="s">
        <v>8</v>
      </c>
      <c r="S47" s="1577">
        <f t="shared" si="10"/>
        <v>100</v>
      </c>
      <c r="T47" s="1576" t="s">
        <v>8</v>
      </c>
      <c r="U47" s="1577">
        <f t="shared" si="11"/>
        <v>100</v>
      </c>
      <c r="V47" s="1576" t="s">
        <v>8</v>
      </c>
      <c r="W47" s="1577">
        <f t="shared" si="12"/>
        <v>100</v>
      </c>
      <c r="X47" s="1578"/>
      <c r="Y47" s="3309"/>
      <c r="Z47" s="1579">
        <f t="shared" si="13"/>
        <v>111</v>
      </c>
      <c r="AA47" s="1575">
        <f t="shared" si="3"/>
        <v>1</v>
      </c>
      <c r="AB47" s="1575">
        <f t="shared" si="4"/>
        <v>1</v>
      </c>
      <c r="AC47" s="1575">
        <f t="shared" si="5"/>
        <v>1</v>
      </c>
    </row>
    <row r="48" spans="1:29" ht="20.25">
      <c r="A48" s="605" t="s">
        <v>557</v>
      </c>
      <c r="B48" s="606" t="s">
        <v>3030</v>
      </c>
      <c r="C48" s="607" t="s">
        <v>1</v>
      </c>
      <c r="D48" s="608"/>
      <c r="E48" s="609">
        <v>299</v>
      </c>
      <c r="F48" s="610"/>
      <c r="G48" s="611">
        <v>237</v>
      </c>
      <c r="H48" s="612"/>
      <c r="I48" s="609">
        <v>257</v>
      </c>
      <c r="J48" s="612"/>
      <c r="K48" s="1338"/>
      <c r="L48" s="2142"/>
      <c r="M48" s="2130"/>
      <c r="N48" s="2130"/>
      <c r="O48" s="2143"/>
      <c r="P48" s="3304" t="str">
        <f>A48</f>
        <v>成交单价</v>
      </c>
      <c r="Q48" s="3304"/>
      <c r="R48" s="3318">
        <f>E48</f>
        <v>299</v>
      </c>
      <c r="S48" s="3318"/>
      <c r="T48" s="3318">
        <f>G48</f>
        <v>237</v>
      </c>
      <c r="U48" s="3318"/>
      <c r="V48" s="3318">
        <f>I48</f>
        <v>257</v>
      </c>
      <c r="W48" s="3318"/>
      <c r="X48" s="1558"/>
      <c r="Y48" s="1580"/>
      <c r="Z48" s="1558"/>
      <c r="AA48" s="1558"/>
      <c r="AB48" s="1558"/>
      <c r="AC48" s="1558"/>
    </row>
    <row r="49" spans="1:29" ht="21" thickBot="1">
      <c r="A49" s="613" t="s">
        <v>2699</v>
      </c>
      <c r="B49" s="614"/>
      <c r="C49" s="615">
        <f>R50</f>
        <v>264</v>
      </c>
      <c r="D49" s="616"/>
      <c r="E49" s="615">
        <f>R49</f>
        <v>292</v>
      </c>
      <c r="F49" s="617"/>
      <c r="G49" s="618">
        <f>T49</f>
        <v>245</v>
      </c>
      <c r="H49" s="616"/>
      <c r="I49" s="615">
        <f>V49</f>
        <v>256</v>
      </c>
      <c r="J49" s="616"/>
      <c r="K49" s="1339"/>
      <c r="L49" s="2142"/>
      <c r="M49" s="2130"/>
      <c r="N49" s="2130"/>
      <c r="O49" s="2143"/>
      <c r="P49" s="3304" t="str">
        <f>A49</f>
        <v>比较价格（元/平方米）</v>
      </c>
      <c r="Q49" s="3304"/>
      <c r="R49" s="3330">
        <f>ROUND(PRODUCT(R48,AA9:AA47),0)</f>
        <v>292</v>
      </c>
      <c r="S49" s="3330"/>
      <c r="T49" s="3330">
        <f>ROUND(PRODUCT(T48,AB9:AB47),0)</f>
        <v>245</v>
      </c>
      <c r="U49" s="3330"/>
      <c r="V49" s="3330">
        <f>ROUND(PRODUCT(V48,AC9:AC47),0)</f>
        <v>256</v>
      </c>
      <c r="W49" s="3330"/>
      <c r="X49" s="1558"/>
      <c r="Y49" s="1558"/>
      <c r="Z49" s="1558"/>
      <c r="AA49" s="1558"/>
      <c r="AB49" s="1558"/>
      <c r="AC49" s="1558"/>
    </row>
    <row r="50" spans="1:29" ht="21" thickBot="1">
      <c r="A50" s="619" t="s">
        <v>2938</v>
      </c>
      <c r="B50" s="620"/>
      <c r="C50" s="621">
        <f>R50</f>
        <v>264</v>
      </c>
      <c r="D50" s="621"/>
      <c r="E50" s="621"/>
      <c r="F50" s="621"/>
      <c r="G50" s="621"/>
      <c r="H50" s="621"/>
      <c r="I50" s="621"/>
      <c r="J50" s="621"/>
      <c r="K50" s="1340"/>
      <c r="L50" s="2142"/>
      <c r="M50" s="2130"/>
      <c r="N50" s="2130"/>
      <c r="O50" s="2143"/>
      <c r="P50" s="3327" t="str">
        <f>A50</f>
        <v>估价对象XX用房的比较价格（楼面单价，元/平方米）</v>
      </c>
      <c r="Q50" s="3328"/>
      <c r="R50" s="3329">
        <f>ROUND(AVERAGE(R49:V49),0)</f>
        <v>264</v>
      </c>
      <c r="S50" s="3329"/>
      <c r="T50" s="3329"/>
      <c r="U50" s="3329"/>
      <c r="V50" s="3329"/>
      <c r="W50" s="3329"/>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f>IF(E48&lt;E49,E49/E48-1,E48/E49-1)</f>
        <v>2.3972602739726012E-2</v>
      </c>
      <c r="F53" s="625" t="str">
        <f>IF(OR(E53&gt;=0.3,E53&lt;=-0.3),"超过30%","")</f>
        <v/>
      </c>
      <c r="G53" s="624">
        <f>IF(G48&lt;G49,G49/G48-1,G48/G49-1)</f>
        <v>3.3755274261603407E-2</v>
      </c>
      <c r="H53" s="625" t="str">
        <f>IF(OR(G53&gt;=0.3,G53&lt;=-0.3),"超过30%","")</f>
        <v/>
      </c>
      <c r="I53" s="624">
        <f>IF(I48&lt;I49,I49/I48-1,I48/I49-1)</f>
        <v>3.90625E-3</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f>IF(E49&lt;G49,G49/E49-1,E49/G49-1)</f>
        <v>0.19183673469387763</v>
      </c>
      <c r="F54" s="625" t="str">
        <f>IF(OR(E54&gt;=0.2,E54&lt;=-0.2),"超过20%","")</f>
        <v/>
      </c>
      <c r="G54" s="624">
        <f>IF(G49&lt;I49,I49/G49-1,G49/I49-1)</f>
        <v>4.4897959183673564E-2</v>
      </c>
      <c r="H54" s="625" t="str">
        <f>IF(OR(G54&gt;=0.2,G54&lt;=-0.2),"超过20%","")</f>
        <v/>
      </c>
      <c r="I54" s="624">
        <f>IF(I49&lt;E49,E49/I49-1,I49/E49-1)</f>
        <v>0.140625</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f>IF(E48&lt;G48,G48/E48-1,E48/G48-1)</f>
        <v>0.26160337552742607</v>
      </c>
      <c r="F55" s="625" t="str">
        <f>IF(OR(E55&gt;=0.3,E55&lt;=-0.3),"超过30%","")</f>
        <v/>
      </c>
      <c r="G55" s="624">
        <f>IF(G48&lt;I48,I48/G48-1,G48/I48-1)</f>
        <v>8.4388185654008518E-2</v>
      </c>
      <c r="H55" s="625" t="str">
        <f>IF(OR(G55&gt;=0.3,G55&lt;=-0.3),"超过30%","")</f>
        <v/>
      </c>
      <c r="I55" s="624">
        <f>IF(I48&lt;E48,E48/I48-1,I48/E48-1)</f>
        <v>0.16342412451361876</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561</v>
      </c>
      <c r="B57" s="628" t="s">
        <v>562</v>
      </c>
      <c r="C57" s="1559" t="s">
        <v>1726</v>
      </c>
      <c r="D57" s="2225" t="s">
        <v>2295</v>
      </c>
      <c r="E57" s="629" t="s">
        <v>563</v>
      </c>
      <c r="F57" s="630" t="s">
        <v>564</v>
      </c>
      <c r="G57" s="3288" t="s">
        <v>2283</v>
      </c>
      <c r="H57" s="3289"/>
      <c r="I57" s="1554" t="s">
        <v>1724</v>
      </c>
      <c r="J57" s="1554" t="str">
        <f>项目基本情况!F41</f>
        <v>湖北省天门市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565</v>
      </c>
      <c r="B58" s="632">
        <f>C50</f>
        <v>264</v>
      </c>
      <c r="C58" s="633">
        <v>1</v>
      </c>
      <c r="D58" s="2226">
        <v>1</v>
      </c>
      <c r="E58" s="633">
        <f>'数据-汇总表'!E8+'数据-汇总表'!E9</f>
        <v>82827.8</v>
      </c>
      <c r="F58" s="634">
        <f t="shared" ref="F58:F67" si="15">ROUND(B58*E58/10000,0)</f>
        <v>2187</v>
      </c>
      <c r="G58" s="3290"/>
      <c r="H58" s="3291"/>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566</v>
      </c>
      <c r="B59" s="636">
        <f>ROUND($C$50*C59*D59,0)</f>
        <v>0</v>
      </c>
      <c r="C59" s="378">
        <f t="shared" ref="C59:C67" si="16">IF($C$57="北京市系数",I59,J59)</f>
        <v>0</v>
      </c>
      <c r="D59" s="2227">
        <v>0.25</v>
      </c>
      <c r="E59" s="637">
        <v>0</v>
      </c>
      <c r="F59" s="634">
        <f t="shared" si="15"/>
        <v>0</v>
      </c>
      <c r="G59" s="3292"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567</v>
      </c>
      <c r="B60" s="636">
        <f t="shared" ref="B60:B67" si="17">ROUND($C$50*C60*D60,0)</f>
        <v>0</v>
      </c>
      <c r="C60" s="378">
        <f t="shared" si="16"/>
        <v>0</v>
      </c>
      <c r="D60" s="2227">
        <v>0.25</v>
      </c>
      <c r="E60" s="637">
        <v>0</v>
      </c>
      <c r="F60" s="634">
        <f t="shared" si="15"/>
        <v>0</v>
      </c>
      <c r="G60" s="3292"/>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568</v>
      </c>
      <c r="B61" s="636">
        <f t="shared" si="17"/>
        <v>0</v>
      </c>
      <c r="C61" s="378">
        <f t="shared" si="16"/>
        <v>0</v>
      </c>
      <c r="D61" s="2227">
        <v>0.25</v>
      </c>
      <c r="E61" s="637">
        <v>0</v>
      </c>
      <c r="F61" s="634">
        <f t="shared" si="15"/>
        <v>0</v>
      </c>
      <c r="G61" s="3292"/>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569</v>
      </c>
      <c r="B62" s="636">
        <f t="shared" si="17"/>
        <v>0</v>
      </c>
      <c r="C62" s="378">
        <f t="shared" si="16"/>
        <v>0</v>
      </c>
      <c r="D62" s="2227">
        <v>0.25</v>
      </c>
      <c r="E62" s="637">
        <v>0</v>
      </c>
      <c r="F62" s="634">
        <f t="shared" si="15"/>
        <v>0</v>
      </c>
      <c r="G62" s="3292"/>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6">
        <f t="shared" si="17"/>
        <v>0</v>
      </c>
      <c r="C63" s="378">
        <f t="shared" si="16"/>
        <v>0</v>
      </c>
      <c r="D63" s="2227">
        <v>0.25</v>
      </c>
      <c r="E63" s="639">
        <f>'数据-汇总表'!E11</f>
        <v>0</v>
      </c>
      <c r="F63" s="634">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570</v>
      </c>
      <c r="B64" s="636">
        <f t="shared" si="17"/>
        <v>0</v>
      </c>
      <c r="C64" s="378">
        <f t="shared" si="16"/>
        <v>0</v>
      </c>
      <c r="D64" s="2227">
        <v>0.25</v>
      </c>
      <c r="E64" s="639">
        <f>'数据-汇总表'!E12</f>
        <v>0</v>
      </c>
      <c r="F64" s="634">
        <f t="shared" si="15"/>
        <v>0</v>
      </c>
      <c r="G64" s="1944" t="s">
        <v>1679</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571</v>
      </c>
      <c r="B65" s="636">
        <f t="shared" si="17"/>
        <v>0</v>
      </c>
      <c r="C65" s="378">
        <f t="shared" si="16"/>
        <v>0</v>
      </c>
      <c r="D65" s="2227">
        <v>0.25</v>
      </c>
      <c r="E65" s="639">
        <f>'数据-汇总表'!E13</f>
        <v>0</v>
      </c>
      <c r="F65" s="634">
        <f t="shared" si="15"/>
        <v>0</v>
      </c>
      <c r="G65" s="1944" t="s">
        <v>924</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572</v>
      </c>
      <c r="B66" s="636">
        <f t="shared" si="17"/>
        <v>0</v>
      </c>
      <c r="C66" s="378">
        <f t="shared" si="16"/>
        <v>0</v>
      </c>
      <c r="D66" s="2227">
        <v>0.25</v>
      </c>
      <c r="E66" s="639">
        <f>'数据-汇总表'!E14</f>
        <v>0</v>
      </c>
      <c r="F66" s="634">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573</v>
      </c>
      <c r="B67" s="636">
        <f t="shared" si="17"/>
        <v>0</v>
      </c>
      <c r="C67" s="378">
        <f t="shared" si="16"/>
        <v>0</v>
      </c>
      <c r="D67" s="2227">
        <v>0.25</v>
      </c>
      <c r="E67" s="639">
        <f>'数据-汇总表'!E15</f>
        <v>0</v>
      </c>
      <c r="F67" s="634">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574</v>
      </c>
      <c r="B68" s="641" t="s">
        <v>17</v>
      </c>
      <c r="C68" s="641" t="s">
        <v>18</v>
      </c>
      <c r="D68" s="641" t="s">
        <v>2296</v>
      </c>
      <c r="E68" s="641">
        <f>IF(B48="楼面地价",SUM(E58:E67),'数据-汇总表'!D3)</f>
        <v>82827.8</v>
      </c>
      <c r="F68" s="642">
        <f>IF(B48="楼面地价",SUM(F58:F67),ROUND(C50*E68/10000,0))</f>
        <v>2187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0" t="str">
        <f>YEAR(C9)&amp;"-"&amp;MONTH(C9)&amp;"-1"</f>
        <v>2017-11-1</v>
      </c>
      <c r="D70" s="2820">
        <f>EDATE(C70,-3)</f>
        <v>42948</v>
      </c>
      <c r="E70" s="2820">
        <f t="shared" ref="E70:N70" si="18">EDATE(D70,-3)</f>
        <v>42856</v>
      </c>
      <c r="F70" s="2820">
        <f t="shared" si="18"/>
        <v>42767</v>
      </c>
      <c r="G70" s="2820">
        <f t="shared" si="18"/>
        <v>42675</v>
      </c>
      <c r="H70" s="2820">
        <f t="shared" si="18"/>
        <v>42583</v>
      </c>
      <c r="I70" s="2820">
        <f t="shared" si="18"/>
        <v>42491</v>
      </c>
      <c r="J70" s="2820">
        <f t="shared" si="18"/>
        <v>42401</v>
      </c>
      <c r="K70" s="2820">
        <f t="shared" si="18"/>
        <v>42309</v>
      </c>
      <c r="L70" s="2820">
        <f t="shared" si="18"/>
        <v>42217</v>
      </c>
      <c r="M70" s="2820">
        <f t="shared" si="18"/>
        <v>42125</v>
      </c>
      <c r="N70" s="2820">
        <f t="shared" si="18"/>
        <v>42036</v>
      </c>
      <c r="O70" s="2143"/>
      <c r="P70" s="2143"/>
      <c r="Q70" s="2143"/>
      <c r="R70" s="2143"/>
      <c r="S70" s="2143"/>
      <c r="T70" s="2143"/>
      <c r="U70" s="2143"/>
      <c r="V70" s="2143"/>
      <c r="W70" s="2143"/>
      <c r="X70" s="2143"/>
      <c r="Y70" s="2143"/>
      <c r="Z70" s="2143"/>
      <c r="AA70" s="2143"/>
      <c r="AB70" s="2143"/>
      <c r="AC70" s="2143"/>
    </row>
    <row r="71" spans="1:29" ht="21.75" thickBot="1">
      <c r="A71" s="1583" t="s">
        <v>575</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87" t="s">
        <v>2536</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7"/>
      <c r="P72" s="2158"/>
      <c r="Q72" s="2159"/>
      <c r="R72" s="2159"/>
      <c r="S72" s="2159"/>
      <c r="T72" s="2159"/>
      <c r="U72" s="2159"/>
      <c r="V72" s="2159"/>
      <c r="W72" s="2159"/>
      <c r="X72" s="2159"/>
      <c r="Y72" s="2159"/>
      <c r="Z72" s="2159"/>
      <c r="AA72" s="2159"/>
      <c r="AB72" s="2159"/>
      <c r="AC72" s="2159"/>
    </row>
    <row r="73" spans="1:29" s="1218" customFormat="1" ht="27" customHeight="1">
      <c r="A73" s="2827" t="s">
        <v>2653</v>
      </c>
      <c r="B73" s="477" t="str">
        <f>"北京市平均增长率"&amp;TEXT(SUMIF(基准地价!N21:N25,A73,基准地价!P21:P25),"0.00%")</f>
        <v>北京市平均增长率2.49%</v>
      </c>
      <c r="C73" s="892">
        <v>100</v>
      </c>
      <c r="D73" s="728">
        <v>99.5</v>
      </c>
      <c r="E73" s="728">
        <v>99</v>
      </c>
      <c r="F73" s="728">
        <v>98.5</v>
      </c>
      <c r="G73" s="728">
        <v>98</v>
      </c>
      <c r="H73" s="728">
        <v>97.5</v>
      </c>
      <c r="I73" s="728">
        <v>97</v>
      </c>
      <c r="J73" s="728">
        <v>96.5</v>
      </c>
      <c r="K73" s="728">
        <v>96</v>
      </c>
      <c r="L73" s="728">
        <v>95.5</v>
      </c>
      <c r="M73" s="2813">
        <v>95</v>
      </c>
      <c r="N73" s="2814">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7" t="s">
        <v>2652</v>
      </c>
      <c r="B74" s="2826"/>
      <c r="C74" s="2811"/>
      <c r="D74" s="2812"/>
      <c r="E74" s="2812"/>
      <c r="F74" s="2812"/>
      <c r="G74" s="2812"/>
      <c r="H74" s="2812"/>
      <c r="I74" s="2812"/>
      <c r="J74" s="2812"/>
      <c r="K74" s="2812"/>
      <c r="L74" s="2812"/>
      <c r="M74" s="2812"/>
      <c r="N74" s="2812"/>
      <c r="O74" s="2160"/>
      <c r="P74" s="2156"/>
      <c r="Q74" s="2156"/>
      <c r="R74" s="1991"/>
      <c r="S74" s="1991"/>
      <c r="T74" s="1991"/>
      <c r="U74" s="1991"/>
      <c r="V74" s="1991"/>
      <c r="W74" s="1991"/>
      <c r="X74" s="1991"/>
      <c r="Y74" s="1991"/>
      <c r="Z74" s="1991"/>
      <c r="AA74" s="1991"/>
      <c r="AB74" s="1991"/>
      <c r="AC74" s="1991"/>
    </row>
    <row r="75" spans="1:29" s="1218" customFormat="1" ht="15">
      <c r="A75" s="657" t="s">
        <v>532</v>
      </c>
      <c r="B75" s="646"/>
      <c r="C75" s="658" t="s">
        <v>577</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578</v>
      </c>
      <c r="B77" s="663" t="s">
        <v>535</v>
      </c>
      <c r="C77" s="3099" t="s">
        <v>3087</v>
      </c>
      <c r="D77" s="3099" t="s">
        <v>3089</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538</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2</v>
      </c>
      <c r="E82" s="539">
        <v>4</v>
      </c>
      <c r="F82" s="539">
        <v>6</v>
      </c>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585</v>
      </c>
      <c r="C92" s="706" t="s">
        <v>580</v>
      </c>
      <c r="D92" s="706" t="s">
        <v>581</v>
      </c>
      <c r="E92" s="706" t="s">
        <v>582</v>
      </c>
      <c r="F92" s="706" t="s">
        <v>583</v>
      </c>
      <c r="G92" s="706" t="s">
        <v>584</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586</v>
      </c>
      <c r="C94" s="706" t="s">
        <v>580</v>
      </c>
      <c r="D94" s="706" t="s">
        <v>581</v>
      </c>
      <c r="E94" s="706" t="s">
        <v>582</v>
      </c>
      <c r="F94" s="706" t="s">
        <v>583</v>
      </c>
      <c r="G94" s="706" t="s">
        <v>584</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587</v>
      </c>
      <c r="C96" s="706" t="s">
        <v>580</v>
      </c>
      <c r="D96" s="706" t="s">
        <v>581</v>
      </c>
      <c r="E96" s="706" t="s">
        <v>582</v>
      </c>
      <c r="F96" s="706" t="s">
        <v>583</v>
      </c>
      <c r="G96" s="706" t="s">
        <v>584</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2552</v>
      </c>
      <c r="C102" s="701" t="s">
        <v>580</v>
      </c>
      <c r="D102" s="701" t="s">
        <v>581</v>
      </c>
      <c r="E102" s="701" t="s">
        <v>582</v>
      </c>
      <c r="F102" s="701" t="s">
        <v>583</v>
      </c>
      <c r="G102" s="701" t="s">
        <v>584</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97</v>
      </c>
      <c r="E103" s="677">
        <f>D103-$K29</f>
        <v>94</v>
      </c>
      <c r="F103" s="677">
        <f>E103-$K29</f>
        <v>91</v>
      </c>
      <c r="G103" s="677">
        <f>F103-$K29</f>
        <v>88</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6" t="s">
        <v>2554</v>
      </c>
      <c r="C104" s="2617" t="s">
        <v>2555</v>
      </c>
      <c r="D104" s="2617" t="s">
        <v>2556</v>
      </c>
      <c r="E104" s="2617" t="s">
        <v>2557</v>
      </c>
      <c r="F104" s="2617" t="s">
        <v>2558</v>
      </c>
      <c r="G104" s="2617" t="s">
        <v>2559</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09"/>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549</v>
      </c>
      <c r="C108" s="3100" t="s">
        <v>3005</v>
      </c>
      <c r="D108" s="3100" t="s">
        <v>3006</v>
      </c>
      <c r="E108" s="3100" t="s">
        <v>3008</v>
      </c>
      <c r="F108" s="3100" t="s">
        <v>3010</v>
      </c>
      <c r="G108" s="3100" t="s">
        <v>3011</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550</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552</v>
      </c>
      <c r="B118" s="663" t="s">
        <v>594</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400000(含)-500000</v>
      </c>
      <c r="H118" s="702" t="str">
        <f t="shared" si="25"/>
        <v>500000(含)-</v>
      </c>
      <c r="I118" s="702" t="str">
        <f t="shared" si="25"/>
        <v>(含)-</v>
      </c>
      <c r="J118" s="3050" t="str">
        <f t="shared" si="25"/>
        <v>(含)-</v>
      </c>
      <c r="K118" s="3050" t="str">
        <f t="shared" si="25"/>
        <v>(含)-</v>
      </c>
      <c r="L118" s="3051" t="str">
        <f t="shared" si="25"/>
        <v>(含)-</v>
      </c>
      <c r="M118" s="305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100000</v>
      </c>
      <c r="E119" s="728">
        <v>200000</v>
      </c>
      <c r="F119" s="728">
        <v>300000</v>
      </c>
      <c r="G119" s="728">
        <v>400000</v>
      </c>
      <c r="H119" s="728">
        <v>500000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595</v>
      </c>
      <c r="C121" s="3101" t="s">
        <v>3012</v>
      </c>
      <c r="D121" s="3101" t="s">
        <v>3014</v>
      </c>
      <c r="E121" s="3101" t="s">
        <v>3015</v>
      </c>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97</v>
      </c>
      <c r="E122" s="677">
        <f t="shared" si="26"/>
        <v>94</v>
      </c>
      <c r="F122" s="677">
        <f t="shared" si="26"/>
        <v>91</v>
      </c>
      <c r="G122" s="677">
        <f t="shared" si="26"/>
        <v>88</v>
      </c>
      <c r="H122" s="677">
        <f t="shared" si="26"/>
        <v>85</v>
      </c>
      <c r="I122" s="677">
        <f t="shared" si="26"/>
        <v>82</v>
      </c>
      <c r="J122" s="677">
        <f t="shared" si="26"/>
        <v>79</v>
      </c>
      <c r="K122" s="677">
        <f t="shared" si="26"/>
        <v>76</v>
      </c>
      <c r="L122" s="677">
        <f t="shared" si="26"/>
        <v>73</v>
      </c>
      <c r="M122" s="678">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596</v>
      </c>
      <c r="C123" s="3100" t="s">
        <v>3016</v>
      </c>
      <c r="D123" s="3100" t="s">
        <v>3018</v>
      </c>
      <c r="E123" s="3100" t="s">
        <v>3020</v>
      </c>
      <c r="F123" s="3101" t="s">
        <v>3021</v>
      </c>
      <c r="G123" s="3101" t="s">
        <v>3022</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97</v>
      </c>
      <c r="E124" s="677">
        <f t="shared" si="27"/>
        <v>94</v>
      </c>
      <c r="F124" s="677">
        <f t="shared" si="27"/>
        <v>91</v>
      </c>
      <c r="G124" s="677">
        <f t="shared" si="27"/>
        <v>88</v>
      </c>
      <c r="H124" s="677">
        <f t="shared" si="27"/>
        <v>85</v>
      </c>
      <c r="I124" s="677">
        <f t="shared" si="27"/>
        <v>82</v>
      </c>
      <c r="J124" s="677">
        <f t="shared" si="27"/>
        <v>79</v>
      </c>
      <c r="K124" s="677">
        <f t="shared" si="27"/>
        <v>76</v>
      </c>
      <c r="L124" s="677">
        <f t="shared" si="27"/>
        <v>73</v>
      </c>
      <c r="M124" s="678">
        <f t="shared" si="27"/>
        <v>70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2427</v>
      </c>
      <c r="C125" s="1374" t="s">
        <v>3023</v>
      </c>
      <c r="D125" s="1374" t="s">
        <v>3025</v>
      </c>
      <c r="E125" s="1374" t="s">
        <v>3026</v>
      </c>
      <c r="F125" s="1374" t="s">
        <v>3027</v>
      </c>
      <c r="G125" s="1374" t="s">
        <v>3028</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597</v>
      </c>
      <c r="C127" s="3100" t="s">
        <v>3016</v>
      </c>
      <c r="D127" s="3100" t="s">
        <v>3018</v>
      </c>
      <c r="E127" s="3100" t="s">
        <v>3020</v>
      </c>
      <c r="F127" s="3101" t="s">
        <v>3021</v>
      </c>
      <c r="G127" s="3101" t="s">
        <v>3022</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28" workbookViewId="0">
      <selection activeCell="D14" sqref="D14"/>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29"/>
      <c r="C1" s="2102"/>
      <c r="D1" s="2102"/>
      <c r="E1" s="2102"/>
      <c r="F1" s="2102"/>
      <c r="G1" s="2102"/>
      <c r="H1" s="2102"/>
      <c r="I1" s="2102"/>
      <c r="J1" s="2102"/>
      <c r="K1" s="422">
        <f>MATCH(B1,'数据-取费表'!A6:A16,0)+5</f>
        <v>7</v>
      </c>
    </row>
    <row r="2" spans="1:31" s="2039" customFormat="1" ht="18" customHeight="1">
      <c r="A2" s="2099" t="s">
        <v>467</v>
      </c>
      <c r="B2" s="2103">
        <f ca="1">C36</f>
        <v>11911</v>
      </c>
      <c r="C2" s="2102"/>
      <c r="D2" s="2102"/>
      <c r="E2" s="2102"/>
      <c r="F2" s="2102"/>
      <c r="G2" s="2102"/>
      <c r="H2" s="2102"/>
      <c r="I2" s="2102"/>
      <c r="J2" s="2102"/>
      <c r="K2" s="2102"/>
    </row>
    <row r="3" spans="1:31" s="2039" customFormat="1" ht="18" customHeight="1">
      <c r="A3" s="2104" t="s">
        <v>1686</v>
      </c>
      <c r="B3" s="2105">
        <f ca="1">ROUND(B2*10000/IF(B1="",'数据-汇总表'!E3,INDIRECT("'数据-取费表'!K"&amp;$K$1)),0)</f>
        <v>1438</v>
      </c>
      <c r="C3" s="2102"/>
      <c r="D3" s="2102"/>
      <c r="E3" s="2102"/>
      <c r="F3" s="2102"/>
      <c r="G3" s="2102"/>
      <c r="H3" s="2102"/>
      <c r="I3" s="2102"/>
      <c r="J3" s="2102"/>
      <c r="K3" s="2102"/>
    </row>
    <row r="4" spans="1:31" s="2039" customFormat="1" ht="18" customHeight="1">
      <c r="A4" s="426" t="s">
        <v>468</v>
      </c>
      <c r="B4" s="427">
        <f ca="1">ROUND(B2*10000/IF(B1="",'数据-汇总表'!D3,INDIRECT("'数据-取费表'!R"&amp;$K$1)),0)</f>
        <v>3164</v>
      </c>
      <c r="C4" s="428"/>
      <c r="D4" s="422"/>
      <c r="E4" s="422"/>
      <c r="F4" s="422"/>
      <c r="G4" s="422"/>
      <c r="H4" s="422"/>
      <c r="I4" s="422"/>
      <c r="J4" s="422"/>
      <c r="K4" s="422"/>
    </row>
    <row r="5" spans="1:31" s="2039" customFormat="1" ht="18" customHeight="1" thickBot="1">
      <c r="A5" s="429"/>
      <c r="B5" s="430">
        <f ca="1">ROUND(B2/(IF(B1="",'数据-汇总表'!D3,INDIRECT("'数据-取费表'!R"&amp;$K$1))/666.67),0)</f>
        <v>211</v>
      </c>
      <c r="C5" s="431" t="s">
        <v>469</v>
      </c>
      <c r="D5" s="422"/>
      <c r="E5" s="422"/>
      <c r="F5" s="422"/>
      <c r="G5" s="422"/>
      <c r="H5" s="422"/>
      <c r="I5" s="422"/>
      <c r="J5" s="422"/>
      <c r="K5" s="422"/>
    </row>
    <row r="6" spans="1:31" s="2109" customFormat="1" ht="16.5" customHeight="1">
      <c r="A6" s="3420" t="s">
        <v>1844</v>
      </c>
      <c r="B6" s="3421"/>
      <c r="C6" s="3422">
        <f ca="1">SUM(C10:K10)</f>
        <v>52324</v>
      </c>
      <c r="D6" s="3421"/>
      <c r="E6" s="3421"/>
      <c r="F6" s="3421"/>
      <c r="G6" s="3421"/>
      <c r="H6" s="3421"/>
      <c r="I6" s="3421"/>
      <c r="J6" s="3421"/>
      <c r="K6" s="3423"/>
    </row>
    <row r="7" spans="1:31" s="2111" customFormat="1" ht="15">
      <c r="A7" s="3424" t="s">
        <v>470</v>
      </c>
      <c r="B7" s="3425" t="s">
        <v>471</v>
      </c>
      <c r="C7" s="436" t="s">
        <v>2987</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375" t="s">
        <v>1847</v>
      </c>
      <c r="B8" s="3426" t="s">
        <v>472</v>
      </c>
      <c r="C8" s="3427">
        <f ca="1">不动产收益法!B3</f>
        <v>6317</v>
      </c>
      <c r="D8" s="3427"/>
      <c r="E8" s="3427"/>
      <c r="F8" s="3427"/>
      <c r="G8" s="3427"/>
      <c r="H8" s="3427"/>
      <c r="I8" s="3427"/>
      <c r="J8" s="3427"/>
      <c r="K8" s="3428"/>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375" t="s">
        <v>1848</v>
      </c>
      <c r="B9" s="3426" t="s">
        <v>473</v>
      </c>
      <c r="C9" s="3429">
        <f>SUMIF('数据-汇总表'!$C19:$C33,'剩余法-待开发'!C7,'数据-汇总表'!$E19:$E33)</f>
        <v>82827.8</v>
      </c>
      <c r="D9" s="3429">
        <f>SUMIF('数据-汇总表'!$C19:$C33,'剩余法-待开发'!D7,'数据-汇总表'!$E19:$E33)</f>
        <v>0</v>
      </c>
      <c r="E9" s="3429">
        <f>SUMIF('数据-汇总表'!$C19:$C33,'剩余法-待开发'!E7,'数据-汇总表'!$E19:$E33)</f>
        <v>0</v>
      </c>
      <c r="F9" s="3429">
        <f>SUMIF('数据-汇总表'!$C19:$C33,'剩余法-待开发'!F7,'数据-汇总表'!$E19:$E33)</f>
        <v>0</v>
      </c>
      <c r="G9" s="3429">
        <f>SUMIF('数据-汇总表'!$C19:$C33,'剩余法-待开发'!G7,'数据-汇总表'!$E19:$E33)</f>
        <v>0</v>
      </c>
      <c r="H9" s="3429">
        <f>SUMIF('数据-汇总表'!$C19:$C33,'剩余法-待开发'!H7,'数据-汇总表'!$E19:$E33)</f>
        <v>0</v>
      </c>
      <c r="I9" s="3429">
        <f>SUMIF('数据-汇总表'!$C19:$C33,'剩余法-待开发'!I7,'数据-汇总表'!$E19:$E33)</f>
        <v>0</v>
      </c>
      <c r="J9" s="3429">
        <f>SUMIF('数据-汇总表'!$C19:$C33,'剩余法-待开发'!J7,'数据-汇总表'!$E19:$E33)</f>
        <v>0</v>
      </c>
      <c r="K9" s="343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1634" t="s">
        <v>1849</v>
      </c>
      <c r="B10" s="3431" t="s">
        <v>474</v>
      </c>
      <c r="C10" s="3432">
        <f ca="1">不动产收益法!B2</f>
        <v>52324</v>
      </c>
      <c r="D10" s="3432"/>
      <c r="E10" s="3432"/>
      <c r="F10" s="3433"/>
      <c r="G10" s="3433"/>
      <c r="H10" s="3433"/>
      <c r="I10" s="3433"/>
      <c r="J10" s="3433"/>
      <c r="K10" s="3434"/>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3435" t="s">
        <v>1845</v>
      </c>
      <c r="B11" s="3421"/>
      <c r="C11" s="3421"/>
      <c r="D11" s="3421"/>
      <c r="E11" s="3421"/>
      <c r="F11" s="3421"/>
      <c r="G11" s="3421"/>
      <c r="H11" s="3421"/>
      <c r="I11" s="3421"/>
      <c r="J11" s="3421"/>
      <c r="K11" s="3423"/>
    </row>
    <row r="12" spans="1:31" s="2083" customFormat="1" ht="13.5" customHeight="1">
      <c r="A12" s="3436" t="s">
        <v>470</v>
      </c>
      <c r="B12" s="3437" t="s">
        <v>471</v>
      </c>
      <c r="C12" s="3438" t="s">
        <v>475</v>
      </c>
      <c r="D12" s="3439" t="s">
        <v>476</v>
      </c>
      <c r="E12" s="3439" t="s">
        <v>477</v>
      </c>
      <c r="F12" s="3439" t="s">
        <v>478</v>
      </c>
      <c r="G12" s="3437"/>
      <c r="H12" s="3440"/>
      <c r="I12" s="3440"/>
      <c r="J12" s="3440"/>
      <c r="K12" s="3441"/>
    </row>
    <row r="13" spans="1:31" s="2114" customFormat="1" ht="13.5" customHeight="1">
      <c r="A13" s="3442" t="s">
        <v>1850</v>
      </c>
      <c r="B13" s="3443" t="s">
        <v>479</v>
      </c>
      <c r="C13" s="3444">
        <f ca="1">IF(B1="",'数据-取费表'!P16,INDIRECT("'数据-取费表'!p"&amp;$K$1)+INDIRECT("'数据-取费表'!t"&amp;$K$1))</f>
        <v>20707</v>
      </c>
      <c r="D13" s="3445"/>
      <c r="E13" s="810"/>
      <c r="F13" s="3446"/>
      <c r="G13" s="3437"/>
      <c r="H13" s="3440"/>
      <c r="I13" s="3440"/>
      <c r="J13" s="3440"/>
      <c r="K13" s="3441"/>
    </row>
    <row r="14" spans="1:31" s="2114" customFormat="1" ht="13.5" customHeight="1">
      <c r="A14" s="3442" t="s">
        <v>1851</v>
      </c>
      <c r="B14" s="3443" t="s">
        <v>480</v>
      </c>
      <c r="C14" s="17">
        <f ca="1">ROUND(C13*F14,0)</f>
        <v>621</v>
      </c>
      <c r="D14" s="3445"/>
      <c r="E14" s="810"/>
      <c r="F14" s="3447">
        <f>'数据-取费表'!B33</f>
        <v>0.03</v>
      </c>
      <c r="G14" s="3437" t="s">
        <v>481</v>
      </c>
      <c r="H14" s="3440"/>
      <c r="I14" s="3440"/>
      <c r="J14" s="3440"/>
      <c r="K14" s="3441"/>
    </row>
    <row r="15" spans="1:31" s="2114" customFormat="1" ht="13.5" customHeight="1">
      <c r="A15" s="3442" t="s">
        <v>1852</v>
      </c>
      <c r="B15" s="3443" t="s">
        <v>482</v>
      </c>
      <c r="C15" s="17">
        <f ca="1">ROUND(IF(B1="",SUMIF('数据-取费表'!C:C,"住宅",'数据-取费表'!P:P)*F15,IF(INDIRECT("'数据-取费表'!c"&amp;$K$1)="住宅",INDIRECT("'数据-取费表'!P"&amp;$K$1)*F15,0)),0)</f>
        <v>0</v>
      </c>
      <c r="D15" s="3445"/>
      <c r="E15" s="810"/>
      <c r="F15" s="3447">
        <f>'数据-取费表'!B34</f>
        <v>0.05</v>
      </c>
      <c r="G15" s="3437" t="s">
        <v>483</v>
      </c>
      <c r="H15" s="3440"/>
      <c r="I15" s="3440"/>
      <c r="J15" s="3440"/>
      <c r="K15" s="3441"/>
    </row>
    <row r="16" spans="1:31" s="2115" customFormat="1" ht="13.5" customHeight="1">
      <c r="A16" s="3442" t="s">
        <v>1853</v>
      </c>
      <c r="B16" s="3443" t="s">
        <v>484</v>
      </c>
      <c r="C16" s="17">
        <f ca="1">ROUND(D16*E16/10000,0)</f>
        <v>1242</v>
      </c>
      <c r="D16" s="3445">
        <f ca="1">IF(B1="",'数据-汇总表'!E3,INDIRECT("'数据-取费表'!K"&amp;$K$1)+INDIRECT("'数据-取费表'!S"&amp;$K$1))</f>
        <v>82827.8</v>
      </c>
      <c r="E16" s="17">
        <f>'数据-取费表'!B35</f>
        <v>150</v>
      </c>
      <c r="F16" s="3447"/>
      <c r="G16" s="3437"/>
      <c r="H16" s="3440"/>
      <c r="I16" s="3440"/>
      <c r="J16" s="3440"/>
      <c r="K16" s="344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3442" t="s">
        <v>1854</v>
      </c>
      <c r="B17" s="3443" t="s">
        <v>485</v>
      </c>
      <c r="C17" s="3448">
        <f ca="1">ROUND(C13*F17,0)</f>
        <v>311</v>
      </c>
      <c r="D17" s="3449"/>
      <c r="E17" s="3448"/>
      <c r="F17" s="3450">
        <f>'数据-取费表'!B36</f>
        <v>1.4999999999999999E-2</v>
      </c>
      <c r="G17" s="3426" t="s">
        <v>486</v>
      </c>
      <c r="H17" s="262"/>
      <c r="I17" s="262"/>
      <c r="J17" s="262"/>
      <c r="K17" s="3451"/>
    </row>
    <row r="18" spans="1:14" s="2114" customFormat="1" ht="13.5" customHeight="1">
      <c r="A18" s="3452" t="s">
        <v>1855</v>
      </c>
      <c r="B18" s="3453" t="s">
        <v>487</v>
      </c>
      <c r="C18" s="3454">
        <f ca="1">SUM(C13:C17)</f>
        <v>22881</v>
      </c>
      <c r="D18" s="3455"/>
      <c r="E18" s="3456"/>
      <c r="F18" s="3456"/>
      <c r="G18" s="3457" t="s">
        <v>2432</v>
      </c>
      <c r="H18" s="3458"/>
      <c r="I18" s="3458"/>
      <c r="J18" s="3458"/>
      <c r="K18" s="3459"/>
    </row>
    <row r="19" spans="1:14" s="2114" customFormat="1" ht="13.5" customHeight="1">
      <c r="A19" s="3452" t="s">
        <v>1856</v>
      </c>
      <c r="B19" s="3453" t="s">
        <v>488</v>
      </c>
      <c r="C19" s="3439">
        <f ca="1">ROUND(D19*E19/10000,0)</f>
        <v>0</v>
      </c>
      <c r="D19" s="3460">
        <f ca="1">D16</f>
        <v>82827.8</v>
      </c>
      <c r="E19" s="3439">
        <f>'数据-取费表'!B32</f>
        <v>0</v>
      </c>
      <c r="F19" s="3456"/>
      <c r="G19" s="3437" t="s">
        <v>489</v>
      </c>
      <c r="H19" s="3440"/>
      <c r="I19" s="3458"/>
      <c r="J19" s="3458"/>
      <c r="K19" s="3459"/>
    </row>
    <row r="20" spans="1:14" s="2114" customFormat="1" ht="13.5" customHeight="1">
      <c r="A20" s="3452" t="s">
        <v>1857</v>
      </c>
      <c r="B20" s="3453" t="s">
        <v>490</v>
      </c>
      <c r="C20" s="3439">
        <f ca="1">C21+C22-IF(B1="",'数据-取费表'!B29,IF(G20="已全部缴纳",C21+C22,H20))</f>
        <v>248</v>
      </c>
      <c r="D20" s="3460"/>
      <c r="E20" s="3439"/>
      <c r="F20" s="3461"/>
      <c r="G20" s="3462"/>
      <c r="H20" s="3463"/>
      <c r="I20" s="3464" t="s">
        <v>2657</v>
      </c>
      <c r="J20" s="3458"/>
      <c r="K20" s="3459"/>
    </row>
    <row r="21" spans="1:14" s="2114" customFormat="1" ht="13.5" customHeight="1">
      <c r="A21" s="3442" t="s">
        <v>1858</v>
      </c>
      <c r="B21" s="3443" t="s">
        <v>491</v>
      </c>
      <c r="C21" s="17">
        <f ca="1">ROUND(D21*E21/10000,0)</f>
        <v>0</v>
      </c>
      <c r="D21" s="3445">
        <f ca="1">IF(B1="",'数据-汇总表'!E5,IF(INDIRECT("'数据-取费表'!c"&amp;$K$1)="住宅",INDIRECT("'数据-取费表'!k"&amp;$K$1),0))</f>
        <v>0</v>
      </c>
      <c r="E21" s="17">
        <f>'数据-取费表'!B27</f>
        <v>30</v>
      </c>
      <c r="F21" s="3447"/>
      <c r="G21" s="3120"/>
      <c r="H21" s="3119"/>
      <c r="I21" s="3119"/>
      <c r="J21" s="3119"/>
      <c r="K21" s="3122"/>
    </row>
    <row r="22" spans="1:14" s="2114" customFormat="1" ht="13.5" customHeight="1">
      <c r="A22" s="3442" t="s">
        <v>1859</v>
      </c>
      <c r="B22" s="3443" t="s">
        <v>492</v>
      </c>
      <c r="C22" s="17">
        <f ca="1">ROUND(D22*E22/10000,0)</f>
        <v>248</v>
      </c>
      <c r="D22" s="3445">
        <f ca="1">IF(B1="",'数据-汇总表'!E6,IF(INDIRECT("'数据-取费表'!c"&amp;$K$1)="住宅",INDIRECT("'数据-取费表'!s"&amp;$K$1),INDIRECT("'数据-取费表'!k"&amp;$K$1)+INDIRECT("'数据-取费表'!s"&amp;$K$1)))</f>
        <v>82827.8</v>
      </c>
      <c r="E22" s="17">
        <f>'数据-取费表'!B28</f>
        <v>30</v>
      </c>
      <c r="F22" s="3447"/>
      <c r="G22" s="3120"/>
      <c r="H22" s="3119"/>
      <c r="I22" s="3119"/>
      <c r="J22" s="3119"/>
      <c r="K22" s="3122"/>
    </row>
    <row r="23" spans="1:14" s="2114" customFormat="1" ht="13.5" customHeight="1">
      <c r="A23" s="3452" t="s">
        <v>1860</v>
      </c>
      <c r="B23" s="3465" t="s">
        <v>2840</v>
      </c>
      <c r="C23" s="3454">
        <f ca="1">ROUND((C18+C19+C20)*F23,0)</f>
        <v>347</v>
      </c>
      <c r="D23" s="3456"/>
      <c r="E23" s="3456"/>
      <c r="F23" s="3466">
        <f>'数据-取费表'!B37</f>
        <v>1.4999999999999999E-2</v>
      </c>
      <c r="G23" s="3437" t="s">
        <v>2433</v>
      </c>
      <c r="H23" s="3440"/>
      <c r="I23" s="3440"/>
      <c r="J23" s="3440"/>
      <c r="K23" s="3441"/>
      <c r="L23" s="2116"/>
      <c r="M23" s="2116"/>
      <c r="N23" s="2116"/>
    </row>
    <row r="24" spans="1:14" s="2114" customFormat="1" ht="13.5" customHeight="1">
      <c r="A24" s="3452" t="s">
        <v>1861</v>
      </c>
      <c r="B24" s="3465" t="s">
        <v>2843</v>
      </c>
      <c r="C24" s="3454">
        <f ca="1">ROUND(C6*F24,0)</f>
        <v>1570</v>
      </c>
      <c r="D24" s="3449"/>
      <c r="E24" s="3467"/>
      <c r="F24" s="3466">
        <f>'数据-取费表'!B38</f>
        <v>0.03</v>
      </c>
      <c r="G24" s="3468" t="s">
        <v>499</v>
      </c>
      <c r="H24" s="262"/>
      <c r="I24" s="262"/>
      <c r="J24" s="262"/>
      <c r="K24" s="3451"/>
      <c r="L24" s="2116"/>
      <c r="M24" s="2116"/>
      <c r="N24" s="2116"/>
    </row>
    <row r="25" spans="1:14" s="2117" customFormat="1" ht="13.5" customHeight="1">
      <c r="A25" s="3452" t="s">
        <v>1862</v>
      </c>
      <c r="B25" s="3465" t="s">
        <v>2841</v>
      </c>
      <c r="C25" s="3469">
        <f>ROUND(F25/(1+'数据-取费表'!C42),4)</f>
        <v>3.8399999999999997E-2</v>
      </c>
      <c r="D25" s="3470" t="s">
        <v>2835</v>
      </c>
      <c r="E25" s="3471"/>
      <c r="F25" s="3466">
        <f>'数据-取费表'!B48+'数据-取费表'!B49</f>
        <v>4.0500000000000001E-2</v>
      </c>
      <c r="G25" s="3472" t="s">
        <v>2291</v>
      </c>
      <c r="H25" s="3440"/>
      <c r="I25" s="3440"/>
      <c r="J25" s="3440"/>
      <c r="K25" s="3441"/>
    </row>
    <row r="26" spans="1:14" s="2116" customFormat="1" ht="13.5" customHeight="1">
      <c r="A26" s="3452" t="s">
        <v>1863</v>
      </c>
      <c r="B26" s="3473" t="s">
        <v>2842</v>
      </c>
      <c r="C26" s="3474">
        <f ca="1">C28</f>
        <v>1190</v>
      </c>
      <c r="D26" s="3469">
        <f ca="1">C27</f>
        <v>0.10100000000000001</v>
      </c>
      <c r="E26" s="3471" t="s">
        <v>495</v>
      </c>
      <c r="F26" s="3475">
        <f ca="1">'数据-取费表'!B40</f>
        <v>4.7500000000000001E-2</v>
      </c>
      <c r="G26" s="3476" t="str">
        <f>IF('数据-取费表'!B22&lt;=1,"单利计息。","复利计息。")&amp;"后续开发成本、管理费用及销售费用产生的利息。"</f>
        <v>复利计息。后续开发成本、管理费用及销售费用产生的利息。</v>
      </c>
      <c r="H26" s="3458"/>
      <c r="I26" s="3458"/>
      <c r="J26" s="3458"/>
      <c r="K26" s="3459"/>
    </row>
    <row r="27" spans="1:14" s="2118" customFormat="1" ht="13.5" customHeight="1">
      <c r="A27" s="375" t="s">
        <v>1858</v>
      </c>
      <c r="B27" s="3477" t="s">
        <v>496</v>
      </c>
      <c r="C27" s="3478">
        <f ca="1">ROUND(IF('数据-取费表'!B22&lt;=1,(1+C25)*F26*'数据-取费表'!B24,(1+C25)*(POWER((1+F26),'数据-取费表'!B24)-1)),4)</f>
        <v>0.10100000000000001</v>
      </c>
      <c r="D27" s="3479"/>
      <c r="E27" s="3467"/>
      <c r="F27" s="3480"/>
      <c r="G27" s="3476" t="str">
        <f>IF('数据-取费表'!B22&lt;=1,"（1+取得税费率/(1+5%)）×年利率×建设期","（1+取得税费率）/(1+5%)×((1+年利率)^建设期-1)")</f>
        <v>（1+取得税费率）/(1+5%)×((1+年利率)^建设期-1)</v>
      </c>
      <c r="H27" s="262"/>
      <c r="I27" s="262"/>
      <c r="J27" s="262"/>
      <c r="K27" s="3451"/>
    </row>
    <row r="28" spans="1:14" s="2118" customFormat="1" ht="13.5" customHeight="1">
      <c r="A28" s="375" t="s">
        <v>1859</v>
      </c>
      <c r="B28" s="3477" t="s">
        <v>2844</v>
      </c>
      <c r="C28" s="3481">
        <f ca="1">ROUND(IF('数据-取费表'!B22&lt;=1,(C18+C19+C20+C23+C24)*F26*'数据-取费表'!B24/2,(C18+C19+C20+C23+C24)*(POWER((1+F26),'数据-取费表'!B24/2)-1)),0)</f>
        <v>1190</v>
      </c>
      <c r="D28" s="3479"/>
      <c r="E28" s="3467"/>
      <c r="F28" s="3480"/>
      <c r="G28" s="3476" t="str">
        <f>IF('数据-取费表'!B22&lt;=1,"（1）-（4）项×年利率×建设期÷2","（1）-（4）项×((1+年利率)^(建设期÷2)-1)")</f>
        <v>（1）-（4）项×((1+年利率)^(建设期÷2)-1)</v>
      </c>
      <c r="H28" s="262"/>
      <c r="I28" s="262"/>
      <c r="J28" s="262"/>
      <c r="K28" s="3451"/>
    </row>
    <row r="29" spans="1:14" s="2118" customFormat="1" ht="13.5" customHeight="1">
      <c r="A29" s="1633" t="s">
        <v>1864</v>
      </c>
      <c r="B29" s="3453" t="s">
        <v>497</v>
      </c>
      <c r="C29" s="3454">
        <f ca="1">ROUND(C6*F29/(1+'数据-取费表'!C42),0)</f>
        <v>3163</v>
      </c>
      <c r="D29" s="3456"/>
      <c r="E29" s="3456"/>
      <c r="F29" s="3482">
        <f>'数据-取费表'!B41</f>
        <v>6.3840000000000008E-2</v>
      </c>
      <c r="G29" s="3468" t="s">
        <v>498</v>
      </c>
      <c r="H29" s="3440"/>
      <c r="I29" s="3440"/>
      <c r="J29" s="3440"/>
      <c r="K29" s="3441"/>
    </row>
    <row r="30" spans="1:14" s="2119" customFormat="1" ht="13.5" customHeight="1">
      <c r="A30" s="1633" t="s">
        <v>1865</v>
      </c>
      <c r="B30" s="3483" t="s">
        <v>500</v>
      </c>
      <c r="C30" s="3474">
        <f ca="1">C31</f>
        <v>29399</v>
      </c>
      <c r="D30" s="3484">
        <f ca="1">C32</f>
        <v>0.1394</v>
      </c>
      <c r="E30" s="3471" t="s">
        <v>495</v>
      </c>
      <c r="F30" s="3475"/>
      <c r="G30" s="3437" t="s">
        <v>501</v>
      </c>
      <c r="H30" s="3440"/>
      <c r="I30" s="3440"/>
      <c r="J30" s="3440"/>
      <c r="K30" s="3441"/>
    </row>
    <row r="31" spans="1:14" s="2118" customFormat="1" ht="13.5" customHeight="1">
      <c r="A31" s="375" t="s">
        <v>1858</v>
      </c>
      <c r="B31" s="3477"/>
      <c r="C31" s="3444">
        <f ca="1">C18+C19+C20+C23+C24+C26+C29</f>
        <v>29399</v>
      </c>
      <c r="D31" s="3479"/>
      <c r="E31" s="3467"/>
      <c r="F31" s="3480"/>
      <c r="G31" s="3426"/>
      <c r="H31" s="262"/>
      <c r="I31" s="262"/>
      <c r="J31" s="262"/>
      <c r="K31" s="3451"/>
    </row>
    <row r="32" spans="1:14" s="2118" customFormat="1" ht="13.5" customHeight="1">
      <c r="A32" s="375" t="s">
        <v>1859</v>
      </c>
      <c r="B32" s="3477"/>
      <c r="C32" s="17">
        <f ca="1">ROUND(C25+D26,4)</f>
        <v>0.1394</v>
      </c>
      <c r="D32" s="3479"/>
      <c r="E32" s="3467"/>
      <c r="F32" s="3480"/>
      <c r="G32" s="3426"/>
      <c r="H32" s="262"/>
      <c r="I32" s="262"/>
      <c r="J32" s="262"/>
      <c r="K32" s="3451"/>
    </row>
    <row r="33" spans="1:11" s="2120" customFormat="1" ht="13.5" customHeight="1">
      <c r="A33" s="2996" t="s">
        <v>2839</v>
      </c>
      <c r="B33" s="2995" t="s">
        <v>2837</v>
      </c>
      <c r="C33" s="476">
        <f ca="1">C35</f>
        <v>6262</v>
      </c>
      <c r="D33" s="3469">
        <f ca="1">C34</f>
        <v>0.2596</v>
      </c>
      <c r="E33" s="3471" t="s">
        <v>495</v>
      </c>
      <c r="F33" s="477">
        <f ca="1">IF(B1="",'数据-取费表'!Q16,INDIRECT("'数据-取费表'!q"&amp;$K$1))</f>
        <v>0.25</v>
      </c>
      <c r="G33" s="3457"/>
      <c r="H33" s="3458"/>
      <c r="I33" s="3458"/>
      <c r="J33" s="3458"/>
      <c r="K33" s="3459"/>
    </row>
    <row r="34" spans="1:11" s="2121" customFormat="1" ht="13.5" customHeight="1">
      <c r="A34" s="375" t="s">
        <v>1858</v>
      </c>
      <c r="B34" s="3485" t="s">
        <v>502</v>
      </c>
      <c r="C34" s="3479">
        <f ca="1">ROUND((1+C25)*F33,4)</f>
        <v>0.2596</v>
      </c>
      <c r="D34" s="3479"/>
      <c r="E34" s="3467"/>
      <c r="F34" s="478"/>
      <c r="G34" s="3426" t="s">
        <v>2292</v>
      </c>
      <c r="H34" s="262"/>
      <c r="I34" s="262"/>
      <c r="J34" s="262"/>
      <c r="K34" s="3451"/>
    </row>
    <row r="35" spans="1:11" s="2121" customFormat="1" ht="13.5" customHeight="1" thickBot="1">
      <c r="A35" s="1634" t="s">
        <v>1859</v>
      </c>
      <c r="B35" s="3486" t="s">
        <v>2845</v>
      </c>
      <c r="C35" s="1627">
        <f ca="1">ROUND((C18+C19+C20+C23+C24)*F33,0)</f>
        <v>6262</v>
      </c>
      <c r="D35" s="3487"/>
      <c r="E35" s="3488"/>
      <c r="F35" s="1628"/>
      <c r="G35" s="3431"/>
      <c r="H35" s="3489"/>
      <c r="I35" s="3489"/>
      <c r="J35" s="3489"/>
      <c r="K35" s="3490"/>
    </row>
    <row r="36" spans="1:11" s="2083" customFormat="1" ht="13.5" customHeight="1" thickBot="1">
      <c r="A36" s="3491" t="s">
        <v>1846</v>
      </c>
      <c r="B36" s="3492"/>
      <c r="C36" s="3493">
        <f ca="1">ROUND((C6-C30-C33)/(1+D30+D33),0)</f>
        <v>11911</v>
      </c>
      <c r="D36" s="3492"/>
      <c r="E36" s="3492"/>
      <c r="F36" s="3492"/>
      <c r="G36" s="3494" t="s">
        <v>2846</v>
      </c>
      <c r="H36" s="3492"/>
      <c r="I36" s="3492"/>
      <c r="J36" s="3492"/>
      <c r="K36" s="349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123" t="str">
        <f>项目基本情况!B1</f>
        <v>湖北省天门市竟陵永丰村出让国有建设用地使用权抵押价格预评估</v>
      </c>
      <c r="C37" s="3123"/>
      <c r="D37" s="3123"/>
      <c r="E37" s="3123"/>
      <c r="F37" s="3123"/>
      <c r="G37" s="3123"/>
      <c r="H37" s="3123"/>
      <c r="I37" s="3123"/>
    </row>
    <row r="38" spans="1:9">
      <c r="A38" s="1654"/>
      <c r="B38" s="1654"/>
    </row>
    <row r="39" spans="1:9">
      <c r="A39" s="1652" t="s">
        <v>1903</v>
      </c>
      <c r="B39" s="1652" t="s">
        <v>2048</v>
      </c>
    </row>
    <row r="40" spans="1:9">
      <c r="A40" s="1652"/>
      <c r="B40" s="1652" t="str">
        <f>项目基本情况!B5</f>
        <v>湖北天门汉旺房地产开发有限公司</v>
      </c>
    </row>
    <row r="41" spans="1:9">
      <c r="A41" s="1652"/>
      <c r="B41" s="1652"/>
    </row>
    <row r="42" spans="1:9">
      <c r="A42" s="1652" t="s">
        <v>1903</v>
      </c>
      <c r="B42" s="1652" t="s">
        <v>2049</v>
      </c>
    </row>
    <row r="43" spans="1:9">
      <c r="A43" s="1652"/>
      <c r="B43" s="1652" t="s">
        <v>1905</v>
      </c>
    </row>
    <row r="44" spans="1:9">
      <c r="A44" s="1652"/>
      <c r="B44" s="1652"/>
    </row>
    <row r="45" spans="1:9">
      <c r="A45" s="1652" t="s">
        <v>1903</v>
      </c>
      <c r="B45" s="1652" t="s">
        <v>2047</v>
      </c>
    </row>
    <row r="46" spans="1:9" s="1652" customFormat="1" ht="12.75">
      <c r="B46" s="1652" t="str">
        <f>项目基本情况!K4</f>
        <v>梁津、王鹏</v>
      </c>
    </row>
    <row r="47" spans="1:9">
      <c r="A47" s="1652"/>
      <c r="B47" s="1652"/>
    </row>
    <row r="48" spans="1:9">
      <c r="A48" s="1652" t="s">
        <v>1903</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29"/>
      <c r="C1" s="2102"/>
      <c r="D1" s="2102"/>
      <c r="E1" s="2102"/>
      <c r="F1" s="2102"/>
      <c r="G1" s="2102"/>
      <c r="H1" s="2102"/>
      <c r="I1" s="2102"/>
      <c r="J1" s="2102"/>
      <c r="K1" s="422">
        <f>MATCH(B1,'数据-取费表'!A6:A16,0)+5</f>
        <v>7</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8"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2658</v>
      </c>
      <c r="B6" s="433"/>
      <c r="C6" s="1622">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1849</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1866</v>
      </c>
      <c r="B11" s="1620"/>
      <c r="C11" s="1620"/>
      <c r="D11" s="1620"/>
      <c r="E11" s="1620"/>
      <c r="F11" s="1620"/>
      <c r="G11" s="1620"/>
      <c r="H11" s="1620"/>
      <c r="I11" s="1620"/>
      <c r="J11" s="1620"/>
      <c r="K11" s="1621"/>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1850</v>
      </c>
      <c r="B13" s="449" t="s">
        <v>479</v>
      </c>
      <c r="C13" s="450">
        <f ca="1">IF(B1="",'数据-取费表'!M16,INDIRECT("'数据-取费表'!M"&amp;$K$1)+INDIRECT("'数据-取费表'!t"&amp;$K$1))</f>
        <v>20707</v>
      </c>
      <c r="D13" s="451"/>
      <c r="E13" s="365"/>
      <c r="F13" s="452"/>
      <c r="G13" s="444"/>
      <c r="H13" s="447"/>
      <c r="I13" s="447"/>
      <c r="J13" s="447"/>
      <c r="K13" s="448"/>
    </row>
    <row r="14" spans="1:41" s="2114" customFormat="1" ht="13.5" customHeight="1">
      <c r="A14" s="1631" t="s">
        <v>1851</v>
      </c>
      <c r="B14" s="449" t="s">
        <v>480</v>
      </c>
      <c r="C14" s="53">
        <f ca="1">ROUND(C13*F14,0)</f>
        <v>621</v>
      </c>
      <c r="D14" s="451"/>
      <c r="E14" s="365"/>
      <c r="F14" s="453">
        <f>'数据-取费表'!B33</f>
        <v>0.03</v>
      </c>
      <c r="G14" s="444" t="s">
        <v>503</v>
      </c>
      <c r="H14" s="447"/>
      <c r="I14" s="447"/>
      <c r="J14" s="447"/>
      <c r="K14" s="448"/>
    </row>
    <row r="15" spans="1:41" s="2114" customFormat="1" ht="13.5" customHeight="1">
      <c r="A15" s="1631"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5" customFormat="1" ht="13.5" customHeight="1">
      <c r="A16" s="1631" t="s">
        <v>1853</v>
      </c>
      <c r="B16" s="449" t="s">
        <v>484</v>
      </c>
      <c r="C16" s="53">
        <f ca="1">ROUND(D16*E16/10000,0)</f>
        <v>1242</v>
      </c>
      <c r="D16" s="451">
        <f ca="1">IF(B1="",'数据-汇总表'!E3,INDIRECT("'数据-取费表'!K"&amp;$K$1)+INDIRECT("'数据-取费表'!S"&amp;$K$1))</f>
        <v>82827.8</v>
      </c>
      <c r="E16" s="53">
        <f>'数据-取费表'!B35</f>
        <v>150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1854</v>
      </c>
      <c r="B17" s="449" t="s">
        <v>485</v>
      </c>
      <c r="C17" s="454">
        <f ca="1">ROUND(C13*F17,0)</f>
        <v>311</v>
      </c>
      <c r="D17" s="455"/>
      <c r="E17" s="454"/>
      <c r="F17" s="456">
        <f>'数据-取费表'!B36</f>
        <v>1.4999999999999999E-2</v>
      </c>
      <c r="G17" s="444" t="s">
        <v>503</v>
      </c>
      <c r="H17" s="457"/>
      <c r="I17" s="457"/>
      <c r="J17" s="457"/>
      <c r="K17" s="458"/>
    </row>
    <row r="18" spans="1:14" s="2117" customFormat="1" ht="13.5" customHeight="1">
      <c r="A18" s="1632" t="s">
        <v>1855</v>
      </c>
      <c r="B18" s="459" t="s">
        <v>487</v>
      </c>
      <c r="C18" s="460">
        <f ca="1">SUM(C13:C17)</f>
        <v>22881</v>
      </c>
      <c r="D18" s="461"/>
      <c r="E18" s="462"/>
      <c r="F18" s="462"/>
      <c r="G18" s="1325" t="s">
        <v>2434</v>
      </c>
      <c r="H18" s="447"/>
      <c r="I18" s="447"/>
      <c r="J18" s="447"/>
      <c r="K18" s="448"/>
    </row>
    <row r="19" spans="1:14" s="2117" customFormat="1" ht="13.5" customHeight="1">
      <c r="A19" s="1632" t="s">
        <v>1856</v>
      </c>
      <c r="B19" s="459" t="s">
        <v>493</v>
      </c>
      <c r="C19" s="460">
        <f ca="1">ROUND(C18*F19,0)</f>
        <v>343</v>
      </c>
      <c r="D19" s="462"/>
      <c r="E19" s="462"/>
      <c r="F19" s="466">
        <f>'数据-取费表'!B37</f>
        <v>1.4999999999999999E-2</v>
      </c>
      <c r="G19" s="444" t="s">
        <v>504</v>
      </c>
      <c r="H19" s="447"/>
      <c r="I19" s="447"/>
      <c r="J19" s="447"/>
      <c r="K19" s="448"/>
      <c r="L19" s="2119"/>
      <c r="M19" s="2119"/>
      <c r="N19" s="2119"/>
    </row>
    <row r="20" spans="1:14" s="2117" customFormat="1" ht="13.5" customHeight="1">
      <c r="A20" s="1632" t="s">
        <v>1857</v>
      </c>
      <c r="B20" s="459" t="s">
        <v>505</v>
      </c>
      <c r="C20" s="2993">
        <f>F20</f>
        <v>0.03</v>
      </c>
      <c r="D20" s="468" t="s">
        <v>506</v>
      </c>
      <c r="E20" s="468"/>
      <c r="F20" s="484">
        <f>'数据-取费表'!B38</f>
        <v>0.03</v>
      </c>
      <c r="G20" s="1325" t="s">
        <v>507</v>
      </c>
      <c r="H20" s="447"/>
      <c r="I20" s="447"/>
      <c r="J20" s="447"/>
      <c r="K20" s="448"/>
      <c r="L20" s="2119"/>
      <c r="M20" s="2119"/>
      <c r="N20" s="2119"/>
    </row>
    <row r="21" spans="1:14" s="2119" customFormat="1" ht="13.5" customHeight="1">
      <c r="A21" s="1632" t="s">
        <v>1860</v>
      </c>
      <c r="B21" s="461" t="s">
        <v>494</v>
      </c>
      <c r="C21" s="469">
        <f ca="1">C22</f>
        <v>1103</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1" t="s">
        <v>1850</v>
      </c>
      <c r="B22" s="1326" t="s">
        <v>2437</v>
      </c>
      <c r="C22" s="485">
        <f ca="1">ROUND(IF('数据-取费表'!B22&lt;=1,(C18+C19)*F21*'数据-取费表'!B20/2,(C18+C19)*(POWER((1+F21),'数据-取费表'!B20/2)-1)),0)</f>
        <v>1103</v>
      </c>
      <c r="D22" s="471"/>
      <c r="E22" s="472"/>
      <c r="F22" s="473"/>
      <c r="G22" s="2586" t="str">
        <f>IF('数据-取费表'!B22&lt;=1,"((1)+(2))×年利率×建设期÷2","((1)+(2))×((1+年利率)^(建设期÷2)-1)")</f>
        <v>((1)+(2))×((1+年利率)^(建设期÷2)-1)</v>
      </c>
      <c r="H22" s="457"/>
      <c r="I22" s="457"/>
      <c r="J22" s="457"/>
      <c r="K22" s="458"/>
    </row>
    <row r="23" spans="1:14" s="2118" customFormat="1" ht="13.5" customHeight="1">
      <c r="A23" s="1631" t="s">
        <v>1851</v>
      </c>
      <c r="B23" s="1326" t="s">
        <v>509</v>
      </c>
      <c r="C23" s="486">
        <f ca="1">ROUND(IF('数据-取费表'!B22&lt;=1,F20*F21*'数据-取费表'!B20/2,F20*(POWER((1+F21),'数据-取费表'!B20/2)-1)),4)</f>
        <v>1.4E-3</v>
      </c>
      <c r="D23" s="471"/>
      <c r="E23" s="472"/>
      <c r="F23" s="473"/>
      <c r="G23" s="2586" t="str">
        <f>IF('数据-取费表'!B22&lt;=1,"销售费用率×年利率×建设期÷2","销售费用率×((1+年利率)^(建设期÷2)-1)")</f>
        <v>销售费用率×((1+年利率)^(建设期÷2)-1)</v>
      </c>
      <c r="H23" s="457"/>
      <c r="I23" s="457"/>
      <c r="J23" s="457"/>
      <c r="K23" s="458"/>
    </row>
    <row r="24" spans="1:14" s="2118" customFormat="1" ht="13.5" customHeight="1">
      <c r="A24" s="1632" t="s">
        <v>1861</v>
      </c>
      <c r="B24" s="2995" t="s">
        <v>2838</v>
      </c>
      <c r="C24" s="476">
        <f ca="1">C25</f>
        <v>5806</v>
      </c>
      <c r="D24" s="487">
        <f ca="1">C26</f>
        <v>7.4999999999999997E-3</v>
      </c>
      <c r="E24" s="468" t="s">
        <v>508</v>
      </c>
      <c r="F24" s="477">
        <f ca="1">IF(B1="",'数据-取费表'!Q16,INDIRECT("'数据-取费表'!q"&amp;$K$1))</f>
        <v>0.25</v>
      </c>
      <c r="G24" s="444"/>
      <c r="H24" s="447"/>
      <c r="I24" s="447"/>
      <c r="J24" s="447"/>
      <c r="K24" s="448"/>
    </row>
    <row r="25" spans="1:14" s="2118" customFormat="1" ht="13.5" customHeight="1">
      <c r="A25" s="1631" t="s">
        <v>1850</v>
      </c>
      <c r="B25" s="1326" t="s">
        <v>2438</v>
      </c>
      <c r="C25" s="488">
        <f ca="1">ROUND((C18+C19)*F24,0)</f>
        <v>5806</v>
      </c>
      <c r="D25" s="471"/>
      <c r="E25" s="472"/>
      <c r="F25" s="478"/>
      <c r="G25" s="1324" t="s">
        <v>2435</v>
      </c>
      <c r="H25" s="457"/>
      <c r="I25" s="457"/>
      <c r="J25" s="457"/>
      <c r="K25" s="458"/>
    </row>
    <row r="26" spans="1:14" s="2118" customFormat="1" ht="13.5" customHeight="1">
      <c r="A26" s="1631" t="s">
        <v>1851</v>
      </c>
      <c r="B26" s="1326" t="s">
        <v>510</v>
      </c>
      <c r="C26" s="489">
        <f ca="1">ROUND(F20*F24,4)</f>
        <v>7.4999999999999997E-3</v>
      </c>
      <c r="D26" s="471"/>
      <c r="E26" s="479"/>
      <c r="F26" s="478"/>
      <c r="G26" s="1324" t="s">
        <v>511</v>
      </c>
      <c r="H26" s="457"/>
      <c r="I26" s="457"/>
      <c r="J26" s="457"/>
      <c r="K26" s="458"/>
    </row>
    <row r="27" spans="1:14" s="2118" customFormat="1" ht="13.5" customHeight="1">
      <c r="A27" s="1635" t="s">
        <v>1869</v>
      </c>
      <c r="B27" s="459" t="s">
        <v>512</v>
      </c>
      <c r="C27" s="2994">
        <f>ROUND(F27/(1+'数据-取费表'!C42),4)</f>
        <v>6.0499999999999998E-2</v>
      </c>
      <c r="D27" s="462" t="s">
        <v>2836</v>
      </c>
      <c r="E27" s="462"/>
      <c r="F27" s="466">
        <f>'数据-取费表'!B41</f>
        <v>6.3840000000000008E-2</v>
      </c>
      <c r="G27" s="1958" t="s">
        <v>2293</v>
      </c>
      <c r="H27" s="447"/>
      <c r="I27" s="447"/>
      <c r="J27" s="447"/>
      <c r="K27" s="448"/>
    </row>
    <row r="28" spans="1:14" s="2119" customFormat="1" ht="13.5" customHeight="1">
      <c r="A28" s="1635" t="s">
        <v>1870</v>
      </c>
      <c r="B28" s="474" t="s">
        <v>513</v>
      </c>
      <c r="C28" s="469">
        <f ca="1">ROUND((C18+C19+C21+C24)/(1-C20-D21-D24-C27),0)</f>
        <v>33459</v>
      </c>
      <c r="D28" s="475"/>
      <c r="E28" s="468"/>
      <c r="F28" s="470"/>
      <c r="G28" s="1325" t="s">
        <v>2436</v>
      </c>
      <c r="H28" s="447"/>
      <c r="I28" s="447"/>
      <c r="J28" s="447"/>
      <c r="K28" s="448"/>
    </row>
    <row r="29" spans="1:14" s="2119" customFormat="1" ht="13.5" customHeight="1">
      <c r="A29" s="1635" t="s">
        <v>1871</v>
      </c>
      <c r="B29" s="474" t="s">
        <v>514</v>
      </c>
      <c r="C29" s="490">
        <f ca="1">IF(B1="",'数据-取费表'!N16,INDIRECT("'数据-取费表'!N"&amp;$K$1))</f>
        <v>0</v>
      </c>
      <c r="D29" s="491"/>
      <c r="E29" s="492"/>
      <c r="F29" s="493"/>
      <c r="G29" s="444"/>
      <c r="H29" s="447"/>
      <c r="I29" s="447"/>
      <c r="J29" s="447"/>
      <c r="K29" s="448"/>
    </row>
    <row r="30" spans="1:14" s="2119" customFormat="1" ht="13.5" customHeight="1">
      <c r="A30" s="443">
        <v>2</v>
      </c>
      <c r="B30" s="474" t="s">
        <v>515</v>
      </c>
      <c r="C30" s="495">
        <f ca="1">ROUND(C28*C29,0)</f>
        <v>0</v>
      </c>
      <c r="D30" s="491"/>
      <c r="E30" s="496"/>
      <c r="F30" s="497"/>
      <c r="G30" s="1327" t="s">
        <v>516</v>
      </c>
      <c r="H30" s="494"/>
      <c r="I30" s="494"/>
      <c r="J30" s="447"/>
      <c r="K30" s="448"/>
    </row>
    <row r="31" spans="1:14" s="2124" customFormat="1" ht="13.5" customHeight="1">
      <c r="A31" s="2504" t="s">
        <v>1867</v>
      </c>
      <c r="B31" s="1328"/>
      <c r="C31" s="498">
        <f>ROUND(C6*F31/(1+'数据-取费表'!C42),0)</f>
        <v>0</v>
      </c>
      <c r="D31" s="1329"/>
      <c r="E31" s="1329"/>
      <c r="F31" s="499">
        <f>'数据-取费表'!B41</f>
        <v>6.3840000000000008E-2</v>
      </c>
      <c r="G31" s="1330"/>
      <c r="H31" s="1330"/>
      <c r="I31" s="1330"/>
      <c r="J31" s="1331"/>
      <c r="K31" s="1332"/>
    </row>
    <row r="32" spans="1:14" s="2083"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5"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1687</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09" t="s">
        <v>521</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0" t="s">
        <v>522</v>
      </c>
      <c r="B6" s="511"/>
      <c r="C6" s="3310" t="s">
        <v>523</v>
      </c>
      <c r="D6" s="3311"/>
      <c r="E6" s="3336" t="s">
        <v>524</v>
      </c>
      <c r="F6" s="3337"/>
      <c r="G6" s="3310" t="s">
        <v>525</v>
      </c>
      <c r="H6" s="3311"/>
      <c r="I6" s="3310" t="s">
        <v>526</v>
      </c>
      <c r="J6" s="3311"/>
      <c r="K6" s="512" t="s">
        <v>527</v>
      </c>
      <c r="L6" s="2131"/>
      <c r="M6" s="2132"/>
      <c r="N6" s="2132"/>
      <c r="O6" s="2132"/>
      <c r="P6" s="3312" t="s">
        <v>528</v>
      </c>
      <c r="Q6" s="3313"/>
      <c r="R6" s="3298" t="s">
        <v>524</v>
      </c>
      <c r="S6" s="3299"/>
      <c r="T6" s="3298" t="s">
        <v>525</v>
      </c>
      <c r="U6" s="3299"/>
      <c r="V6" s="3318" t="s">
        <v>526</v>
      </c>
      <c r="W6" s="3318"/>
      <c r="X6" s="1566"/>
      <c r="Y6" s="3298" t="s">
        <v>528</v>
      </c>
      <c r="Z6" s="3299"/>
      <c r="AA6" s="3293" t="s">
        <v>524</v>
      </c>
      <c r="AB6" s="3294" t="s">
        <v>525</v>
      </c>
      <c r="AC6" s="3293" t="s">
        <v>526</v>
      </c>
    </row>
    <row r="7" spans="1:29" ht="15">
      <c r="A7" s="513"/>
      <c r="B7" s="514"/>
      <c r="C7" s="3323" t="s">
        <v>2932</v>
      </c>
      <c r="D7" s="3322"/>
      <c r="E7" s="3338" t="s">
        <v>2933</v>
      </c>
      <c r="F7" s="3339"/>
      <c r="G7" s="3323" t="s">
        <v>2934</v>
      </c>
      <c r="H7" s="3322"/>
      <c r="I7" s="3323" t="s">
        <v>2935</v>
      </c>
      <c r="J7" s="3322"/>
      <c r="K7" s="512"/>
      <c r="L7" s="2131"/>
      <c r="M7" s="2132"/>
      <c r="N7" s="2132"/>
      <c r="O7" s="2132"/>
      <c r="P7" s="3314"/>
      <c r="Q7" s="3315"/>
      <c r="R7" s="3300"/>
      <c r="S7" s="3301"/>
      <c r="T7" s="3300"/>
      <c r="U7" s="3301"/>
      <c r="V7" s="3318"/>
      <c r="W7" s="3318"/>
      <c r="X7" s="1566"/>
      <c r="Y7" s="3300"/>
      <c r="Z7" s="3301"/>
      <c r="AA7" s="3294"/>
      <c r="AB7" s="3294"/>
      <c r="AC7" s="3294"/>
    </row>
    <row r="8" spans="1:29" ht="15.75" thickBot="1">
      <c r="A8" s="515"/>
      <c r="B8" s="516"/>
      <c r="C8" s="3340" t="s">
        <v>2936</v>
      </c>
      <c r="D8" s="3320"/>
      <c r="E8" s="3341" t="s">
        <v>2936</v>
      </c>
      <c r="F8" s="3342"/>
      <c r="G8" s="3340" t="s">
        <v>2936</v>
      </c>
      <c r="H8" s="3320"/>
      <c r="I8" s="3340" t="s">
        <v>2936</v>
      </c>
      <c r="J8" s="3320"/>
      <c r="K8" s="512" t="s">
        <v>529</v>
      </c>
      <c r="L8" s="2131"/>
      <c r="M8" s="2132"/>
      <c r="N8" s="2132"/>
      <c r="O8" s="2132"/>
      <c r="P8" s="3316"/>
      <c r="Q8" s="3317"/>
      <c r="R8" s="3300"/>
      <c r="S8" s="3301"/>
      <c r="T8" s="3302"/>
      <c r="U8" s="3303"/>
      <c r="V8" s="3318"/>
      <c r="W8" s="3318"/>
      <c r="X8" s="1566"/>
      <c r="Y8" s="3302"/>
      <c r="Z8" s="3303"/>
      <c r="AA8" s="3295"/>
      <c r="AB8" s="3295"/>
      <c r="AC8" s="3295"/>
    </row>
    <row r="9" spans="1:29" s="1218" customFormat="1" ht="15.75" thickBot="1">
      <c r="A9" s="2876"/>
      <c r="B9" s="2883" t="s">
        <v>530</v>
      </c>
      <c r="C9" s="517">
        <f>'数据-取费表'!B2</f>
        <v>43061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296" t="s">
        <v>531</v>
      </c>
      <c r="Q9" s="3305"/>
      <c r="R9" s="1567" t="s">
        <v>8</v>
      </c>
      <c r="S9" s="1568">
        <f t="shared" ref="S9:S17" si="0">F9</f>
        <v>0</v>
      </c>
      <c r="T9" s="1567" t="s">
        <v>8</v>
      </c>
      <c r="U9" s="1568">
        <f t="shared" ref="U9:U17" si="1">H9</f>
        <v>0</v>
      </c>
      <c r="V9" s="1567" t="s">
        <v>8</v>
      </c>
      <c r="W9" s="1568">
        <f t="shared" ref="W9:W17" si="2">J9</f>
        <v>0</v>
      </c>
      <c r="X9" s="1569"/>
      <c r="Y9" s="3296" t="s">
        <v>531</v>
      </c>
      <c r="Z9" s="3297"/>
      <c r="AA9" s="1570" t="e">
        <f>D9/F9</f>
        <v>#DIV/0!</v>
      </c>
      <c r="AB9" s="1570" t="e">
        <f>D9/H9</f>
        <v>#DIV/0!</v>
      </c>
      <c r="AC9" s="1570" t="e">
        <f>D9/J9</f>
        <v>#DIV/0!</v>
      </c>
    </row>
    <row r="10" spans="1:29" s="1218" customFormat="1" ht="15.75" thickBot="1">
      <c r="A10" s="2877"/>
      <c r="B10" s="2884"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296" t="s">
        <v>534</v>
      </c>
      <c r="Q10" s="3297"/>
      <c r="R10" s="1567" t="s">
        <v>8</v>
      </c>
      <c r="S10" s="1568">
        <f t="shared" si="0"/>
        <v>0</v>
      </c>
      <c r="T10" s="1567" t="s">
        <v>8</v>
      </c>
      <c r="U10" s="1568">
        <f t="shared" si="1"/>
        <v>0</v>
      </c>
      <c r="V10" s="1567" t="s">
        <v>8</v>
      </c>
      <c r="W10" s="1568">
        <f t="shared" si="2"/>
        <v>0</v>
      </c>
      <c r="X10" s="1569"/>
      <c r="Y10" s="3296" t="s">
        <v>534</v>
      </c>
      <c r="Z10" s="3297"/>
      <c r="AA10" s="1570" t="e">
        <f t="shared" ref="AA10:AA42" si="3">D10/F10</f>
        <v>#DIV/0!</v>
      </c>
      <c r="AB10" s="1570" t="e">
        <f t="shared" ref="AB10:AB42" si="4">D10/H10</f>
        <v>#DIV/0!</v>
      </c>
      <c r="AC10" s="1570" t="e">
        <f t="shared" ref="AC10:AC42" si="5">D10/J10</f>
        <v>#DIV/0!</v>
      </c>
    </row>
    <row r="11" spans="1:29" s="1218" customFormat="1" ht="15">
      <c r="A11" s="2878"/>
      <c r="B11" s="2885" t="s">
        <v>2762</v>
      </c>
      <c r="C11" s="524"/>
      <c r="D11" s="254">
        <v>100</v>
      </c>
      <c r="E11" s="524"/>
      <c r="F11" s="254">
        <f>SUMIF(72:72,E11,73:73)-SUMIF(72:72,C11,73:73)+100</f>
        <v>100</v>
      </c>
      <c r="G11" s="524"/>
      <c r="H11" s="254">
        <f>SUMIF(72:72,G11,73:73)-SUMIF(72:72,C11,73:73)+100</f>
        <v>100</v>
      </c>
      <c r="I11" s="524"/>
      <c r="J11" s="254">
        <f>SUMIF(72:72,I11,73:73)-SUMIF(72:72,C11,73:73)+100</f>
        <v>100</v>
      </c>
      <c r="K11" s="522"/>
      <c r="L11" s="2133"/>
      <c r="M11" s="2134"/>
      <c r="N11" s="2134"/>
      <c r="O11" s="2135"/>
      <c r="P11" s="3304" t="s">
        <v>536</v>
      </c>
      <c r="Q11" s="1149" t="str">
        <f t="shared" ref="Q11:Q17" si="6">B11</f>
        <v>用途</v>
      </c>
      <c r="R11" s="1567" t="s">
        <v>8</v>
      </c>
      <c r="S11" s="1568">
        <f t="shared" si="0"/>
        <v>100</v>
      </c>
      <c r="T11" s="1567" t="s">
        <v>8</v>
      </c>
      <c r="U11" s="1568">
        <f t="shared" si="1"/>
        <v>100</v>
      </c>
      <c r="V11" s="1567" t="s">
        <v>8</v>
      </c>
      <c r="W11" s="1568">
        <f t="shared" si="2"/>
        <v>100</v>
      </c>
      <c r="X11" s="1569"/>
      <c r="Y11" s="3261" t="s">
        <v>537</v>
      </c>
      <c r="Z11" s="1148" t="str">
        <f t="shared" ref="Z11:Z17" si="7">Q11</f>
        <v>用途</v>
      </c>
      <c r="AA11" s="1570">
        <f t="shared" si="3"/>
        <v>1</v>
      </c>
      <c r="AB11" s="1570">
        <f t="shared" si="4"/>
        <v>1</v>
      </c>
      <c r="AC11" s="1570">
        <f t="shared" si="5"/>
        <v>1</v>
      </c>
    </row>
    <row r="12" spans="1:29" s="1336" customFormat="1" ht="27">
      <c r="A12" s="2879"/>
      <c r="B12" s="2884" t="s">
        <v>2763</v>
      </c>
      <c r="C12" s="526"/>
      <c r="D12" s="255">
        <v>100</v>
      </c>
      <c r="E12" s="526"/>
      <c r="F12" s="255">
        <f>ROUND(100/'数据-取费表'!G16,0)</f>
        <v>104</v>
      </c>
      <c r="G12" s="526"/>
      <c r="H12" s="255">
        <f>ROUND(100/'数据-取费表'!G16,0)</f>
        <v>104</v>
      </c>
      <c r="I12" s="526"/>
      <c r="J12" s="255">
        <f>ROUND(100/'数据-取费表'!G16,0)</f>
        <v>104</v>
      </c>
      <c r="K12" s="529"/>
      <c r="L12" s="2136"/>
      <c r="M12" s="2176"/>
      <c r="N12" s="2176"/>
      <c r="O12" s="2137"/>
      <c r="P12" s="3304"/>
      <c r="Q12" s="1149" t="str">
        <f t="shared" si="6"/>
        <v>土地使用年限（年）</v>
      </c>
      <c r="R12" s="1567" t="s">
        <v>8</v>
      </c>
      <c r="S12" s="1568">
        <f t="shared" si="0"/>
        <v>104</v>
      </c>
      <c r="T12" s="1567" t="s">
        <v>8</v>
      </c>
      <c r="U12" s="1568">
        <f t="shared" si="1"/>
        <v>104</v>
      </c>
      <c r="V12" s="1567" t="s">
        <v>8</v>
      </c>
      <c r="W12" s="1568">
        <f t="shared" si="2"/>
        <v>104</v>
      </c>
      <c r="X12" s="1569"/>
      <c r="Y12" s="3261"/>
      <c r="Z12" s="1148" t="str">
        <f t="shared" si="7"/>
        <v>土地使用年限（年）</v>
      </c>
      <c r="AA12" s="1570">
        <f t="shared" si="3"/>
        <v>0.96153846153846156</v>
      </c>
      <c r="AB12" s="1570">
        <f t="shared" si="4"/>
        <v>0.96153846153846156</v>
      </c>
      <c r="AC12" s="1570">
        <f t="shared" si="5"/>
        <v>0.96153846153846156</v>
      </c>
    </row>
    <row r="13" spans="1:29" ht="15">
      <c r="A13" s="2880"/>
      <c r="B13" s="2884" t="s">
        <v>2764</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304"/>
      <c r="Q13" s="1149" t="str">
        <f t="shared" si="6"/>
        <v>容积率</v>
      </c>
      <c r="R13" s="1567" t="s">
        <v>8</v>
      </c>
      <c r="S13" s="1568" t="e">
        <f t="shared" si="0"/>
        <v>#N/A</v>
      </c>
      <c r="T13" s="1567" t="s">
        <v>8</v>
      </c>
      <c r="U13" s="1568" t="e">
        <f t="shared" si="1"/>
        <v>#N/A</v>
      </c>
      <c r="V13" s="1567" t="s">
        <v>8</v>
      </c>
      <c r="W13" s="1568" t="e">
        <f t="shared" si="2"/>
        <v>#N/A</v>
      </c>
      <c r="X13" s="1569"/>
      <c r="Y13" s="3261"/>
      <c r="Z13" s="1148" t="str">
        <f t="shared" si="7"/>
        <v>容积率</v>
      </c>
      <c r="AA13" s="1570" t="e">
        <f t="shared" si="3"/>
        <v>#N/A</v>
      </c>
      <c r="AB13" s="1570" t="e">
        <f t="shared" si="4"/>
        <v>#N/A</v>
      </c>
      <c r="AC13" s="1570" t="e">
        <f t="shared" si="5"/>
        <v>#N/A</v>
      </c>
    </row>
    <row r="14" spans="1:29" s="1218" customFormat="1" ht="15">
      <c r="A14" s="2881"/>
      <c r="B14" s="2887">
        <v>111</v>
      </c>
      <c r="C14" s="526"/>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304"/>
      <c r="Q14" s="1149">
        <f t="shared" si="6"/>
        <v>111</v>
      </c>
      <c r="R14" s="1567" t="s">
        <v>8</v>
      </c>
      <c r="S14" s="1568">
        <f t="shared" si="0"/>
        <v>100</v>
      </c>
      <c r="T14" s="1567" t="s">
        <v>8</v>
      </c>
      <c r="U14" s="1568">
        <f t="shared" si="1"/>
        <v>100</v>
      </c>
      <c r="V14" s="1567" t="s">
        <v>8</v>
      </c>
      <c r="W14" s="1568">
        <f t="shared" si="2"/>
        <v>100</v>
      </c>
      <c r="X14" s="1569"/>
      <c r="Y14" s="3261"/>
      <c r="Z14" s="1148">
        <f t="shared" si="7"/>
        <v>111</v>
      </c>
      <c r="AA14" s="1570">
        <f>D14/F14</f>
        <v>1</v>
      </c>
      <c r="AB14" s="1570">
        <f>D14/H14</f>
        <v>1</v>
      </c>
      <c r="AC14" s="1570">
        <f>D14/J14</f>
        <v>1</v>
      </c>
    </row>
    <row r="15" spans="1:29" ht="15">
      <c r="A15" s="2881"/>
      <c r="B15" s="2887">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304"/>
      <c r="Q15" s="1149">
        <f t="shared" si="6"/>
        <v>111</v>
      </c>
      <c r="R15" s="1567" t="s">
        <v>8</v>
      </c>
      <c r="S15" s="1568">
        <f t="shared" si="0"/>
        <v>100</v>
      </c>
      <c r="T15" s="1567" t="s">
        <v>8</v>
      </c>
      <c r="U15" s="1568">
        <f t="shared" si="1"/>
        <v>100</v>
      </c>
      <c r="V15" s="1567" t="s">
        <v>8</v>
      </c>
      <c r="W15" s="1568">
        <f t="shared" si="2"/>
        <v>100</v>
      </c>
      <c r="X15" s="1569"/>
      <c r="Y15" s="3261"/>
      <c r="Z15" s="1148">
        <f t="shared" si="7"/>
        <v>111</v>
      </c>
      <c r="AA15" s="1570">
        <f t="shared" si="3"/>
        <v>1</v>
      </c>
      <c r="AB15" s="1570">
        <f t="shared" si="4"/>
        <v>1</v>
      </c>
      <c r="AC15" s="1570">
        <f t="shared" si="5"/>
        <v>1</v>
      </c>
    </row>
    <row r="16" spans="1:29" ht="15.75" thickBot="1">
      <c r="A16" s="2882"/>
      <c r="B16" s="2888">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04"/>
      <c r="Q16" s="1149">
        <f t="shared" si="6"/>
        <v>111</v>
      </c>
      <c r="R16" s="1567" t="s">
        <v>8</v>
      </c>
      <c r="S16" s="1568">
        <f t="shared" si="0"/>
        <v>100</v>
      </c>
      <c r="T16" s="1567" t="s">
        <v>8</v>
      </c>
      <c r="U16" s="1568">
        <f t="shared" si="1"/>
        <v>100</v>
      </c>
      <c r="V16" s="1567" t="s">
        <v>8</v>
      </c>
      <c r="W16" s="1568">
        <f t="shared" si="2"/>
        <v>100</v>
      </c>
      <c r="X16" s="1569"/>
      <c r="Y16" s="3261"/>
      <c r="Z16" s="1148">
        <f t="shared" si="7"/>
        <v>111</v>
      </c>
      <c r="AA16" s="1570">
        <f t="shared" si="3"/>
        <v>1</v>
      </c>
      <c r="AB16" s="1570">
        <f t="shared" si="4"/>
        <v>1</v>
      </c>
      <c r="AC16" s="1570">
        <f t="shared" si="5"/>
        <v>1</v>
      </c>
    </row>
    <row r="17" spans="1:29" ht="57">
      <c r="A17" s="2874" t="s">
        <v>2760</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06" t="s">
        <v>541</v>
      </c>
      <c r="Q17" s="1571" t="str">
        <f t="shared" si="6"/>
        <v>产业集聚程度</v>
      </c>
      <c r="R17" s="1572" t="s">
        <v>8</v>
      </c>
      <c r="S17" s="1573">
        <f t="shared" si="0"/>
        <v>100</v>
      </c>
      <c r="T17" s="1572" t="s">
        <v>8</v>
      </c>
      <c r="U17" s="1573">
        <f t="shared" si="1"/>
        <v>100</v>
      </c>
      <c r="V17" s="1572" t="s">
        <v>8</v>
      </c>
      <c r="W17" s="1573">
        <f t="shared" si="2"/>
        <v>100</v>
      </c>
      <c r="X17" s="1566"/>
      <c r="Y17" s="3306" t="s">
        <v>541</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307"/>
      <c r="Q18" s="1571"/>
      <c r="R18" s="1572"/>
      <c r="S18" s="1573"/>
      <c r="T18" s="1572"/>
      <c r="U18" s="1573"/>
      <c r="V18" s="1572"/>
      <c r="W18" s="1573"/>
      <c r="X18" s="1566"/>
      <c r="Y18" s="3307"/>
      <c r="Z18" s="1574"/>
      <c r="AA18" s="1575">
        <v>1</v>
      </c>
      <c r="AB18" s="1575">
        <v>1</v>
      </c>
      <c r="AC18" s="1575">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07"/>
      <c r="Q19" s="1571" t="str">
        <f>B19</f>
        <v>交通便捷度</v>
      </c>
      <c r="R19" s="1572" t="s">
        <v>8</v>
      </c>
      <c r="S19" s="1573">
        <f>F19</f>
        <v>100</v>
      </c>
      <c r="T19" s="1572" t="s">
        <v>8</v>
      </c>
      <c r="U19" s="1573">
        <f>H19</f>
        <v>100</v>
      </c>
      <c r="V19" s="1572" t="s">
        <v>8</v>
      </c>
      <c r="W19" s="1573">
        <f>J19</f>
        <v>100</v>
      </c>
      <c r="X19" s="1566"/>
      <c r="Y19" s="3307"/>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307"/>
      <c r="Q20" s="1571"/>
      <c r="R20" s="1572"/>
      <c r="S20" s="1573"/>
      <c r="T20" s="1572"/>
      <c r="U20" s="1573"/>
      <c r="V20" s="1572"/>
      <c r="W20" s="1573"/>
      <c r="X20" s="1566"/>
      <c r="Y20" s="3307"/>
      <c r="Z20" s="1574"/>
      <c r="AA20" s="1575">
        <v>1</v>
      </c>
      <c r="AB20" s="1575">
        <v>1</v>
      </c>
      <c r="AC20" s="1575">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307"/>
      <c r="Q21" s="1571" t="str">
        <f t="shared" ref="Q21:Q35" si="8">B21</f>
        <v>区域土地利用方向</v>
      </c>
      <c r="R21" s="1572" t="s">
        <v>8</v>
      </c>
      <c r="S21" s="1573">
        <f>F21</f>
        <v>100</v>
      </c>
      <c r="T21" s="1572" t="s">
        <v>8</v>
      </c>
      <c r="U21" s="1573">
        <f>H21</f>
        <v>100</v>
      </c>
      <c r="V21" s="1572" t="s">
        <v>8</v>
      </c>
      <c r="W21" s="1573">
        <f>J21</f>
        <v>100</v>
      </c>
      <c r="X21" s="1566"/>
      <c r="Y21" s="3307"/>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307"/>
      <c r="Q22" s="1571"/>
      <c r="R22" s="1572"/>
      <c r="S22" s="1573"/>
      <c r="T22" s="1572"/>
      <c r="U22" s="1573"/>
      <c r="V22" s="1572"/>
      <c r="W22" s="1573"/>
      <c r="X22" s="1566"/>
      <c r="Y22" s="3307"/>
      <c r="Z22" s="1574"/>
      <c r="AA22" s="1575"/>
      <c r="AB22" s="1575"/>
      <c r="AC22" s="1575"/>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07"/>
      <c r="Q23" s="1571" t="str">
        <f t="shared" si="8"/>
        <v>环境状况</v>
      </c>
      <c r="R23" s="1572" t="s">
        <v>8</v>
      </c>
      <c r="S23" s="1573">
        <f>F23</f>
        <v>100</v>
      </c>
      <c r="T23" s="1572" t="s">
        <v>8</v>
      </c>
      <c r="U23" s="1573">
        <f>H23</f>
        <v>100</v>
      </c>
      <c r="V23" s="1572" t="s">
        <v>8</v>
      </c>
      <c r="W23" s="1573">
        <f>J23</f>
        <v>100</v>
      </c>
      <c r="X23" s="1566"/>
      <c r="Y23" s="3307"/>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307"/>
      <c r="Q24" s="1571"/>
      <c r="R24" s="1572"/>
      <c r="S24" s="1573"/>
      <c r="T24" s="1572"/>
      <c r="U24" s="1573"/>
      <c r="V24" s="1572"/>
      <c r="W24" s="1573"/>
      <c r="X24" s="1566"/>
      <c r="Y24" s="3307"/>
      <c r="Z24" s="1574"/>
      <c r="AA24" s="1575">
        <v>1</v>
      </c>
      <c r="AB24" s="1575">
        <v>1</v>
      </c>
      <c r="AC24" s="1575">
        <v>1</v>
      </c>
    </row>
    <row r="25" spans="1:29" s="1218" customFormat="1" ht="42.75">
      <c r="A25" s="575"/>
      <c r="B25" s="2612"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07"/>
      <c r="Q25" s="1149" t="str">
        <f t="shared" si="8"/>
        <v>公共配套设施</v>
      </c>
      <c r="R25" s="1567" t="s">
        <v>8</v>
      </c>
      <c r="S25" s="1568">
        <f>F25</f>
        <v>100</v>
      </c>
      <c r="T25" s="1567" t="s">
        <v>8</v>
      </c>
      <c r="U25" s="1568">
        <f>H25</f>
        <v>100</v>
      </c>
      <c r="V25" s="1567" t="s">
        <v>8</v>
      </c>
      <c r="W25" s="1568">
        <f>J25</f>
        <v>100</v>
      </c>
      <c r="X25" s="1569"/>
      <c r="Y25" s="3307"/>
      <c r="Z25" s="1148" t="str">
        <f>Q25</f>
        <v>公共配套设施</v>
      </c>
      <c r="AA25" s="1575">
        <f>D25/F25</f>
        <v>1</v>
      </c>
      <c r="AB25" s="1575">
        <f>D25/H25</f>
        <v>1</v>
      </c>
      <c r="AC25" s="1575">
        <f>D25/J25</f>
        <v>1</v>
      </c>
    </row>
    <row r="26" spans="1:29" s="1218" customFormat="1" ht="15">
      <c r="A26" s="575"/>
      <c r="B26" s="593"/>
      <c r="C26" s="2611"/>
      <c r="D26" s="553"/>
      <c r="E26" s="552"/>
      <c r="F26" s="553"/>
      <c r="G26" s="552"/>
      <c r="H26" s="553"/>
      <c r="I26" s="574"/>
      <c r="J26" s="553"/>
      <c r="K26" s="529"/>
      <c r="L26" s="2133"/>
      <c r="M26" s="2134"/>
      <c r="N26" s="2134"/>
      <c r="O26" s="2135"/>
      <c r="P26" s="3307"/>
      <c r="Q26" s="1149"/>
      <c r="R26" s="1567"/>
      <c r="S26" s="1568"/>
      <c r="T26" s="1567"/>
      <c r="U26" s="1568"/>
      <c r="V26" s="1567"/>
      <c r="W26" s="1568"/>
      <c r="X26" s="1569"/>
      <c r="Y26" s="3307"/>
      <c r="Z26" s="1148"/>
      <c r="AA26" s="1570">
        <v>1</v>
      </c>
      <c r="AB26" s="1570">
        <v>1</v>
      </c>
      <c r="AC26" s="1570">
        <v>1</v>
      </c>
    </row>
    <row r="27" spans="1:29" s="1218" customFormat="1" ht="28.5">
      <c r="A27" s="575"/>
      <c r="B27" s="2612"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07"/>
      <c r="Q27" s="2597" t="str">
        <f t="shared" ref="Q27" si="9">B27</f>
        <v>基础设施水平</v>
      </c>
      <c r="R27" s="1567" t="s">
        <v>8</v>
      </c>
      <c r="S27" s="1568">
        <f>F27</f>
        <v>100</v>
      </c>
      <c r="T27" s="1567" t="s">
        <v>8</v>
      </c>
      <c r="U27" s="1568">
        <f>H27</f>
        <v>100</v>
      </c>
      <c r="V27" s="1567" t="s">
        <v>8</v>
      </c>
      <c r="W27" s="1568">
        <f>J27</f>
        <v>100</v>
      </c>
      <c r="X27" s="1569"/>
      <c r="Y27" s="3307"/>
      <c r="Z27" s="2594" t="str">
        <f>Q27</f>
        <v>基础设施水平</v>
      </c>
      <c r="AA27" s="1575">
        <f>D27/F27</f>
        <v>1</v>
      </c>
      <c r="AB27" s="1575">
        <f>D27/H27</f>
        <v>1</v>
      </c>
      <c r="AC27" s="1575">
        <f>D27/J27</f>
        <v>1</v>
      </c>
    </row>
    <row r="28" spans="1:29" s="1218" customFormat="1" ht="15">
      <c r="A28" s="575"/>
      <c r="B28" s="593"/>
      <c r="C28" s="2611"/>
      <c r="D28" s="553"/>
      <c r="E28" s="577"/>
      <c r="F28" s="553"/>
      <c r="G28" s="577"/>
      <c r="H28" s="553"/>
      <c r="I28" s="577"/>
      <c r="J28" s="553"/>
      <c r="K28" s="529"/>
      <c r="L28" s="2133"/>
      <c r="M28" s="2134"/>
      <c r="N28" s="2134"/>
      <c r="O28" s="2135"/>
      <c r="P28" s="3307"/>
      <c r="Q28" s="2597"/>
      <c r="R28" s="1567"/>
      <c r="S28" s="1568"/>
      <c r="T28" s="1567"/>
      <c r="U28" s="1568"/>
      <c r="V28" s="1567"/>
      <c r="W28" s="1568"/>
      <c r="X28" s="1569"/>
      <c r="Y28" s="3307"/>
      <c r="Z28" s="2594"/>
      <c r="AA28" s="1570">
        <v>1</v>
      </c>
      <c r="AB28" s="1570">
        <v>1</v>
      </c>
      <c r="AC28" s="1570">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07"/>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07"/>
      <c r="Z29" s="1574" t="str">
        <f t="shared" ref="Z29:Z42" si="13">Q29</f>
        <v>临街状况</v>
      </c>
      <c r="AA29" s="1575">
        <f t="shared" si="3"/>
        <v>1</v>
      </c>
      <c r="AB29" s="1575">
        <f t="shared" si="4"/>
        <v>1</v>
      </c>
      <c r="AC29" s="1575">
        <f t="shared" si="5"/>
        <v>1</v>
      </c>
    </row>
    <row r="30" spans="1:29" ht="27">
      <c r="A30" s="530"/>
      <c r="B30" s="920" t="s">
        <v>549</v>
      </c>
      <c r="C30" s="261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07"/>
      <c r="Q30" s="1571" t="str">
        <f t="shared" si="8"/>
        <v>毗邻道路的类型与等级</v>
      </c>
      <c r="R30" s="1572" t="s">
        <v>8</v>
      </c>
      <c r="S30" s="1573">
        <f t="shared" si="10"/>
        <v>100</v>
      </c>
      <c r="T30" s="1572" t="s">
        <v>8</v>
      </c>
      <c r="U30" s="1573">
        <f t="shared" si="11"/>
        <v>100</v>
      </c>
      <c r="V30" s="1572" t="s">
        <v>8</v>
      </c>
      <c r="W30" s="1573">
        <f t="shared" si="12"/>
        <v>100</v>
      </c>
      <c r="X30" s="1566"/>
      <c r="Y30" s="3307"/>
      <c r="Z30" s="1574" t="str">
        <f t="shared" si="13"/>
        <v>毗邻道路的类型与等级</v>
      </c>
      <c r="AA30" s="1575">
        <f t="shared" si="3"/>
        <v>1</v>
      </c>
      <c r="AB30" s="1575">
        <f t="shared" si="4"/>
        <v>1</v>
      </c>
      <c r="AC30" s="1575">
        <f t="shared" si="5"/>
        <v>1</v>
      </c>
    </row>
    <row r="31" spans="1:29" ht="15">
      <c r="A31" s="530"/>
      <c r="B31" s="593"/>
      <c r="C31" s="574"/>
      <c r="D31" s="553"/>
      <c r="E31" s="552"/>
      <c r="F31" s="553"/>
      <c r="G31" s="552"/>
      <c r="H31" s="553"/>
      <c r="I31" s="574"/>
      <c r="J31" s="553"/>
      <c r="K31" s="579"/>
      <c r="L31" s="2140"/>
      <c r="M31" s="2132"/>
      <c r="N31" s="2132"/>
      <c r="O31" s="2139"/>
      <c r="P31" s="3307"/>
      <c r="Q31" s="1571"/>
      <c r="R31" s="1572"/>
      <c r="S31" s="1573"/>
      <c r="T31" s="1572"/>
      <c r="U31" s="1573"/>
      <c r="V31" s="1572"/>
      <c r="W31" s="1573"/>
      <c r="X31" s="1566"/>
      <c r="Y31" s="3307"/>
      <c r="Z31" s="1574"/>
      <c r="AA31" s="1575">
        <v>1</v>
      </c>
      <c r="AB31" s="1575">
        <v>1</v>
      </c>
      <c r="AC31" s="1575">
        <v>1</v>
      </c>
    </row>
    <row r="32" spans="1:29" ht="15">
      <c r="A32" s="530"/>
      <c r="B32" s="525" t="s">
        <v>550</v>
      </c>
      <c r="C32" s="261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07"/>
      <c r="Q32" s="1571" t="str">
        <f t="shared" si="8"/>
        <v>土地级别</v>
      </c>
      <c r="R32" s="1572" t="s">
        <v>8</v>
      </c>
      <c r="S32" s="1573">
        <f t="shared" si="10"/>
        <v>100</v>
      </c>
      <c r="T32" s="1572" t="s">
        <v>8</v>
      </c>
      <c r="U32" s="1573">
        <f t="shared" si="11"/>
        <v>100</v>
      </c>
      <c r="V32" s="1572" t="s">
        <v>8</v>
      </c>
      <c r="W32" s="1573">
        <f t="shared" si="12"/>
        <v>100</v>
      </c>
      <c r="X32" s="1566"/>
      <c r="Y32" s="3307"/>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07"/>
      <c r="Q33" s="1571">
        <f t="shared" si="8"/>
        <v>111</v>
      </c>
      <c r="R33" s="1572" t="s">
        <v>8</v>
      </c>
      <c r="S33" s="1573">
        <f t="shared" si="10"/>
        <v>100</v>
      </c>
      <c r="T33" s="1572" t="s">
        <v>8</v>
      </c>
      <c r="U33" s="1573">
        <f t="shared" si="11"/>
        <v>100</v>
      </c>
      <c r="V33" s="1572" t="s">
        <v>8</v>
      </c>
      <c r="W33" s="1573">
        <f t="shared" si="12"/>
        <v>100</v>
      </c>
      <c r="X33" s="1566"/>
      <c r="Y33" s="3307"/>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08" t="s">
        <v>551</v>
      </c>
      <c r="Q34" s="1571">
        <f t="shared" si="8"/>
        <v>111</v>
      </c>
      <c r="R34" s="1572" t="s">
        <v>8</v>
      </c>
      <c r="S34" s="1573">
        <f t="shared" si="10"/>
        <v>100</v>
      </c>
      <c r="T34" s="1572" t="s">
        <v>8</v>
      </c>
      <c r="U34" s="1573">
        <f t="shared" si="11"/>
        <v>100</v>
      </c>
      <c r="V34" s="1572" t="s">
        <v>8</v>
      </c>
      <c r="W34" s="1573">
        <f t="shared" si="12"/>
        <v>100</v>
      </c>
      <c r="X34" s="1566"/>
      <c r="Y34" s="3309" t="s">
        <v>551</v>
      </c>
      <c r="Z34" s="1574">
        <f t="shared" si="13"/>
        <v>111</v>
      </c>
      <c r="AA34" s="1575">
        <f t="shared" si="3"/>
        <v>1</v>
      </c>
      <c r="AB34" s="1575">
        <f t="shared" si="4"/>
        <v>1</v>
      </c>
      <c r="AC34" s="1575">
        <f t="shared" si="5"/>
        <v>1</v>
      </c>
    </row>
    <row r="35" spans="1:29" s="1337" customFormat="1" ht="15.75" thickBot="1">
      <c r="A35" s="587"/>
      <c r="B35" s="2613">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09"/>
      <c r="Q35" s="1571">
        <f t="shared" si="8"/>
        <v>111</v>
      </c>
      <c r="R35" s="1576" t="s">
        <v>8</v>
      </c>
      <c r="S35" s="1577">
        <f t="shared" si="10"/>
        <v>100</v>
      </c>
      <c r="T35" s="1576" t="s">
        <v>8</v>
      </c>
      <c r="U35" s="1577">
        <f t="shared" si="11"/>
        <v>100</v>
      </c>
      <c r="V35" s="1576" t="s">
        <v>8</v>
      </c>
      <c r="W35" s="1577">
        <f t="shared" si="12"/>
        <v>100</v>
      </c>
      <c r="X35" s="1578"/>
      <c r="Y35" s="3309"/>
      <c r="Z35" s="1579">
        <f t="shared" si="13"/>
        <v>111</v>
      </c>
      <c r="AA35" s="1575">
        <f t="shared" si="3"/>
        <v>1</v>
      </c>
      <c r="AB35" s="1575">
        <f t="shared" si="4"/>
        <v>1</v>
      </c>
      <c r="AC35" s="1575">
        <f t="shared" si="5"/>
        <v>1</v>
      </c>
    </row>
    <row r="36" spans="1:29" ht="15">
      <c r="A36" s="2871" t="s">
        <v>2761</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09"/>
      <c r="Q36" s="1571" t="str">
        <f>B36</f>
        <v>宗地面积</v>
      </c>
      <c r="R36" s="1572" t="s">
        <v>8</v>
      </c>
      <c r="S36" s="1573" t="e">
        <f t="shared" si="10"/>
        <v>#N/A</v>
      </c>
      <c r="T36" s="1572" t="s">
        <v>8</v>
      </c>
      <c r="U36" s="1573" t="e">
        <f t="shared" si="11"/>
        <v>#N/A</v>
      </c>
      <c r="V36" s="1572" t="s">
        <v>8</v>
      </c>
      <c r="W36" s="1573" t="e">
        <f t="shared" si="12"/>
        <v>#N/A</v>
      </c>
      <c r="X36" s="1566"/>
      <c r="Y36" s="3309"/>
      <c r="Z36" s="1574" t="str">
        <f t="shared" si="13"/>
        <v>宗地面积</v>
      </c>
      <c r="AA36" s="1575" t="e">
        <f t="shared" si="3"/>
        <v>#N/A</v>
      </c>
      <c r="AB36" s="1575" t="e">
        <f t="shared" si="4"/>
        <v>#N/A</v>
      </c>
      <c r="AC36" s="1575"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09"/>
      <c r="Q37" s="1571" t="str">
        <f t="shared" ref="Q37:Q42" si="14">B37</f>
        <v>宗地形状</v>
      </c>
      <c r="R37" s="1572" t="s">
        <v>8</v>
      </c>
      <c r="S37" s="1573">
        <f t="shared" si="10"/>
        <v>100</v>
      </c>
      <c r="T37" s="1572" t="s">
        <v>8</v>
      </c>
      <c r="U37" s="1573">
        <f t="shared" si="11"/>
        <v>100</v>
      </c>
      <c r="V37" s="1572" t="s">
        <v>8</v>
      </c>
      <c r="W37" s="1573">
        <f t="shared" si="12"/>
        <v>100</v>
      </c>
      <c r="X37" s="1566"/>
      <c r="Y37" s="3309"/>
      <c r="Z37" s="1574" t="str">
        <f t="shared" si="13"/>
        <v>宗地形状</v>
      </c>
      <c r="AA37" s="1575">
        <f t="shared" si="3"/>
        <v>1</v>
      </c>
      <c r="AB37" s="1575">
        <f t="shared" si="4"/>
        <v>1</v>
      </c>
      <c r="AC37" s="1575">
        <f t="shared" si="5"/>
        <v>1</v>
      </c>
    </row>
    <row r="38" spans="1:29" s="1218" customFormat="1" ht="15">
      <c r="A38" s="598"/>
      <c r="B38" s="1893" t="s">
        <v>2426</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09"/>
      <c r="Q38" s="1571" t="str">
        <f t="shared" si="14"/>
        <v>宗地开发程度</v>
      </c>
      <c r="R38" s="1567" t="s">
        <v>8</v>
      </c>
      <c r="S38" s="1568">
        <f t="shared" si="10"/>
        <v>100</v>
      </c>
      <c r="T38" s="1567" t="s">
        <v>8</v>
      </c>
      <c r="U38" s="1568">
        <f t="shared" si="11"/>
        <v>100</v>
      </c>
      <c r="V38" s="1567" t="s">
        <v>8</v>
      </c>
      <c r="W38" s="1568">
        <f t="shared" si="12"/>
        <v>100</v>
      </c>
      <c r="X38" s="1569"/>
      <c r="Y38" s="3309"/>
      <c r="Z38" s="1148" t="str">
        <f t="shared" si="13"/>
        <v>宗地开发程度</v>
      </c>
      <c r="AA38" s="1570">
        <f t="shared" si="3"/>
        <v>1</v>
      </c>
      <c r="AB38" s="1570">
        <f t="shared" si="4"/>
        <v>1</v>
      </c>
      <c r="AC38" s="1570">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09" t="s">
        <v>602</v>
      </c>
      <c r="Q39" s="1571" t="str">
        <f t="shared" si="14"/>
        <v>工程地质条件</v>
      </c>
      <c r="R39" s="1572" t="s">
        <v>8</v>
      </c>
      <c r="S39" s="1573">
        <f t="shared" si="10"/>
        <v>100</v>
      </c>
      <c r="T39" s="1572" t="s">
        <v>8</v>
      </c>
      <c r="U39" s="1573">
        <f t="shared" si="11"/>
        <v>100</v>
      </c>
      <c r="V39" s="1572" t="s">
        <v>8</v>
      </c>
      <c r="W39" s="1573">
        <f t="shared" si="12"/>
        <v>100</v>
      </c>
      <c r="X39" s="1566"/>
      <c r="Y39" s="3309" t="s">
        <v>602</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09"/>
      <c r="Q40" s="1571">
        <f t="shared" si="14"/>
        <v>111</v>
      </c>
      <c r="R40" s="1572" t="s">
        <v>8</v>
      </c>
      <c r="S40" s="1573">
        <f t="shared" si="10"/>
        <v>100</v>
      </c>
      <c r="T40" s="1572" t="s">
        <v>8</v>
      </c>
      <c r="U40" s="1573">
        <f t="shared" si="11"/>
        <v>100</v>
      </c>
      <c r="V40" s="1572" t="s">
        <v>8</v>
      </c>
      <c r="W40" s="1573">
        <f t="shared" si="12"/>
        <v>100</v>
      </c>
      <c r="X40" s="1566"/>
      <c r="Y40" s="3309"/>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09"/>
      <c r="Q41" s="1571">
        <f t="shared" si="14"/>
        <v>111</v>
      </c>
      <c r="R41" s="1572" t="s">
        <v>8</v>
      </c>
      <c r="S41" s="1573">
        <f t="shared" si="10"/>
        <v>100</v>
      </c>
      <c r="T41" s="1572" t="s">
        <v>8</v>
      </c>
      <c r="U41" s="1573">
        <f t="shared" si="11"/>
        <v>100</v>
      </c>
      <c r="V41" s="1572" t="s">
        <v>8</v>
      </c>
      <c r="W41" s="1573">
        <f t="shared" si="12"/>
        <v>100</v>
      </c>
      <c r="X41" s="1566"/>
      <c r="Y41" s="3309"/>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09"/>
      <c r="Q42" s="1571">
        <f t="shared" si="14"/>
        <v>111</v>
      </c>
      <c r="R42" s="1576" t="s">
        <v>8</v>
      </c>
      <c r="S42" s="1577">
        <f t="shared" si="10"/>
        <v>100</v>
      </c>
      <c r="T42" s="1576" t="s">
        <v>8</v>
      </c>
      <c r="U42" s="1577">
        <f t="shared" si="11"/>
        <v>100</v>
      </c>
      <c r="V42" s="1576" t="s">
        <v>8</v>
      </c>
      <c r="W42" s="1577">
        <f t="shared" si="12"/>
        <v>100</v>
      </c>
      <c r="X42" s="1578"/>
      <c r="Y42" s="3309"/>
      <c r="Z42" s="1579">
        <f t="shared" si="13"/>
        <v>111</v>
      </c>
      <c r="AA42" s="1575">
        <f t="shared" si="3"/>
        <v>1</v>
      </c>
      <c r="AB42" s="1575">
        <f t="shared" si="4"/>
        <v>1</v>
      </c>
      <c r="AC42" s="1575">
        <f t="shared" si="5"/>
        <v>1</v>
      </c>
    </row>
    <row r="43" spans="1:29" ht="15">
      <c r="A43" s="605" t="s">
        <v>557</v>
      </c>
      <c r="B43" s="606" t="s">
        <v>2937</v>
      </c>
      <c r="C43" s="607" t="s">
        <v>1</v>
      </c>
      <c r="D43" s="608"/>
      <c r="E43" s="609"/>
      <c r="F43" s="610"/>
      <c r="G43" s="611"/>
      <c r="H43" s="612"/>
      <c r="I43" s="609"/>
      <c r="J43" s="612"/>
      <c r="K43" s="1338"/>
      <c r="L43" s="2142"/>
      <c r="M43" s="2132"/>
      <c r="N43" s="2132"/>
      <c r="O43" s="2143"/>
      <c r="P43" s="3304" t="str">
        <f>A43</f>
        <v>成交单价</v>
      </c>
      <c r="Q43" s="3304"/>
      <c r="R43" s="3318">
        <f>E43</f>
        <v>0</v>
      </c>
      <c r="S43" s="3318"/>
      <c r="T43" s="3318">
        <f>G43</f>
        <v>0</v>
      </c>
      <c r="U43" s="3318"/>
      <c r="V43" s="3318">
        <f>I43</f>
        <v>0</v>
      </c>
      <c r="W43" s="3318"/>
      <c r="X43" s="1558"/>
      <c r="Y43" s="1580"/>
      <c r="Z43" s="1558"/>
      <c r="AA43" s="1558"/>
      <c r="AB43" s="1558"/>
      <c r="AC43" s="1558"/>
    </row>
    <row r="44" spans="1:29" ht="15.75" thickBot="1">
      <c r="A44" s="613" t="s">
        <v>2699</v>
      </c>
      <c r="B44" s="614"/>
      <c r="C44" s="615" t="e">
        <f>R45</f>
        <v>#DIV/0!</v>
      </c>
      <c r="D44" s="616"/>
      <c r="E44" s="615" t="e">
        <f>R44</f>
        <v>#DIV/0!</v>
      </c>
      <c r="F44" s="617"/>
      <c r="G44" s="618" t="e">
        <f>T44</f>
        <v>#DIV/0!</v>
      </c>
      <c r="H44" s="616"/>
      <c r="I44" s="615" t="e">
        <f>V44</f>
        <v>#DIV/0!</v>
      </c>
      <c r="J44" s="616"/>
      <c r="K44" s="1339"/>
      <c r="L44" s="2142"/>
      <c r="M44" s="2132"/>
      <c r="N44" s="2132"/>
      <c r="O44" s="2143"/>
      <c r="P44" s="3304" t="str">
        <f>A44</f>
        <v>比较价格（元/平方米）</v>
      </c>
      <c r="Q44" s="3304"/>
      <c r="R44" s="3330" t="e">
        <f>ROUND(PRODUCT(R43,AA9:AA42),0)</f>
        <v>#DIV/0!</v>
      </c>
      <c r="S44" s="3330"/>
      <c r="T44" s="3330" t="e">
        <f>ROUND(PRODUCT(T43,AB9:AB42),0)</f>
        <v>#DIV/0!</v>
      </c>
      <c r="U44" s="3330"/>
      <c r="V44" s="3330" t="e">
        <f>ROUND(PRODUCT(V43,AC9:AC42),0)</f>
        <v>#DIV/0!</v>
      </c>
      <c r="W44" s="3330"/>
      <c r="X44" s="1558"/>
      <c r="Y44" s="1558"/>
      <c r="Z44" s="1558"/>
      <c r="AA44" s="1558"/>
      <c r="AB44" s="1558"/>
      <c r="AC44" s="1558"/>
    </row>
    <row r="45" spans="1:29" ht="15.75" thickBot="1">
      <c r="A45" s="619" t="s">
        <v>2938</v>
      </c>
      <c r="B45" s="620"/>
      <c r="C45" s="621" t="e">
        <f>R45</f>
        <v>#DIV/0!</v>
      </c>
      <c r="D45" s="621"/>
      <c r="E45" s="621"/>
      <c r="F45" s="621"/>
      <c r="G45" s="621"/>
      <c r="H45" s="621"/>
      <c r="I45" s="621"/>
      <c r="J45" s="621"/>
      <c r="K45" s="1340"/>
      <c r="L45" s="2142"/>
      <c r="M45" s="2132"/>
      <c r="N45" s="2132"/>
      <c r="O45" s="2143"/>
      <c r="P45" s="3327" t="str">
        <f>A45</f>
        <v>估价对象XX用房的比较价格（楼面单价，元/平方米）</v>
      </c>
      <c r="Q45" s="3328"/>
      <c r="R45" s="3329" t="e">
        <f>ROUND(AVERAGE(R44:V44),0)</f>
        <v>#DIV/0!</v>
      </c>
      <c r="S45" s="3329"/>
      <c r="T45" s="3329"/>
      <c r="U45" s="3329"/>
      <c r="V45" s="3329"/>
      <c r="W45" s="3329"/>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561</v>
      </c>
      <c r="B52" s="628" t="s">
        <v>562</v>
      </c>
      <c r="C52" s="1559" t="s">
        <v>1726</v>
      </c>
      <c r="D52" s="2225" t="s">
        <v>2295</v>
      </c>
      <c r="E52" s="629" t="s">
        <v>563</v>
      </c>
      <c r="F52" s="1949" t="s">
        <v>564</v>
      </c>
      <c r="G52" s="3331" t="s">
        <v>2286</v>
      </c>
      <c r="H52" s="3332"/>
      <c r="I52" s="1950" t="s">
        <v>1949</v>
      </c>
      <c r="J52" s="1554" t="str">
        <f>项目基本情况!F41</f>
        <v>湖北省天门市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565</v>
      </c>
      <c r="B53" s="632" t="e">
        <f>C45</f>
        <v>#DIV/0!</v>
      </c>
      <c r="C53" s="633">
        <v>1</v>
      </c>
      <c r="D53" s="2226">
        <v>1</v>
      </c>
      <c r="E53" s="633">
        <f>'数据-汇总表'!E8+'数据-汇总表'!E9</f>
        <v>82827.8</v>
      </c>
      <c r="F53" s="1948" t="e">
        <f t="shared" ref="F53:F62" si="15">ROUND(B53*E53/10000,0)</f>
        <v>#DIV/0!</v>
      </c>
      <c r="G53" s="3333"/>
      <c r="H53" s="3334"/>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566</v>
      </c>
      <c r="B54" s="636" t="e">
        <f>ROUND($C$45*C54*D54,0)</f>
        <v>#DIV/0!</v>
      </c>
      <c r="C54" s="378">
        <f t="shared" ref="C54:C62" si="16">IF($C$52="北京市系数",I54,J54)</f>
        <v>0</v>
      </c>
      <c r="D54" s="2227">
        <v>0.25</v>
      </c>
      <c r="E54" s="637"/>
      <c r="F54" s="1948" t="e">
        <f t="shared" si="15"/>
        <v>#DIV/0!</v>
      </c>
      <c r="G54" s="3335"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567</v>
      </c>
      <c r="B55" s="636" t="e">
        <f t="shared" ref="B55:B62" si="17">ROUND($C$45*C55*D55,0)</f>
        <v>#DIV/0!</v>
      </c>
      <c r="C55" s="378">
        <f t="shared" si="16"/>
        <v>0</v>
      </c>
      <c r="D55" s="2227">
        <v>0.25</v>
      </c>
      <c r="E55" s="637"/>
      <c r="F55" s="1948" t="e">
        <f t="shared" si="15"/>
        <v>#DIV/0!</v>
      </c>
      <c r="G55" s="3335"/>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568</v>
      </c>
      <c r="B56" s="636" t="e">
        <f t="shared" si="17"/>
        <v>#DIV/0!</v>
      </c>
      <c r="C56" s="378">
        <f t="shared" si="16"/>
        <v>0</v>
      </c>
      <c r="D56" s="2227">
        <v>0.25</v>
      </c>
      <c r="E56" s="637"/>
      <c r="F56" s="1948" t="e">
        <f t="shared" si="15"/>
        <v>#DIV/0!</v>
      </c>
      <c r="G56" s="3335"/>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569</v>
      </c>
      <c r="B57" s="636" t="e">
        <f t="shared" si="17"/>
        <v>#DIV/0!</v>
      </c>
      <c r="C57" s="378">
        <f t="shared" si="16"/>
        <v>0</v>
      </c>
      <c r="D57" s="2227">
        <v>0.25</v>
      </c>
      <c r="E57" s="637"/>
      <c r="F57" s="1948" t="e">
        <f t="shared" si="15"/>
        <v>#DIV/0!</v>
      </c>
      <c r="G57" s="3335"/>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6" t="e">
        <f t="shared" si="17"/>
        <v>#DIV/0!</v>
      </c>
      <c r="C58" s="378">
        <f t="shared" si="16"/>
        <v>0</v>
      </c>
      <c r="D58" s="2227">
        <v>0.25</v>
      </c>
      <c r="E58" s="639">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570</v>
      </c>
      <c r="B59" s="636" t="e">
        <f t="shared" si="17"/>
        <v>#DIV/0!</v>
      </c>
      <c r="C59" s="378">
        <f t="shared" si="16"/>
        <v>0</v>
      </c>
      <c r="D59" s="2227">
        <v>0.25</v>
      </c>
      <c r="E59" s="639">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571</v>
      </c>
      <c r="B60" s="636" t="e">
        <f t="shared" si="17"/>
        <v>#DIV/0!</v>
      </c>
      <c r="C60" s="378">
        <f t="shared" si="16"/>
        <v>0</v>
      </c>
      <c r="D60" s="2227">
        <v>0.25</v>
      </c>
      <c r="E60" s="639">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572</v>
      </c>
      <c r="B61" s="636" t="e">
        <f t="shared" si="17"/>
        <v>#DIV/0!</v>
      </c>
      <c r="C61" s="378">
        <f t="shared" si="16"/>
        <v>0</v>
      </c>
      <c r="D61" s="2227">
        <v>0.25</v>
      </c>
      <c r="E61" s="639">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573</v>
      </c>
      <c r="B62" s="636" t="e">
        <f t="shared" si="17"/>
        <v>#DIV/0!</v>
      </c>
      <c r="C62" s="378">
        <f t="shared" si="16"/>
        <v>0</v>
      </c>
      <c r="D62" s="2227">
        <v>0.25</v>
      </c>
      <c r="E62" s="639">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574</v>
      </c>
      <c r="B63" s="641" t="s">
        <v>17</v>
      </c>
      <c r="C63" s="641" t="s">
        <v>18</v>
      </c>
      <c r="D63" s="641" t="s">
        <v>2296</v>
      </c>
      <c r="E63" s="641">
        <f>IF(B43="楼面地价",SUM(E53:E62),'数据-汇总表'!D3)</f>
        <v>37649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1" t="str">
        <f>YEAR(C9)&amp;"-"&amp;MONTH(C9)&amp;"-1"</f>
        <v>2017-11-1</v>
      </c>
      <c r="D65" s="2820">
        <f>EDATE(C65,-3)</f>
        <v>42948</v>
      </c>
      <c r="E65" s="2820">
        <f t="shared" ref="E65:N65" si="18">EDATE(D65,-3)</f>
        <v>42856</v>
      </c>
      <c r="F65" s="2820">
        <f t="shared" si="18"/>
        <v>42767</v>
      </c>
      <c r="G65" s="2820">
        <f t="shared" si="18"/>
        <v>42675</v>
      </c>
      <c r="H65" s="2820">
        <f t="shared" si="18"/>
        <v>42583</v>
      </c>
      <c r="I65" s="2820">
        <f t="shared" si="18"/>
        <v>42491</v>
      </c>
      <c r="J65" s="2820">
        <f t="shared" si="18"/>
        <v>42401</v>
      </c>
      <c r="K65" s="2820">
        <f t="shared" si="18"/>
        <v>42309</v>
      </c>
      <c r="L65" s="2820">
        <f t="shared" si="18"/>
        <v>42217</v>
      </c>
      <c r="M65" s="2820">
        <f t="shared" si="18"/>
        <v>42125</v>
      </c>
      <c r="N65" s="2820">
        <f t="shared" si="18"/>
        <v>42036</v>
      </c>
      <c r="O65" s="2143"/>
      <c r="P65" s="2143"/>
      <c r="Q65" s="2143"/>
      <c r="R65" s="2143"/>
      <c r="S65" s="2143"/>
      <c r="T65" s="2143"/>
      <c r="U65" s="2143"/>
      <c r="V65" s="2143"/>
      <c r="W65" s="2143"/>
      <c r="X65" s="2143"/>
      <c r="Y65" s="2143"/>
      <c r="Z65" s="2143"/>
      <c r="AA65" s="2143"/>
      <c r="AB65" s="2143"/>
      <c r="AC65" s="2143"/>
    </row>
    <row r="66" spans="1:29" ht="21.75" thickBot="1">
      <c r="A66" s="1583" t="s">
        <v>575</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87" t="s">
        <v>2537</v>
      </c>
      <c r="B67" s="644"/>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7"/>
      <c r="P67" s="2158"/>
      <c r="Q67" s="2159"/>
      <c r="R67" s="2159"/>
      <c r="S67" s="2159"/>
      <c r="T67" s="2159"/>
      <c r="U67" s="2159"/>
      <c r="V67" s="2159"/>
      <c r="W67" s="2159"/>
      <c r="X67" s="2159"/>
      <c r="Y67" s="2159"/>
      <c r="Z67" s="2159"/>
      <c r="AA67" s="2159"/>
      <c r="AB67" s="2159"/>
      <c r="AC67" s="2159"/>
    </row>
    <row r="68" spans="1:29" s="1218" customFormat="1" ht="27.75" customHeight="1">
      <c r="A68" s="2819" t="s">
        <v>2655</v>
      </c>
      <c r="B68" s="477" t="str">
        <f>"北京市平均增长率"&amp;TEXT(基准地价!P24,"0.00%")</f>
        <v>北京市平均增长率1.39%</v>
      </c>
      <c r="C68" s="892">
        <v>100</v>
      </c>
      <c r="D68" s="728"/>
      <c r="E68" s="728"/>
      <c r="F68" s="728"/>
      <c r="G68" s="728"/>
      <c r="H68" s="728"/>
      <c r="I68" s="728"/>
      <c r="J68" s="728"/>
      <c r="K68" s="728"/>
      <c r="L68" s="728"/>
      <c r="M68" s="2813"/>
      <c r="N68" s="2814"/>
      <c r="O68" s="2160"/>
      <c r="P68" s="2156"/>
      <c r="Q68" s="1991"/>
      <c r="R68" s="1991"/>
      <c r="S68" s="1991"/>
      <c r="T68" s="1991"/>
      <c r="U68" s="1991"/>
      <c r="V68" s="1991"/>
      <c r="W68" s="1991"/>
      <c r="X68" s="1991"/>
      <c r="Y68" s="1991"/>
      <c r="Z68" s="1991"/>
      <c r="AA68" s="1991"/>
      <c r="AB68" s="1991"/>
      <c r="AC68" s="1991"/>
    </row>
    <row r="69" spans="1:29" s="1218" customFormat="1" ht="15.75" thickBot="1">
      <c r="A69" s="651" t="s">
        <v>576</v>
      </c>
      <c r="B69" s="652"/>
      <c r="C69" s="2811"/>
      <c r="D69" s="2812"/>
      <c r="E69" s="2812"/>
      <c r="F69" s="2812"/>
      <c r="G69" s="2812"/>
      <c r="H69" s="2812"/>
      <c r="I69" s="2812"/>
      <c r="J69" s="2812"/>
      <c r="K69" s="2812"/>
      <c r="L69" s="2812"/>
      <c r="M69" s="2812"/>
      <c r="N69" s="2812"/>
      <c r="O69" s="2160"/>
      <c r="P69" s="2156"/>
      <c r="Q69" s="2156"/>
      <c r="R69" s="1991"/>
      <c r="S69" s="1991"/>
      <c r="T69" s="1991"/>
      <c r="U69" s="1991"/>
      <c r="V69" s="1991"/>
      <c r="W69" s="1991"/>
      <c r="X69" s="1991"/>
      <c r="Y69" s="1991"/>
      <c r="Z69" s="1991"/>
      <c r="AA69" s="1991"/>
      <c r="AB69" s="1991"/>
      <c r="AC69" s="1991"/>
    </row>
    <row r="70" spans="1:29" s="1218" customFormat="1" ht="15">
      <c r="A70" s="657" t="s">
        <v>532</v>
      </c>
      <c r="B70" s="646"/>
      <c r="C70" s="658" t="s">
        <v>577</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578</v>
      </c>
      <c r="B72" s="663" t="s">
        <v>535</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538</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540</v>
      </c>
      <c r="B85" s="663" t="s">
        <v>603</v>
      </c>
      <c r="C85" s="701" t="s">
        <v>580</v>
      </c>
      <c r="D85" s="701" t="s">
        <v>581</v>
      </c>
      <c r="E85" s="701" t="s">
        <v>582</v>
      </c>
      <c r="F85" s="701" t="s">
        <v>583</v>
      </c>
      <c r="G85" s="701" t="s">
        <v>584</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587</v>
      </c>
      <c r="C87" s="706" t="s">
        <v>580</v>
      </c>
      <c r="D87" s="706" t="s">
        <v>581</v>
      </c>
      <c r="E87" s="706" t="s">
        <v>582</v>
      </c>
      <c r="F87" s="706" t="s">
        <v>583</v>
      </c>
      <c r="G87" s="706" t="s">
        <v>584</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2552</v>
      </c>
      <c r="C93" s="701" t="s">
        <v>580</v>
      </c>
      <c r="D93" s="701" t="s">
        <v>581</v>
      </c>
      <c r="E93" s="701" t="s">
        <v>582</v>
      </c>
      <c r="F93" s="701" t="s">
        <v>583</v>
      </c>
      <c r="G93" s="701" t="s">
        <v>584</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6" t="s">
        <v>2554</v>
      </c>
      <c r="C95" s="2617" t="s">
        <v>2555</v>
      </c>
      <c r="D95" s="2617" t="s">
        <v>2556</v>
      </c>
      <c r="E95" s="2617" t="s">
        <v>2557</v>
      </c>
      <c r="F95" s="2617" t="s">
        <v>2558</v>
      </c>
      <c r="G95" s="2617" t="s">
        <v>2559</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9"/>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590</v>
      </c>
      <c r="D97" s="672" t="s">
        <v>591</v>
      </c>
      <c r="E97" s="672" t="s">
        <v>592</v>
      </c>
      <c r="F97" s="672" t="s">
        <v>593</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549</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550</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50" t="str">
        <f t="shared" si="25"/>
        <v>(含)-</v>
      </c>
      <c r="L109" s="3051" t="str">
        <f t="shared" si="25"/>
        <v>(含)-</v>
      </c>
      <c r="M109" s="305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595</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2427</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597</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00" t="s">
        <v>2768</v>
      </c>
      <c r="S1" s="2900" t="s">
        <v>2769</v>
      </c>
      <c r="T1" s="2900" t="s">
        <v>2790</v>
      </c>
      <c r="U1" s="2900" t="s">
        <v>2791</v>
      </c>
      <c r="V1" s="2900" t="s">
        <v>2792</v>
      </c>
      <c r="W1" s="2187"/>
      <c r="X1" s="2187"/>
      <c r="Y1" s="2187"/>
      <c r="Z1" s="2187"/>
      <c r="AA1" s="2187"/>
      <c r="AB1" s="2187"/>
      <c r="AC1" s="2188"/>
    </row>
    <row r="2" spans="1:39" ht="15.75">
      <c r="A2" s="1405" t="s">
        <v>921</v>
      </c>
      <c r="B2" s="1036" t="e">
        <f>C26</f>
        <v>#DIV/0!</v>
      </c>
      <c r="C2" s="1406" t="s">
        <v>922</v>
      </c>
      <c r="D2" s="1407" t="s">
        <v>923</v>
      </c>
      <c r="E2" s="1408"/>
      <c r="F2" s="1407" t="s">
        <v>925</v>
      </c>
      <c r="G2" s="1650">
        <f>IF(E2="商业",项目基本情况!B43,IF(E2="办公",项目基本情况!C43,IF(E2="住宅",项目基本情况!D43,项目基本情况!E43)))</f>
        <v>0</v>
      </c>
      <c r="H2" s="1407" t="s">
        <v>927</v>
      </c>
      <c r="I2" s="1651">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01">
        <v>1</v>
      </c>
      <c r="S2" s="2901">
        <f>ROUND(IF(G3&gt;1,IF(R2&lt;7,SUMPRODUCT((B93:B98=R2)*(C92:N92=G2)*(C93:N98)),SUMIF(C92:N92,G2,C100:N100)),IF(R2&lt;7,SUMPRODUCT((B102:B107=R2)*(C92:N92=G2)*(C102:N107)),SUMIF(C92:N92,G2,C109:N109))),4)</f>
        <v>0</v>
      </c>
      <c r="T2" s="2901" t="e">
        <f>ROUND($C$5*$C$18*$C$19*$C$20*S2*$C$24,0)</f>
        <v>#DIV/0!</v>
      </c>
      <c r="U2" s="2890"/>
      <c r="V2" s="2901" t="e">
        <f>ROUND(T2*U2/10000,0)</f>
        <v>#DIV/0!</v>
      </c>
      <c r="W2" s="2187"/>
      <c r="X2" s="2187"/>
      <c r="Y2" s="2187"/>
      <c r="Z2" s="2187"/>
      <c r="AA2" s="2187"/>
      <c r="AB2" s="2187"/>
      <c r="AC2" s="2188"/>
    </row>
    <row r="3" spans="1:39" ht="15.75">
      <c r="A3" s="1410" t="s">
        <v>1689</v>
      </c>
      <c r="B3" s="1036" t="e">
        <f>ROUND(B2*10000/D1,0)</f>
        <v>#DIV/0!</v>
      </c>
      <c r="C3" s="1406" t="s">
        <v>928</v>
      </c>
      <c r="D3" s="1407" t="s">
        <v>929</v>
      </c>
      <c r="E3" s="1411"/>
      <c r="F3" s="1412" t="s">
        <v>2939</v>
      </c>
      <c r="G3" s="1037">
        <f>IF(F3="宗地容积率",'数据-汇总表'!I4,IF(F3="估价对象容积率",'数据-汇总表'!I6,'数据-汇总表'!I7))</f>
        <v>2.2000000000000002</v>
      </c>
      <c r="H3" s="1413" t="s">
        <v>930</v>
      </c>
      <c r="I3" s="1038">
        <v>8</v>
      </c>
      <c r="J3" s="1409" t="s">
        <v>931</v>
      </c>
      <c r="K3" s="1400"/>
      <c r="L3" s="1883" t="s">
        <v>2242</v>
      </c>
      <c r="M3" s="1884">
        <f>SUMPRODUCT((区片价!B29:B48=I2)*(区片价!C3:F3=E2)*(区片价!C29:F48))</f>
        <v>0</v>
      </c>
      <c r="N3" s="1885">
        <f>SUMPRODUCT((因素修正幅度!B29:B48=I2)*(因素修正幅度!C3:F3=E2)*(因素修正幅度!C29:F48))</f>
        <v>0</v>
      </c>
      <c r="O3" s="2187"/>
      <c r="P3" s="2187"/>
      <c r="Q3" s="2187"/>
      <c r="R3" s="2901">
        <v>2</v>
      </c>
      <c r="S3" s="2901">
        <f>ROUND(IF(G3&gt;1,IF(R3&lt;7,SUMPRODUCT((B93:B98=R3)*(C92:N92=G2)*(C93:N98)),SUMIF(C92:N92,G2,C100:N100)),IF(R3&lt;7,SUMPRODUCT((B102:B107=R3)*(C92:N92=G2)*(C102:N107)),SUMIF(C92:N92,G2,C109:N109))),4)</f>
        <v>0</v>
      </c>
      <c r="T3" s="2901" t="e">
        <f t="shared" ref="T3:T16" si="0">ROUND($C$5*$C$18*$C$19*$C$20*S3*$C$24,0)</f>
        <v>#DIV/0!</v>
      </c>
      <c r="U3" s="2890"/>
      <c r="V3" s="2901"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01">
        <v>3</v>
      </c>
      <c r="S4" s="2901">
        <f>ROUND(IF(G3&gt;1,IF(R4&lt;7,SUMPRODUCT((B93:B98=R4)*(C92:N92=G2)*(C93:N98)),SUMIF(C92:N92,G2,C100:N100)),IF(R4&lt;7,SUMPRODUCT((B102:B107=R4)*(C92:N92=G2)*(C102:N107)),SUMIF(C92:N92,G2,C109:N109))),4)</f>
        <v>0</v>
      </c>
      <c r="T4" s="2901" t="e">
        <f t="shared" si="0"/>
        <v>#DIV/0!</v>
      </c>
      <c r="U4" s="2890"/>
      <c r="V4" s="2901" t="e">
        <f t="shared" si="1"/>
        <v>#DIV/0!</v>
      </c>
      <c r="W4" s="2187"/>
      <c r="X4" s="2187"/>
      <c r="Y4" s="2187"/>
      <c r="Z4" s="2187"/>
      <c r="AA4" s="2187"/>
      <c r="AB4" s="2187"/>
      <c r="AC4" s="2188"/>
    </row>
    <row r="5" spans="1:39" s="1420" customFormat="1" ht="15.75" thickBot="1">
      <c r="A5" s="1636" t="s">
        <v>1825</v>
      </c>
      <c r="B5" s="1414" t="s">
        <v>932</v>
      </c>
      <c r="C5" s="1039" t="e">
        <f>ROUND(IF(E2="商业",IF(F16="增加",C6*C7+C16,C6*C7-C16),IF(E2="住宅",IF(F16="增加",C6*C12+C16,C6*C12-C16),IF(F16="增加",C6+C16,C6-C16))),0)</f>
        <v>#DIV/0!</v>
      </c>
      <c r="D5" s="3082">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01">
        <v>4</v>
      </c>
      <c r="S5" s="2901">
        <f>ROUND(IF(G3&gt;1,IF(R5&lt;7,SUMPRODUCT((B93:B98=R5)*(C92:N92=G2)*(C93:N98)),SUMIF(C92:N92,G2,C100:N100)),IF(R5&lt;7,SUMPRODUCT((B102:B107=R5)*(C92:N92=G2)*(C102:N107)),SUMIF(C92:N92,G2,C109:N109))),4)</f>
        <v>0</v>
      </c>
      <c r="T5" s="2901" t="e">
        <f t="shared" si="0"/>
        <v>#DIV/0!</v>
      </c>
      <c r="U5" s="2890"/>
      <c r="V5" s="2901"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7" t="s">
        <v>1872</v>
      </c>
      <c r="B6" s="1421" t="s">
        <v>932</v>
      </c>
      <c r="C6" s="1040">
        <f>SUMIF(L1:L12,基准地价!G2,M1:M12)</f>
        <v>0</v>
      </c>
      <c r="D6" s="1422" t="s">
        <v>1697</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01">
        <v>5</v>
      </c>
      <c r="S6" s="2901">
        <f>ROUND(IF(G3&gt;1,IF(R6&lt;7,SUMPRODUCT((B93:B98=R6)*(C92:N92=G2)*(C93:N98)),SUMIF(C92:N92,G2,C100:N100)),IF(R6&lt;7,SUMPRODUCT((B102:B107=R6)*(C92:N92=G2)*(C102:N107)),SUMIF(C92:N92,G2,C109:N109))),4)</f>
        <v>0</v>
      </c>
      <c r="T6" s="2901" t="e">
        <f t="shared" si="0"/>
        <v>#DIV/0!</v>
      </c>
      <c r="U6" s="2890"/>
      <c r="V6" s="2901" t="e">
        <f t="shared" si="1"/>
        <v>#DIV/0!</v>
      </c>
      <c r="W6" s="2187"/>
      <c r="X6" s="2187"/>
      <c r="Y6" s="2187"/>
      <c r="Z6" s="2187"/>
      <c r="AA6" s="2187"/>
      <c r="AB6" s="2187"/>
      <c r="AC6" s="2189"/>
      <c r="AD6" s="1418"/>
      <c r="AE6" s="1418"/>
      <c r="AF6" s="1418"/>
      <c r="AG6" s="1418"/>
      <c r="AH6" s="1418"/>
      <c r="AI6" s="1418"/>
      <c r="AJ6" s="1419"/>
    </row>
    <row r="7" spans="1:39" ht="24">
      <c r="A7" s="3344" t="str">
        <f>IF(E2="商业",IF(C8="不临58条商业街","",2),"")</f>
        <v/>
      </c>
      <c r="B7" s="1426" t="s">
        <v>933</v>
      </c>
      <c r="C7" s="1041" t="e">
        <f>IF(C8="不临58条商业街",1,ROUND(1+(1.6*E8+1.2*E9+0.8*E10+0.4*E11)*C9,4))</f>
        <v>#DIV/0!</v>
      </c>
      <c r="D7" s="1427" t="s">
        <v>934</v>
      </c>
      <c r="E7" s="1042"/>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01">
        <v>6</v>
      </c>
      <c r="S7" s="2901">
        <f>ROUND(IF(G3&gt;1,IF(R7&lt;7,SUMPRODUCT((B93:B98=R7)*(C92:N92=G2)*(C93:N98)),SUMIF(C92:N92,G2,C100:N100)),IF(R7&lt;7,SUMPRODUCT((B102:B107=R7)*(C92:N92=G2)*(C102:N107)),SUMIF(C92:N92,G2,C109:N109))),4)</f>
        <v>0</v>
      </c>
      <c r="T7" s="2901" t="e">
        <f t="shared" si="0"/>
        <v>#DIV/0!</v>
      </c>
      <c r="U7" s="2890"/>
      <c r="V7" s="2901" t="e">
        <f t="shared" si="1"/>
        <v>#DIV/0!</v>
      </c>
      <c r="W7" s="2899" t="s">
        <v>2771</v>
      </c>
      <c r="X7" s="2891">
        <f>G2</f>
        <v>0</v>
      </c>
      <c r="Y7" s="2891" t="s">
        <v>2772</v>
      </c>
      <c r="Z7" s="2892">
        <f>G3</f>
        <v>2.2000000000000002</v>
      </c>
      <c r="AA7" s="2190"/>
      <c r="AB7" s="2190"/>
      <c r="AC7" s="2191"/>
      <c r="AD7" s="2893"/>
      <c r="AE7" s="2893"/>
      <c r="AF7" s="2893"/>
      <c r="AG7" s="2893"/>
      <c r="AH7" s="2893"/>
      <c r="AI7" s="2893"/>
      <c r="AJ7" s="2894"/>
    </row>
    <row r="8" spans="1:39" ht="15">
      <c r="A8" s="3345"/>
      <c r="B8" s="1413" t="s">
        <v>935</v>
      </c>
      <c r="C8" s="1528"/>
      <c r="D8" s="1043" t="s">
        <v>936</v>
      </c>
      <c r="E8" s="1044" t="e">
        <f>ROUND(C11/E7,4)</f>
        <v>#DIV/0!</v>
      </c>
      <c r="F8" s="1431" t="s">
        <v>937</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01">
        <v>7</v>
      </c>
      <c r="S8" s="2890"/>
      <c r="T8" s="2901" t="e">
        <f t="shared" si="0"/>
        <v>#DIV/0!</v>
      </c>
      <c r="U8" s="2890"/>
      <c r="V8" s="2901" t="e">
        <f t="shared" si="1"/>
        <v>#DIV/0!</v>
      </c>
      <c r="W8" s="3354" t="s">
        <v>2789</v>
      </c>
      <c r="X8" s="3355"/>
      <c r="Y8" s="1847" t="s">
        <v>2773</v>
      </c>
      <c r="Z8" s="1847" t="s">
        <v>2774</v>
      </c>
      <c r="AA8" s="1847" t="s">
        <v>2775</v>
      </c>
      <c r="AB8" s="1847" t="s">
        <v>2776</v>
      </c>
      <c r="AC8" s="1847" t="s">
        <v>2777</v>
      </c>
      <c r="AD8" s="1847" t="s">
        <v>2778</v>
      </c>
      <c r="AE8" s="1847" t="s">
        <v>2779</v>
      </c>
      <c r="AF8" s="1847" t="s">
        <v>2780</v>
      </c>
      <c r="AG8" s="1847" t="s">
        <v>2781</v>
      </c>
      <c r="AH8" s="1847" t="s">
        <v>2782</v>
      </c>
      <c r="AI8" s="1847" t="s">
        <v>2783</v>
      </c>
      <c r="AJ8" s="1847" t="s">
        <v>2784</v>
      </c>
    </row>
    <row r="9" spans="1:39" ht="15">
      <c r="A9" s="3345"/>
      <c r="B9" s="1413" t="s">
        <v>938</v>
      </c>
      <c r="C9" s="1045">
        <f>SUMIF(修正!C59:C119,C8,修正!E59:E119)</f>
        <v>0</v>
      </c>
      <c r="D9" s="1046" t="s">
        <v>939</v>
      </c>
      <c r="E9" s="1046" t="e">
        <f>ROUND(C11/E7,4)</f>
        <v>#DIV/0!</v>
      </c>
      <c r="F9" s="1431" t="s">
        <v>940</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01">
        <v>8</v>
      </c>
      <c r="S9" s="2890"/>
      <c r="T9" s="2901" t="e">
        <f t="shared" si="0"/>
        <v>#DIV/0!</v>
      </c>
      <c r="U9" s="2890"/>
      <c r="V9" s="2901" t="e">
        <f t="shared" si="1"/>
        <v>#DIV/0!</v>
      </c>
      <c r="W9" s="3353" t="s">
        <v>2785</v>
      </c>
      <c r="X9" s="2895" t="s">
        <v>2786</v>
      </c>
      <c r="Y9" s="3056"/>
      <c r="Z9" s="2896">
        <f>$Y$9</f>
        <v>0</v>
      </c>
      <c r="AA9" s="2896">
        <f t="shared" ref="AA9:AJ9" si="2">$Y$9</f>
        <v>0</v>
      </c>
      <c r="AB9" s="2896">
        <f t="shared" si="2"/>
        <v>0</v>
      </c>
      <c r="AC9" s="2896">
        <f t="shared" si="2"/>
        <v>0</v>
      </c>
      <c r="AD9" s="2896">
        <f t="shared" si="2"/>
        <v>0</v>
      </c>
      <c r="AE9" s="2896">
        <f t="shared" si="2"/>
        <v>0</v>
      </c>
      <c r="AF9" s="2896">
        <f t="shared" si="2"/>
        <v>0</v>
      </c>
      <c r="AG9" s="2896">
        <f t="shared" si="2"/>
        <v>0</v>
      </c>
      <c r="AH9" s="2896">
        <f t="shared" si="2"/>
        <v>0</v>
      </c>
      <c r="AI9" s="2896">
        <f t="shared" si="2"/>
        <v>0</v>
      </c>
      <c r="AJ9" s="2896">
        <f t="shared" si="2"/>
        <v>0</v>
      </c>
    </row>
    <row r="10" spans="1:39" ht="15">
      <c r="A10" s="3345"/>
      <c r="B10" s="1413" t="s">
        <v>941</v>
      </c>
      <c r="C10" s="1046">
        <f>SUMIF(修正!C59:C119,C8,修正!F59:F119)</f>
        <v>0</v>
      </c>
      <c r="D10" s="1046" t="s">
        <v>942</v>
      </c>
      <c r="E10" s="1046" t="e">
        <f>ROUND(C11/E7,4)</f>
        <v>#DIV/0!</v>
      </c>
      <c r="F10" s="1431" t="s">
        <v>943</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01">
        <v>9</v>
      </c>
      <c r="S10" s="2890"/>
      <c r="T10" s="2901" t="e">
        <f t="shared" si="0"/>
        <v>#DIV/0!</v>
      </c>
      <c r="U10" s="2890"/>
      <c r="V10" s="2901" t="e">
        <f t="shared" si="1"/>
        <v>#DIV/0!</v>
      </c>
      <c r="W10" s="3353"/>
      <c r="X10" s="2895">
        <v>7</v>
      </c>
      <c r="Y10" s="2897">
        <f>(-0.163*(Y9^2)-0.59*Y9+7617)*(10^(-4))</f>
        <v>0.76170000000000004</v>
      </c>
      <c r="Z10" s="2897">
        <f>(-0.163*(Z9^2)-0.59*Z9+7617)*(10^(-4))</f>
        <v>0.76170000000000004</v>
      </c>
      <c r="AA10" s="2897">
        <f>(-0.161*(AA9^2)-7.509*AA9+6533)*(10^(-4))</f>
        <v>0.65329999999999999</v>
      </c>
      <c r="AB10" s="2897">
        <f>(-0.161*(AB9^2)-7.509*AB9+6533)*(10^(-4))</f>
        <v>0.65329999999999999</v>
      </c>
      <c r="AC10" s="2897">
        <f>(-0.161*(AC9^2)-7.509*AC9+6533)*(10^(-4))</f>
        <v>0.65329999999999999</v>
      </c>
      <c r="AD10" s="2897">
        <f>(-0.161*(AD9^2)-7.509*AD9+6533)*(10^(-4))</f>
        <v>0.65329999999999999</v>
      </c>
      <c r="AE10" s="2897">
        <f>(-0.161*(AE9^2)-7.509*AE9+6533)*(10^(-4))</f>
        <v>0.65329999999999999</v>
      </c>
      <c r="AF10" s="2897">
        <f>(-0.214*(AF9^2)-21.991*AF9+4665)*(10^(-4))</f>
        <v>0.46650000000000003</v>
      </c>
      <c r="AG10" s="2897">
        <f>(-0.214*(AG9^2)-21.991*AG9+4665)*(10^(-4))</f>
        <v>0.46650000000000003</v>
      </c>
      <c r="AH10" s="2897">
        <f>(-0.214*(AH9^2)-21.991*AH9+4665)*(10^(-4))</f>
        <v>0.46650000000000003</v>
      </c>
      <c r="AI10" s="2897">
        <f>(-0.214*(AI9^2)-21.991*AI9+4665)*(10^(-4))</f>
        <v>0.46650000000000003</v>
      </c>
      <c r="AJ10" s="2897">
        <f>(-0.214*(AJ9^2)-21.991*AJ9+4665)*(10^(-4))</f>
        <v>0.46650000000000003</v>
      </c>
    </row>
    <row r="11" spans="1:39" ht="15.75" customHeight="1" thickBot="1">
      <c r="A11" s="3345"/>
      <c r="B11" s="1434" t="s">
        <v>944</v>
      </c>
      <c r="C11" s="1047">
        <f>C10/4</f>
        <v>0</v>
      </c>
      <c r="D11" s="1047" t="s">
        <v>945</v>
      </c>
      <c r="E11" s="1047" t="e">
        <f>ROUND(C11/E7,4)</f>
        <v>#DIV/0!</v>
      </c>
      <c r="F11" s="1435" t="s">
        <v>946</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01">
        <v>10</v>
      </c>
      <c r="S11" s="2890"/>
      <c r="T11" s="2901" t="e">
        <f t="shared" si="0"/>
        <v>#DIV/0!</v>
      </c>
      <c r="U11" s="2890"/>
      <c r="V11" s="2901" t="e">
        <f t="shared" si="1"/>
        <v>#DIV/0!</v>
      </c>
      <c r="W11" s="3353" t="s">
        <v>2787</v>
      </c>
      <c r="X11" s="1046" t="s">
        <v>2772</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344" t="s">
        <v>1873</v>
      </c>
      <c r="B12" s="1438" t="s">
        <v>947</v>
      </c>
      <c r="C12" s="1041">
        <f>ROUND(C15*D15*E15*F15*G15*H15*I15*J15,4)</f>
        <v>1</v>
      </c>
      <c r="D12" s="1439" t="s">
        <v>948</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01">
        <v>11</v>
      </c>
      <c r="S12" s="2890"/>
      <c r="T12" s="2901" t="e">
        <f t="shared" si="0"/>
        <v>#DIV/0!</v>
      </c>
      <c r="U12" s="2890"/>
      <c r="V12" s="2901" t="e">
        <f t="shared" si="1"/>
        <v>#DIV/0!</v>
      </c>
      <c r="W12" s="3353"/>
      <c r="X12" s="2898" t="s">
        <v>2788</v>
      </c>
      <c r="Y12" s="2896">
        <f t="shared" ref="Y12:AJ12" si="4">Y9</f>
        <v>0</v>
      </c>
      <c r="Z12" s="2896">
        <f t="shared" si="4"/>
        <v>0</v>
      </c>
      <c r="AA12" s="2896">
        <f t="shared" si="4"/>
        <v>0</v>
      </c>
      <c r="AB12" s="2896">
        <f t="shared" si="4"/>
        <v>0</v>
      </c>
      <c r="AC12" s="2896">
        <f t="shared" si="4"/>
        <v>0</v>
      </c>
      <c r="AD12" s="2896">
        <f t="shared" si="4"/>
        <v>0</v>
      </c>
      <c r="AE12" s="2896">
        <f t="shared" si="4"/>
        <v>0</v>
      </c>
      <c r="AF12" s="2896">
        <f t="shared" si="4"/>
        <v>0</v>
      </c>
      <c r="AG12" s="2896">
        <f t="shared" si="4"/>
        <v>0</v>
      </c>
      <c r="AH12" s="2896">
        <f t="shared" si="4"/>
        <v>0</v>
      </c>
      <c r="AI12" s="2896">
        <f t="shared" si="4"/>
        <v>0</v>
      </c>
      <c r="AJ12" s="2896">
        <f t="shared" si="4"/>
        <v>0</v>
      </c>
    </row>
    <row r="13" spans="1:39" ht="24">
      <c r="A13" s="3346"/>
      <c r="B13" s="1443" t="s">
        <v>1698</v>
      </c>
      <c r="C13" s="1444" t="s">
        <v>1699</v>
      </c>
      <c r="D13" s="1087" t="s">
        <v>1700</v>
      </c>
      <c r="E13" s="1087" t="s">
        <v>1701</v>
      </c>
      <c r="F13" s="1445" t="s">
        <v>949</v>
      </c>
      <c r="G13" s="1446" t="s">
        <v>1644</v>
      </c>
      <c r="H13" s="1447" t="s">
        <v>1644</v>
      </c>
      <c r="I13" s="1448" t="s">
        <v>1644</v>
      </c>
      <c r="J13" s="1449" t="s">
        <v>1644</v>
      </c>
      <c r="K13" s="1400"/>
      <c r="L13" s="2187"/>
      <c r="M13" s="2187"/>
      <c r="N13" s="2187"/>
      <c r="O13" s="2187"/>
      <c r="P13" s="2187"/>
      <c r="Q13" s="2187"/>
      <c r="R13" s="2901">
        <v>12</v>
      </c>
      <c r="S13" s="2890"/>
      <c r="T13" s="2901" t="e">
        <f t="shared" si="0"/>
        <v>#DIV/0!</v>
      </c>
      <c r="U13" s="2890"/>
      <c r="V13" s="2901" t="e">
        <f t="shared" si="1"/>
        <v>#DIV/0!</v>
      </c>
      <c r="W13" s="3353"/>
      <c r="X13" s="2898"/>
      <c r="Y13" s="2897">
        <f>(-0.163*(Y12^2)-0.59*Y12+7617)*(10^(-4))/Y11</f>
        <v>0.34622727272727272</v>
      </c>
      <c r="Z13" s="2897">
        <f t="shared" ref="Z13:AJ13" si="5">(-0.163*(Z12^2)-0.59*Z12+7617)*(10^(-4))/Z11</f>
        <v>0.34622727272727272</v>
      </c>
      <c r="AA13" s="2897">
        <f t="shared" si="5"/>
        <v>0.34622727272727272</v>
      </c>
      <c r="AB13" s="2897">
        <f t="shared" si="5"/>
        <v>0.34622727272727272</v>
      </c>
      <c r="AC13" s="2897">
        <f t="shared" si="5"/>
        <v>0.34622727272727272</v>
      </c>
      <c r="AD13" s="2897">
        <f t="shared" si="5"/>
        <v>0.34622727272727272</v>
      </c>
      <c r="AE13" s="2897">
        <f t="shared" si="5"/>
        <v>0.34622727272727272</v>
      </c>
      <c r="AF13" s="2897">
        <f t="shared" si="5"/>
        <v>0.34622727272727272</v>
      </c>
      <c r="AG13" s="2897">
        <f t="shared" si="5"/>
        <v>0.34622727272727272</v>
      </c>
      <c r="AH13" s="2897">
        <f t="shared" si="5"/>
        <v>0.34622727272727272</v>
      </c>
      <c r="AI13" s="2897">
        <f t="shared" si="5"/>
        <v>0.34622727272727272</v>
      </c>
      <c r="AJ13" s="2897">
        <f t="shared" si="5"/>
        <v>0.34622727272727272</v>
      </c>
    </row>
    <row r="14" spans="1:39" ht="12.75" customHeight="1" thickBot="1">
      <c r="A14" s="3346"/>
      <c r="B14" s="1450"/>
      <c r="C14" s="1451"/>
      <c r="D14" s="1452"/>
      <c r="E14" s="1452"/>
      <c r="F14" s="1453"/>
      <c r="G14" s="1454" t="s">
        <v>950</v>
      </c>
      <c r="H14" s="1455"/>
      <c r="I14" s="1456"/>
      <c r="J14" s="1457"/>
      <c r="K14" s="1400"/>
      <c r="L14" s="2187"/>
      <c r="M14" s="2187"/>
      <c r="N14" s="2187"/>
      <c r="O14" s="2187"/>
      <c r="P14" s="2187"/>
      <c r="Q14" s="2187"/>
      <c r="R14" s="2901">
        <v>13</v>
      </c>
      <c r="S14" s="2890"/>
      <c r="T14" s="2901" t="e">
        <f t="shared" si="0"/>
        <v>#DIV/0!</v>
      </c>
      <c r="U14" s="2890"/>
      <c r="V14" s="2901" t="e">
        <f t="shared" si="1"/>
        <v>#DIV/0!</v>
      </c>
      <c r="W14" s="2187"/>
      <c r="X14" s="2187"/>
      <c r="Y14" s="2187"/>
      <c r="Z14" s="2187"/>
      <c r="AA14" s="2187"/>
      <c r="AB14" s="2187"/>
      <c r="AC14" s="2188"/>
    </row>
    <row r="15" spans="1:39" ht="13.5" customHeight="1" thickBot="1">
      <c r="A15" s="3347"/>
      <c r="B15" s="1458" t="s">
        <v>1702</v>
      </c>
      <c r="C15" s="1049">
        <f>IF(C14="有",1.1,1)</f>
        <v>1</v>
      </c>
      <c r="D15" s="1049">
        <f>IF(D14="有",1.1,1)</f>
        <v>1</v>
      </c>
      <c r="E15" s="1049">
        <f>IF(E14="有",1.1,1)</f>
        <v>1</v>
      </c>
      <c r="F15" s="1049">
        <f>IF(F14="500米范围内",1.2,IF(F14="500-1000米",1.1,1))</f>
        <v>1</v>
      </c>
      <c r="G15" s="1050">
        <v>1</v>
      </c>
      <c r="H15" s="1050">
        <v>1</v>
      </c>
      <c r="I15" s="1050">
        <v>1</v>
      </c>
      <c r="J15" s="1051">
        <v>1</v>
      </c>
      <c r="K15" s="1400"/>
      <c r="L15" s="1597" t="s">
        <v>899</v>
      </c>
      <c r="M15" s="1427" t="s">
        <v>985</v>
      </c>
      <c r="N15" s="1427" t="s">
        <v>986</v>
      </c>
      <c r="O15" s="1427" t="s">
        <v>903</v>
      </c>
      <c r="P15" s="1475" t="s">
        <v>987</v>
      </c>
      <c r="Q15" s="2187"/>
      <c r="R15" s="2901">
        <v>14</v>
      </c>
      <c r="S15" s="2890"/>
      <c r="T15" s="2901" t="e">
        <f t="shared" si="0"/>
        <v>#DIV/0!</v>
      </c>
      <c r="U15" s="2890"/>
      <c r="V15" s="2901" t="e">
        <f t="shared" si="1"/>
        <v>#DIV/0!</v>
      </c>
      <c r="W15" s="2187"/>
      <c r="X15" s="2187"/>
      <c r="Y15" s="2187"/>
      <c r="Z15" s="2187"/>
      <c r="AA15" s="2187"/>
      <c r="AB15" s="2187"/>
      <c r="AC15" s="2188"/>
    </row>
    <row r="16" spans="1:39" ht="24">
      <c r="A16" s="3344" t="s">
        <v>1840</v>
      </c>
      <c r="B16" s="1426" t="s">
        <v>951</v>
      </c>
      <c r="C16" s="1052" t="e">
        <f>ROUND(SUM(G17:J17)/C17,0)</f>
        <v>#DIV/0!</v>
      </c>
      <c r="D16" s="1459" t="s">
        <v>952</v>
      </c>
      <c r="E16" s="1460"/>
      <c r="F16" s="1461"/>
      <c r="G16" s="1462"/>
      <c r="H16" s="1462"/>
      <c r="I16" s="1462"/>
      <c r="J16" s="1462"/>
      <c r="K16" s="1400"/>
      <c r="L16" s="1463" t="s">
        <v>989</v>
      </c>
      <c r="M16" s="1045">
        <v>0.25</v>
      </c>
      <c r="N16" s="1045">
        <v>0.2</v>
      </c>
      <c r="O16" s="1045">
        <v>0.15</v>
      </c>
      <c r="P16" s="1538">
        <v>0.1</v>
      </c>
      <c r="Q16" s="2190"/>
      <c r="R16" s="2901">
        <v>15</v>
      </c>
      <c r="S16" s="2890"/>
      <c r="T16" s="2901" t="e">
        <f t="shared" si="0"/>
        <v>#DIV/0!</v>
      </c>
      <c r="U16" s="2890"/>
      <c r="V16" s="2901" t="e">
        <f t="shared" si="1"/>
        <v>#DIV/0!</v>
      </c>
      <c r="W16" s="2190"/>
      <c r="X16" s="2190"/>
      <c r="Y16" s="2190"/>
      <c r="Z16" s="2190"/>
      <c r="AA16" s="2190"/>
      <c r="AB16" s="2190"/>
      <c r="AC16" s="2191"/>
    </row>
    <row r="17" spans="1:40" ht="13.5" thickBot="1">
      <c r="A17" s="3345"/>
      <c r="B17" s="1464" t="s">
        <v>954</v>
      </c>
      <c r="C17" s="1053">
        <f>SUMPRODUCT((修正!A2:A5=E2)*(修正!B1:M1=G2)*(修正!B2:M5))</f>
        <v>0</v>
      </c>
      <c r="D17" s="1466" t="s">
        <v>955</v>
      </c>
      <c r="E17" s="1467" t="str">
        <f>IF(OR(G2="八级",G2="九级",G2="十级",G2="十一级",G2="十二级"),"五通一平","七通一平")</f>
        <v>七通一平</v>
      </c>
      <c r="F17" s="1465"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39" t="s">
        <v>1831</v>
      </c>
      <c r="B18" s="2793" t="s">
        <v>957</v>
      </c>
      <c r="C18" s="2794">
        <f>SUMIF(修正!C18:C39,E3,修正!E18:E39)</f>
        <v>0</v>
      </c>
      <c r="D18" s="2795"/>
      <c r="E18" s="2796"/>
      <c r="F18" s="2797"/>
      <c r="G18" s="2791"/>
      <c r="H18" s="2791"/>
      <c r="I18" s="2791"/>
      <c r="J18" s="2798"/>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8" t="s">
        <v>1837</v>
      </c>
      <c r="B19" s="1469" t="s">
        <v>958</v>
      </c>
      <c r="C19" s="1055" t="e">
        <f>ROUND(IF(H19="按公示增长率计算",SUMPRODUCT((地价!A3:A20=YEAR(G19)&amp;"-"&amp;ROUNDUP(MONTH(G19)/3,0))*(地价!X2:AB2=E2)*(地价!X3:AB20)),IF(H19="地价指数",M20/M19,(1+I19)^O19)),4)</f>
        <v>#DIV/0!</v>
      </c>
      <c r="D19" s="1473" t="s">
        <v>959</v>
      </c>
      <c r="E19" s="1056">
        <v>41640</v>
      </c>
      <c r="F19" s="1473" t="s">
        <v>960</v>
      </c>
      <c r="G19" s="1057">
        <f>'数据-取费表'!B2</f>
        <v>43061</v>
      </c>
      <c r="H19" s="1474" t="s">
        <v>2940</v>
      </c>
      <c r="I19" s="2805" t="str">
        <f>IF(H19="季度增幅（自定义）",SUMIF(N21:N24,E2,O21:O24),"")</f>
        <v/>
      </c>
      <c r="J19" s="1470"/>
      <c r="K19" s="1480"/>
      <c r="L19" s="2998" t="s">
        <v>2847</v>
      </c>
      <c r="M19" s="2999">
        <f>ROUND(SUMIF(地价!B2:F2,E2,地价!B20:F20),0)</f>
        <v>0</v>
      </c>
      <c r="N19" s="2807" t="s">
        <v>1678</v>
      </c>
      <c r="O19" s="2806">
        <f>ROUNDDOWN(DATEDIF(E19,G19,"M")/3,0)</f>
        <v>15</v>
      </c>
      <c r="P19" s="1595"/>
      <c r="R19" s="2889"/>
      <c r="S19" s="2889"/>
      <c r="T19" s="2889"/>
      <c r="U19" s="2889"/>
      <c r="V19" s="2889"/>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99" t="s">
        <v>1838</v>
      </c>
      <c r="B20" s="2800" t="s">
        <v>973</v>
      </c>
      <c r="C20" s="2801" t="e">
        <f>ROUND(POWER(1+G20,J20-I20)*(POWER(1+G20,I20)-1)/(POWER(1+G20,J20)-1),4)</f>
        <v>#DIV/0!</v>
      </c>
      <c r="D20" s="2802" t="s">
        <v>974</v>
      </c>
      <c r="E20" s="3053">
        <f ca="1">存贷款利率!I4/100</f>
        <v>4.3499999999999997E-2</v>
      </c>
      <c r="F20" s="2802" t="s">
        <v>975</v>
      </c>
      <c r="G20" s="2803">
        <f>SUMIF(M15:P15,E2,M17:P17)</f>
        <v>0</v>
      </c>
      <c r="H20" s="2802" t="s">
        <v>976</v>
      </c>
      <c r="I20" s="2792" t="e">
        <f>SUMIF('数据-取费表'!C6:C15,E2,'数据-取费表'!F6:F15)/COUNTIF('数据-取费表'!C6:C15,E2)</f>
        <v>#DIV/0!</v>
      </c>
      <c r="J20" s="2804">
        <f>IF(E2="住宅",70,IF(E2="商业",40,50))</f>
        <v>50</v>
      </c>
      <c r="K20" s="1480"/>
      <c r="L20" s="3000" t="s">
        <v>2848</v>
      </c>
      <c r="M20" s="3001">
        <f>ROUND(SUMPRODUCT((地价!A5:A20=YEAR(G19)&amp;"-"&amp;ROUNDUP(MONTH(G19)/3,0))*(地价!B2:F2=E2)*(地价!B5:F20)),0)</f>
        <v>0</v>
      </c>
      <c r="N20" s="2810" t="s">
        <v>2651</v>
      </c>
      <c r="O20" s="2808" t="s">
        <v>2650</v>
      </c>
      <c r="P20" s="2809" t="s">
        <v>2656</v>
      </c>
      <c r="R20" s="2889"/>
      <c r="S20" s="2889"/>
      <c r="T20" s="2889"/>
      <c r="U20" s="2889"/>
      <c r="V20" s="2889"/>
      <c r="W20" s="2193"/>
      <c r="X20" s="2193"/>
      <c r="Y20" s="2193"/>
      <c r="Z20" s="2193"/>
      <c r="AA20" s="2193"/>
      <c r="AB20" s="2193"/>
      <c r="AC20" s="2193"/>
      <c r="AD20" s="1471"/>
      <c r="AE20" s="1471"/>
      <c r="AF20" s="1471"/>
      <c r="AG20" s="1471"/>
      <c r="AH20" s="1471"/>
      <c r="AI20" s="1471"/>
    </row>
    <row r="21" spans="1:40" s="1420" customFormat="1" ht="14.25">
      <c r="A21" s="1640" t="s">
        <v>1839</v>
      </c>
      <c r="B21" s="1479" t="s">
        <v>2767</v>
      </c>
      <c r="C21" s="1156">
        <f>IF(B21="容积率修正",IF(G3&lt;=10,D22,J22),C23)</f>
        <v>0</v>
      </c>
      <c r="D21" s="1480"/>
      <c r="E21" s="1480"/>
      <c r="F21" s="1480"/>
      <c r="G21" s="1480"/>
      <c r="H21" s="1480"/>
      <c r="I21" s="1480"/>
      <c r="J21" s="1481"/>
      <c r="K21" s="1480"/>
      <c r="L21" s="1480"/>
      <c r="M21" s="1480"/>
      <c r="N21" s="1477" t="s">
        <v>977</v>
      </c>
      <c r="O21" s="1541"/>
      <c r="P21" s="2790">
        <f>SUMPRODUCT((地价!A3:A20=YEAR(G19)&amp;"-"&amp;ROUNDUP(MONTH(G19)/3,0))*(地价!AD2:AH2=N21)*(地价!AD3:AH20))</f>
        <v>1.6400000000000001E-2</v>
      </c>
      <c r="R21" s="2889"/>
      <c r="S21" s="2889"/>
      <c r="T21" s="2889"/>
      <c r="U21" s="2889"/>
      <c r="V21" s="2889"/>
      <c r="W21" s="2193"/>
      <c r="X21" s="2193"/>
      <c r="Y21" s="2193"/>
      <c r="Z21" s="2193"/>
      <c r="AA21" s="2193"/>
      <c r="AB21" s="2193"/>
      <c r="AC21" s="2193"/>
      <c r="AD21" s="1402"/>
      <c r="AE21" s="1402"/>
      <c r="AF21" s="1402"/>
      <c r="AG21" s="1402"/>
      <c r="AH21" s="1471"/>
      <c r="AI21" s="1471"/>
    </row>
    <row r="22" spans="1:40" s="1420" customFormat="1" ht="14.25">
      <c r="A22" s="1641" t="s">
        <v>1872</v>
      </c>
      <c r="B22" s="1482" t="s">
        <v>978</v>
      </c>
      <c r="C22" s="1058" t="s">
        <v>1704</v>
      </c>
      <c r="D22" s="1058" t="b">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80"/>
      <c r="L22" s="1480"/>
      <c r="M22" s="1480"/>
      <c r="N22" s="1477" t="s">
        <v>980</v>
      </c>
      <c r="O22" s="1541"/>
      <c r="P22" s="2790">
        <f>SUMPRODUCT((地价!A3:A20=YEAR(G19)&amp;"-"&amp;ROUNDUP(MONTH(G19)/3,0))*(地价!AD2:AH2=N22)*(地价!AD3:AH20))</f>
        <v>1.6400000000000001E-2</v>
      </c>
      <c r="R22" s="2889"/>
      <c r="S22" s="2889"/>
      <c r="T22" s="2889"/>
      <c r="U22" s="2889"/>
      <c r="V22" s="2889"/>
      <c r="W22" s="2193"/>
      <c r="X22" s="2193"/>
      <c r="Y22" s="2193"/>
      <c r="Z22" s="2193"/>
      <c r="AA22" s="2193"/>
      <c r="AB22" s="2193"/>
      <c r="AC22" s="2193"/>
      <c r="AD22" s="1471"/>
      <c r="AE22" s="1471"/>
      <c r="AF22" s="1471"/>
      <c r="AG22" s="1471"/>
      <c r="AH22" s="1471"/>
      <c r="AI22" s="1471"/>
    </row>
    <row r="23" spans="1:40" ht="27.75" thickBot="1">
      <c r="A23" s="1641" t="s">
        <v>1873</v>
      </c>
      <c r="B23" s="1482" t="s">
        <v>981</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0">
        <f>SUMPRODUCT((地价!A3:A20=YEAR(G19)&amp;"-"&amp;ROUNDUP(MONTH(G19)/3,0))*(地价!AD2:AH2=N23)*(地价!AD3:AH20))</f>
        <v>2.7799999999999998E-2</v>
      </c>
      <c r="R23" s="2889"/>
      <c r="S23" s="2889"/>
      <c r="T23" s="2889"/>
      <c r="U23" s="2889"/>
      <c r="V23" s="2889"/>
      <c r="W23" s="2193"/>
      <c r="X23" s="2193"/>
      <c r="Y23" s="2193"/>
      <c r="Z23" s="2193"/>
      <c r="AA23" s="2193"/>
      <c r="AB23" s="2193"/>
      <c r="AC23" s="2193"/>
      <c r="AN23" s="1403"/>
    </row>
    <row r="24" spans="1:40" s="1420" customFormat="1" ht="15.75" thickBot="1">
      <c r="A24" s="1639" t="s">
        <v>1874</v>
      </c>
      <c r="B24" s="1414" t="s">
        <v>982</v>
      </c>
      <c r="C24" s="1060">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889"/>
      <c r="S24" s="2889"/>
      <c r="T24" s="2889"/>
      <c r="U24" s="2889"/>
      <c r="V24" s="2889"/>
      <c r="W24" s="2193"/>
      <c r="X24" s="2193"/>
      <c r="Y24" s="2193"/>
      <c r="Z24" s="2193"/>
      <c r="AA24" s="2193"/>
      <c r="AB24" s="2193"/>
      <c r="AC24" s="2193"/>
      <c r="AD24" s="1471"/>
      <c r="AE24" s="1471"/>
      <c r="AF24" s="1471"/>
      <c r="AG24" s="1471"/>
      <c r="AH24" s="1471"/>
      <c r="AI24" s="1471"/>
    </row>
    <row r="25" spans="1:40" ht="15" thickBot="1">
      <c r="A25" s="1639" t="s">
        <v>1875</v>
      </c>
      <c r="B25" s="1485" t="s">
        <v>984</v>
      </c>
      <c r="C25" s="1486"/>
      <c r="D25" s="1429"/>
      <c r="E25" s="1429"/>
      <c r="F25" s="1487"/>
      <c r="G25" s="1429"/>
      <c r="H25" s="1429"/>
      <c r="I25" s="1429"/>
      <c r="J25" s="1430"/>
      <c r="K25" s="1400"/>
      <c r="L25" s="2193"/>
      <c r="M25" s="2193"/>
      <c r="N25" s="2818" t="s">
        <v>2654</v>
      </c>
      <c r="O25" s="2193"/>
      <c r="P25" s="1540">
        <f>SUMPRODUCT((地价!A3:A20=YEAR(G19)&amp;"-"&amp;ROUNDUP(MONTH(G19)/3,0))*(地价!AD2:AH2=N25)*(地价!AD3:AH20))</f>
        <v>2.4899999999999999E-2</v>
      </c>
      <c r="R25" s="2889"/>
      <c r="S25" s="2889"/>
      <c r="T25" s="2889"/>
      <c r="U25" s="2889"/>
      <c r="V25" s="2889"/>
      <c r="W25" s="2193"/>
      <c r="X25" s="2193"/>
      <c r="Y25" s="2193"/>
      <c r="Z25" s="2193"/>
      <c r="AA25" s="2193"/>
      <c r="AB25" s="2193"/>
      <c r="AC25" s="2193"/>
    </row>
    <row r="26" spans="1:40" ht="14.25">
      <c r="A26" s="1488"/>
      <c r="B26" s="1482" t="s">
        <v>988</v>
      </c>
      <c r="C26" s="1061" t="e">
        <f>E29+SUM(E33:E39)</f>
        <v>#DIV/0!</v>
      </c>
      <c r="D26" s="1489"/>
      <c r="E26" s="1455"/>
      <c r="F26" s="1490"/>
      <c r="G26" s="1455"/>
      <c r="H26" s="1455"/>
      <c r="I26" s="1455"/>
      <c r="J26" s="1491"/>
      <c r="K26" s="1400"/>
      <c r="L26" s="2193"/>
      <c r="M26" s="2193"/>
      <c r="N26" s="2193"/>
      <c r="O26" s="2193"/>
      <c r="P26" s="2193"/>
      <c r="Q26" s="2193"/>
      <c r="R26" s="2889"/>
      <c r="S26" s="2889"/>
      <c r="T26" s="2889"/>
      <c r="U26" s="2889"/>
      <c r="V26" s="2889"/>
      <c r="W26" s="2193"/>
      <c r="X26" s="2193"/>
      <c r="Y26" s="2193"/>
      <c r="Z26" s="2193"/>
      <c r="AA26" s="2193"/>
      <c r="AB26" s="2193"/>
      <c r="AC26" s="2193"/>
      <c r="AD26" s="1471"/>
      <c r="AE26" s="1471"/>
      <c r="AF26" s="1471"/>
      <c r="AG26" s="1471"/>
    </row>
    <row r="27" spans="1:40" ht="15" thickBot="1">
      <c r="A27" s="1488"/>
      <c r="B27" s="1492" t="s">
        <v>990</v>
      </c>
      <c r="C27" s="1062" t="e">
        <f>E30+SUM(I33:I39)</f>
        <v>#DIV/0!</v>
      </c>
      <c r="D27" s="1493"/>
      <c r="E27" s="1494"/>
      <c r="F27" s="1495"/>
      <c r="G27" s="1494"/>
      <c r="H27" s="1494"/>
      <c r="I27" s="1494"/>
      <c r="J27" s="1496"/>
      <c r="K27" s="1400"/>
      <c r="L27" s="2193"/>
      <c r="M27" s="2193"/>
      <c r="N27" s="2193"/>
      <c r="O27" s="2193"/>
      <c r="P27" s="2193"/>
      <c r="Q27" s="2193"/>
      <c r="R27" s="2889"/>
      <c r="S27" s="2889"/>
      <c r="T27" s="2889"/>
      <c r="U27" s="2889"/>
      <c r="V27" s="2889"/>
      <c r="W27" s="2193"/>
      <c r="X27" s="2193"/>
      <c r="Y27" s="2193"/>
      <c r="Z27" s="2193"/>
      <c r="AA27" s="2193"/>
      <c r="AB27" s="2193"/>
      <c r="AC27" s="2193"/>
    </row>
    <row r="28" spans="1:40" ht="14.25">
      <c r="A28" s="1484"/>
      <c r="B28" s="1497" t="s">
        <v>991</v>
      </c>
      <c r="C28" s="1498" t="s">
        <v>992</v>
      </c>
      <c r="D28" s="1498" t="s">
        <v>993</v>
      </c>
      <c r="E28" s="1499" t="s">
        <v>994</v>
      </c>
      <c r="F28" s="1500"/>
      <c r="G28" s="1441"/>
      <c r="H28" s="1441"/>
      <c r="I28" s="1441"/>
      <c r="J28" s="1442"/>
      <c r="K28" s="1400"/>
      <c r="L28" s="2193"/>
      <c r="M28" s="2193"/>
      <c r="N28" s="2193"/>
      <c r="O28" s="2193"/>
      <c r="P28" s="2193"/>
      <c r="Q28" s="2193"/>
      <c r="R28" s="2889"/>
      <c r="S28" s="2889"/>
      <c r="T28" s="2889"/>
      <c r="U28" s="2889"/>
      <c r="V28" s="2889"/>
      <c r="W28" s="2193"/>
      <c r="X28" s="2193"/>
      <c r="Y28" s="2193"/>
      <c r="Z28" s="2193"/>
      <c r="AA28" s="2193"/>
      <c r="AB28" s="2193"/>
      <c r="AC28" s="2193"/>
      <c r="AD28" s="1471"/>
      <c r="AE28" s="1471"/>
      <c r="AF28" s="1471"/>
      <c r="AG28" s="1471"/>
    </row>
    <row r="29" spans="1:40" ht="24">
      <c r="A29" s="1501"/>
      <c r="B29" s="1502" t="s">
        <v>995</v>
      </c>
      <c r="C29" s="1061" t="e">
        <f>ROUND(C5*C18*C19*C20*C21*C24,0)</f>
        <v>#DIV/0!</v>
      </c>
      <c r="D29" s="1503"/>
      <c r="E29" s="1847" t="e">
        <f>ROUND(C29*D29/10000,0)</f>
        <v>#DIV/0!</v>
      </c>
      <c r="F29" s="1504" t="s">
        <v>1703</v>
      </c>
      <c r="G29" s="1505"/>
      <c r="H29" s="1505"/>
      <c r="I29" s="1505"/>
      <c r="J29" s="1506"/>
      <c r="K29" s="1400"/>
      <c r="L29" s="2193"/>
      <c r="M29" s="2193"/>
      <c r="N29" s="2193"/>
      <c r="O29" s="2193"/>
      <c r="P29" s="2193"/>
      <c r="Q29" s="2193"/>
      <c r="R29" s="2889"/>
      <c r="S29" s="2889"/>
      <c r="T29" s="2889"/>
      <c r="U29" s="2889"/>
      <c r="V29" s="2889"/>
      <c r="W29" s="2193"/>
      <c r="X29" s="2193"/>
      <c r="Y29" s="2193"/>
      <c r="Z29" s="2193"/>
      <c r="AA29" s="2193"/>
      <c r="AB29" s="2193"/>
      <c r="AC29" s="2193"/>
      <c r="AH29" s="1401"/>
      <c r="AI29" s="1401"/>
      <c r="AJ29" s="1404"/>
      <c r="AK29" s="1404"/>
      <c r="AL29" s="1404"/>
      <c r="AM29" s="1404"/>
    </row>
    <row r="30" spans="1:40" ht="24.75" thickBot="1">
      <c r="A30" s="1507"/>
      <c r="B30" s="1508" t="s">
        <v>996</v>
      </c>
      <c r="C30" s="1049" t="e">
        <f>ROUND(IF(E2="工业",C29*M39,C29*M38),0)</f>
        <v>#DIV/0!</v>
      </c>
      <c r="D30" s="1509"/>
      <c r="E30" s="1847" t="e">
        <f>ROUND(C30*D30/10000,0)</f>
        <v>#DIV/0!</v>
      </c>
      <c r="F30" s="1510" t="s">
        <v>997</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350" t="s">
        <v>2967</v>
      </c>
      <c r="B33" s="1523" t="s">
        <v>1001</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351"/>
      <c r="B34" s="1444" t="s">
        <v>1002</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351"/>
      <c r="B35" s="1444" t="s">
        <v>1003</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352"/>
      <c r="B36" s="1444" t="s">
        <v>1004</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1005</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1705</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1006</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1707</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1007</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1706</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1010</v>
      </c>
      <c r="B46" s="2430" t="s">
        <v>1011</v>
      </c>
      <c r="C46" s="2452" t="s">
        <v>1012</v>
      </c>
      <c r="D46" s="2453" t="s">
        <v>1013</v>
      </c>
      <c r="E46" s="2454" t="s">
        <v>1015</v>
      </c>
      <c r="F46" s="2455" t="s">
        <v>2252</v>
      </c>
      <c r="G46" s="2453" t="s">
        <v>1016</v>
      </c>
      <c r="H46" s="2436" t="s">
        <v>2420</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1022</v>
      </c>
      <c r="B47" s="2433"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1023</v>
      </c>
      <c r="B48" s="2430" t="str">
        <f>估价对象房地状况!C18</f>
        <v>估价对象周边道路状况、公共交通通达情况、停车便捷程度，综合评价交通便捷度较好</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1024</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1025</v>
      </c>
      <c r="B50" s="3055" t="s">
        <v>2942</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1026</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1027</v>
      </c>
      <c r="B52" s="3054" t="s">
        <v>2941</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1010</v>
      </c>
      <c r="B57" s="2430"/>
      <c r="C57" s="2452" t="s">
        <v>1012</v>
      </c>
      <c r="D57" s="2453" t="s">
        <v>1013</v>
      </c>
      <c r="E57" s="2454" t="s">
        <v>1015</v>
      </c>
      <c r="F57" s="2455" t="s">
        <v>2253</v>
      </c>
      <c r="G57" s="2453" t="s">
        <v>1016</v>
      </c>
      <c r="H57" s="2436" t="s">
        <v>2420</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1032</v>
      </c>
      <c r="B58" s="2433" t="str">
        <f>估价对象房地状况!C17</f>
        <v>估价对象位于XX商圈，周边办公楼项目较多，入驻率高，办公集聚程度较好</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1023</v>
      </c>
      <c r="B59" s="2430" t="str">
        <f>估价对象房地状况!C18</f>
        <v>估价对象周边道路状况、公共交通通达情况、停车便捷程度，综合评价交通便捷度较好</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1024</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1025</v>
      </c>
      <c r="B61" s="3055" t="s">
        <v>2943</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1026</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1027</v>
      </c>
      <c r="B63" s="3054" t="s">
        <v>2941</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1028</v>
      </c>
      <c r="B64" s="2431" t="str">
        <f>估价对象房地状况!C21</f>
        <v>估价对象所在区域公共配套设施齐备情况</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1029</v>
      </c>
      <c r="B65" s="2431" t="str">
        <f>估价对象房地状况!C22</f>
        <v>估价对象所在区域基础设施水平</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1010</v>
      </c>
      <c r="B68" s="2430"/>
      <c r="C68" s="2452" t="s">
        <v>1012</v>
      </c>
      <c r="D68" s="2453" t="s">
        <v>1013</v>
      </c>
      <c r="E68" s="2454" t="s">
        <v>1015</v>
      </c>
      <c r="F68" s="2455" t="s">
        <v>2254</v>
      </c>
      <c r="G68" s="2453" t="s">
        <v>1016</v>
      </c>
      <c r="H68" s="2436" t="s">
        <v>2420</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1034</v>
      </c>
      <c r="B69" s="2433"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1035</v>
      </c>
      <c r="B70" s="2430" t="str">
        <f>估价对象房地状况!C18</f>
        <v>估价对象周边道路状况、公共交通通达情况、停车便捷程度，综合评价交通便捷度较好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1024</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1036</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1028</v>
      </c>
      <c r="B73" s="2431" t="str">
        <f>估价对象房地状况!C21</f>
        <v>估价对象所在区域公共配套设施齐备情况</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1029</v>
      </c>
      <c r="B74" s="2431" t="str">
        <f>估价对象房地状况!C22</f>
        <v>估价对象所在区域基础设施水平</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1027</v>
      </c>
      <c r="B75" s="3054" t="s">
        <v>2941</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5" t="s">
        <v>1030</v>
      </c>
      <c r="B76" s="2433" t="str">
        <f>估价对象房地状况!C20</f>
        <v>区域自然环境：；人文环境；综合评价环境状况一般</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1037</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1010</v>
      </c>
      <c r="B79" s="2430"/>
      <c r="C79" s="2452" t="s">
        <v>1012</v>
      </c>
      <c r="D79" s="2453" t="s">
        <v>1013</v>
      </c>
      <c r="E79" s="2454" t="s">
        <v>1015</v>
      </c>
      <c r="F79" s="2455" t="s">
        <v>2255</v>
      </c>
      <c r="G79" s="2453" t="s">
        <v>1016</v>
      </c>
      <c r="H79" s="2436" t="s">
        <v>2420</v>
      </c>
      <c r="I79" s="2453" t="s">
        <v>1014</v>
      </c>
      <c r="J79" s="2456" t="s">
        <v>1017</v>
      </c>
      <c r="K79" s="2456" t="s">
        <v>1018</v>
      </c>
      <c r="L79" s="2456" t="s">
        <v>1019</v>
      </c>
      <c r="M79" s="2456" t="s">
        <v>1020</v>
      </c>
      <c r="N79" s="2456" t="s">
        <v>1021</v>
      </c>
      <c r="AC79" s="1404"/>
      <c r="AD79" s="1403"/>
      <c r="AJ79" s="1402"/>
      <c r="AN79" s="1403"/>
    </row>
    <row r="80" spans="1:40" ht="36">
      <c r="A80" s="1065" t="s">
        <v>1039</v>
      </c>
      <c r="B80" s="2430"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1035</v>
      </c>
      <c r="B81" s="2430" t="str">
        <f>估价对象房地状况!G16</f>
        <v>估价对象周边道路状况、公共交通通达情况、停车便捷程度，综合评价交通便捷度较好</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1024</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1036</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1028</v>
      </c>
      <c r="B84" s="2431" t="str">
        <f>估价对象房地状况!G19</f>
        <v>估价对象所在区域公共配套设施齐备情况</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1029</v>
      </c>
      <c r="B85" s="2431" t="str">
        <f>估价对象房地状况!G20</f>
        <v>估价对象所在区域基础设施水平</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1027</v>
      </c>
      <c r="B86" s="3054" t="s">
        <v>2941</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348" t="s">
        <v>1635</v>
      </c>
      <c r="B90" s="3348"/>
      <c r="C90" s="3348"/>
      <c r="D90" s="3348"/>
      <c r="E90" s="3348"/>
      <c r="F90" s="3348"/>
      <c r="G90" s="3348"/>
      <c r="H90" s="3348"/>
      <c r="I90" s="3348"/>
      <c r="J90" s="3348"/>
      <c r="K90" s="2472"/>
      <c r="L90" s="2472"/>
      <c r="M90" s="2472"/>
      <c r="N90" s="2472"/>
    </row>
    <row r="91" spans="1:40">
      <c r="A91" s="3349" t="s">
        <v>1445</v>
      </c>
      <c r="B91" s="3349" t="s">
        <v>1636</v>
      </c>
      <c r="C91" s="1138" t="s">
        <v>1637</v>
      </c>
      <c r="D91" s="1139"/>
      <c r="E91" s="1139"/>
      <c r="F91" s="1139"/>
      <c r="G91" s="1139"/>
      <c r="H91" s="1139"/>
      <c r="I91" s="1139"/>
      <c r="J91" s="1140"/>
      <c r="K91" s="1132"/>
      <c r="L91" s="1132"/>
      <c r="M91" s="1132"/>
      <c r="N91" s="1132"/>
    </row>
    <row r="92" spans="1:40">
      <c r="A92" s="3349"/>
      <c r="B92" s="3349"/>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356"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357"/>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357"/>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357"/>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357"/>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357"/>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357"/>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358"/>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356" t="s">
        <v>1639</v>
      </c>
      <c r="B101" s="1145" t="s">
        <v>907</v>
      </c>
      <c r="C101" s="1146">
        <f>$G$3</f>
        <v>2.2000000000000002</v>
      </c>
      <c r="D101" s="1146">
        <f t="shared" ref="D101:N101" si="31">$G$3</f>
        <v>2.2000000000000002</v>
      </c>
      <c r="E101" s="1146">
        <f t="shared" si="31"/>
        <v>2.2000000000000002</v>
      </c>
      <c r="F101" s="1146">
        <f t="shared" si="31"/>
        <v>2.2000000000000002</v>
      </c>
      <c r="G101" s="1146">
        <f t="shared" si="31"/>
        <v>2.2000000000000002</v>
      </c>
      <c r="H101" s="1146">
        <f t="shared" si="31"/>
        <v>2.2000000000000002</v>
      </c>
      <c r="I101" s="1146">
        <f t="shared" si="31"/>
        <v>2.2000000000000002</v>
      </c>
      <c r="J101" s="1146">
        <f t="shared" si="31"/>
        <v>2.2000000000000002</v>
      </c>
      <c r="K101" s="1146">
        <f t="shared" si="31"/>
        <v>2.2000000000000002</v>
      </c>
      <c r="L101" s="1146">
        <f t="shared" si="31"/>
        <v>2.2000000000000002</v>
      </c>
      <c r="M101" s="1146">
        <f t="shared" si="31"/>
        <v>2.2000000000000002</v>
      </c>
      <c r="N101" s="1146">
        <f t="shared" si="31"/>
        <v>2.2000000000000002</v>
      </c>
    </row>
    <row r="102" spans="1:14">
      <c r="A102" s="3357"/>
      <c r="B102" s="1141">
        <v>1</v>
      </c>
      <c r="C102" s="1142">
        <f>1.9362/C101</f>
        <v>0.88009090909090903</v>
      </c>
      <c r="D102" s="1142">
        <f>1.9362/D101</f>
        <v>0.88009090909090903</v>
      </c>
      <c r="E102" s="1142">
        <f>1.8629/E101</f>
        <v>0.84677272727272723</v>
      </c>
      <c r="F102" s="1142">
        <f>1.8629/F101</f>
        <v>0.84677272727272723</v>
      </c>
      <c r="G102" s="1142">
        <f>1.8629/G101</f>
        <v>0.84677272727272723</v>
      </c>
      <c r="H102" s="1142">
        <f>1.8629/H101</f>
        <v>0.84677272727272723</v>
      </c>
      <c r="I102" s="1142">
        <f>1.8629/I101</f>
        <v>0.84677272727272723</v>
      </c>
      <c r="J102" s="1142">
        <f>1.942/J101</f>
        <v>0.88272727272727258</v>
      </c>
      <c r="K102" s="1142">
        <f>1.942/K101</f>
        <v>0.88272727272727258</v>
      </c>
      <c r="L102" s="1142">
        <f>1.942/L101</f>
        <v>0.88272727272727258</v>
      </c>
      <c r="M102" s="1142">
        <f>1.942/M101</f>
        <v>0.88272727272727258</v>
      </c>
      <c r="N102" s="1142">
        <f>1.942/N101</f>
        <v>0.88272727272727258</v>
      </c>
    </row>
    <row r="103" spans="1:14">
      <c r="A103" s="3357"/>
      <c r="B103" s="1141">
        <v>2</v>
      </c>
      <c r="C103" s="1142">
        <f>1.4198/C101</f>
        <v>0.64536363636363625</v>
      </c>
      <c r="D103" s="1142">
        <f>1.4198/D101</f>
        <v>0.64536363636363625</v>
      </c>
      <c r="E103" s="1142">
        <f>1.3372/E101</f>
        <v>0.6078181818181817</v>
      </c>
      <c r="F103" s="1142">
        <f>1.3372/F101</f>
        <v>0.6078181818181817</v>
      </c>
      <c r="G103" s="1142">
        <f>1.3372/G101</f>
        <v>0.6078181818181817</v>
      </c>
      <c r="H103" s="1142">
        <f>1.3372/H101</f>
        <v>0.6078181818181817</v>
      </c>
      <c r="I103" s="1142">
        <f>1.3372/I101</f>
        <v>0.6078181818181817</v>
      </c>
      <c r="J103" s="1142">
        <f>1.2799/J101</f>
        <v>0.58177272727272722</v>
      </c>
      <c r="K103" s="1142">
        <f>1.2799/K101</f>
        <v>0.58177272727272722</v>
      </c>
      <c r="L103" s="1142">
        <f>1.2799/L101</f>
        <v>0.58177272727272722</v>
      </c>
      <c r="M103" s="1142">
        <f>1.2799/M101</f>
        <v>0.58177272727272722</v>
      </c>
      <c r="N103" s="1142">
        <f>1.2799/N101</f>
        <v>0.58177272727272722</v>
      </c>
    </row>
    <row r="104" spans="1:14">
      <c r="A104" s="3357"/>
      <c r="B104" s="1141">
        <v>3</v>
      </c>
      <c r="C104" s="1142">
        <f>1.1594/C101</f>
        <v>0.52699999999999991</v>
      </c>
      <c r="D104" s="1142">
        <f>1.1594/D101</f>
        <v>0.52699999999999991</v>
      </c>
      <c r="E104" s="1142">
        <f>1.0788/E101</f>
        <v>0.49036363636363633</v>
      </c>
      <c r="F104" s="1142">
        <f>1.0788/F101</f>
        <v>0.49036363636363633</v>
      </c>
      <c r="G104" s="1142">
        <f>1.0788/G101</f>
        <v>0.49036363636363633</v>
      </c>
      <c r="H104" s="1142">
        <f>1.0788/H101</f>
        <v>0.49036363636363633</v>
      </c>
      <c r="I104" s="1142">
        <f>1.0788/I101</f>
        <v>0.49036363636363633</v>
      </c>
      <c r="J104" s="1142">
        <f>1.0072/J101</f>
        <v>0.45781818181818185</v>
      </c>
      <c r="K104" s="1142">
        <f>1.0072/K101</f>
        <v>0.45781818181818185</v>
      </c>
      <c r="L104" s="1142">
        <f>1.0072/L101</f>
        <v>0.45781818181818185</v>
      </c>
      <c r="M104" s="1142">
        <f>1.0072/M101</f>
        <v>0.45781818181818185</v>
      </c>
      <c r="N104" s="1142">
        <f>1.0072/N101</f>
        <v>0.45781818181818185</v>
      </c>
    </row>
    <row r="105" spans="1:14">
      <c r="A105" s="3357"/>
      <c r="B105" s="1141">
        <v>4</v>
      </c>
      <c r="C105" s="1142">
        <f>0.9622/C101</f>
        <v>0.43736363636363634</v>
      </c>
      <c r="D105" s="1142">
        <f>0.9622/D101</f>
        <v>0.43736363636363634</v>
      </c>
      <c r="E105" s="1142">
        <f>0.8656/E101</f>
        <v>0.39345454545454545</v>
      </c>
      <c r="F105" s="1142">
        <f>0.8656/F101</f>
        <v>0.39345454545454545</v>
      </c>
      <c r="G105" s="1142">
        <f>0.8656/G101</f>
        <v>0.39345454545454545</v>
      </c>
      <c r="H105" s="1142">
        <f>0.8656/H101</f>
        <v>0.39345454545454545</v>
      </c>
      <c r="I105" s="1142">
        <f>0.8656/I101</f>
        <v>0.39345454545454545</v>
      </c>
      <c r="J105" s="1142">
        <f>0.7525/J101</f>
        <v>0.34204545454545449</v>
      </c>
      <c r="K105" s="1142">
        <f>0.7525/K101</f>
        <v>0.34204545454545449</v>
      </c>
      <c r="L105" s="1142">
        <f>0.7525/L101</f>
        <v>0.34204545454545449</v>
      </c>
      <c r="M105" s="1142">
        <f>0.7525/M101</f>
        <v>0.34204545454545449</v>
      </c>
      <c r="N105" s="1142">
        <f>0.7525/N101</f>
        <v>0.34204545454545449</v>
      </c>
    </row>
    <row r="106" spans="1:14">
      <c r="A106" s="3357"/>
      <c r="B106" s="1141">
        <v>5</v>
      </c>
      <c r="C106" s="1142">
        <f>0.8417/C101</f>
        <v>0.38259090909090904</v>
      </c>
      <c r="D106" s="1142">
        <f>0.8417/D101</f>
        <v>0.38259090909090904</v>
      </c>
      <c r="E106" s="1142">
        <f>0.7371/E101</f>
        <v>0.33504545454545454</v>
      </c>
      <c r="F106" s="1142">
        <f>0.7371/F101</f>
        <v>0.33504545454545454</v>
      </c>
      <c r="G106" s="1142">
        <f>0.7371/G101</f>
        <v>0.33504545454545454</v>
      </c>
      <c r="H106" s="1142">
        <f>0.7371/H101</f>
        <v>0.33504545454545454</v>
      </c>
      <c r="I106" s="1142">
        <f>0.7371/I101</f>
        <v>0.33504545454545454</v>
      </c>
      <c r="J106" s="1142">
        <f>0.5659/J101</f>
        <v>0.25722727272727269</v>
      </c>
      <c r="K106" s="1142">
        <f>0.5659/K101</f>
        <v>0.25722727272727269</v>
      </c>
      <c r="L106" s="1142">
        <f>0.5659/L101</f>
        <v>0.25722727272727269</v>
      </c>
      <c r="M106" s="1142">
        <f>0.5659/M101</f>
        <v>0.25722727272727269</v>
      </c>
      <c r="N106" s="1142">
        <f>0.5659/N101</f>
        <v>0.25722727272727269</v>
      </c>
    </row>
    <row r="107" spans="1:14">
      <c r="A107" s="3357"/>
      <c r="B107" s="1141">
        <v>6</v>
      </c>
      <c r="C107" s="1142">
        <f>0.7608/C101</f>
        <v>0.3458181818181818</v>
      </c>
      <c r="D107" s="1142">
        <f>0.7608/D101</f>
        <v>0.3458181818181818</v>
      </c>
      <c r="E107" s="1142">
        <f>0.6482/E101</f>
        <v>0.29463636363636359</v>
      </c>
      <c r="F107" s="1142">
        <f>0.6482/F101</f>
        <v>0.29463636363636359</v>
      </c>
      <c r="G107" s="1142">
        <f>0.6482/G101</f>
        <v>0.29463636363636359</v>
      </c>
      <c r="H107" s="1142">
        <f>0.6482/H101</f>
        <v>0.29463636363636359</v>
      </c>
      <c r="I107" s="1142">
        <f>0.6482/I101</f>
        <v>0.29463636363636359</v>
      </c>
      <c r="J107" s="1142">
        <f>0.4525/J101</f>
        <v>0.20568181818181816</v>
      </c>
      <c r="K107" s="1142">
        <f>0.4525/K101</f>
        <v>0.20568181818181816</v>
      </c>
      <c r="L107" s="1142">
        <f>0.4525/L101</f>
        <v>0.20568181818181816</v>
      </c>
      <c r="M107" s="1142">
        <f>0.4525/M101</f>
        <v>0.20568181818181816</v>
      </c>
      <c r="N107" s="1142">
        <f>0.4525/N101</f>
        <v>0.20568181818181816</v>
      </c>
    </row>
    <row r="108" spans="1:14">
      <c r="A108" s="3357"/>
      <c r="B108" s="3359"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358"/>
      <c r="B109" s="3360"/>
      <c r="C109" s="1144">
        <f>(-0.163*(C108^2)-0.59*C108+7617)*(10^(-4))/C101</f>
        <v>0.34553854545454543</v>
      </c>
      <c r="D109" s="1144">
        <f>(-0.163*(D108^2)-0.59*D108+7617)*(10^(-4))/D101</f>
        <v>0.34553854545454543</v>
      </c>
      <c r="E109" s="1144">
        <f>(-0.161*(E108^2)-7.509*E108+6533)*(10^(-4))/E101</f>
        <v>0.29375563636363633</v>
      </c>
      <c r="F109" s="1144">
        <f>(-0.161*(F108^2)-7.509*F108+6533)*(10^(-4))/F101</f>
        <v>0.29375563636363633</v>
      </c>
      <c r="G109" s="1144">
        <f>(-0.161*(G108^2)-7.509*G108+6533)*(10^(-4))/G101</f>
        <v>0.29375563636363633</v>
      </c>
      <c r="H109" s="1144">
        <f>(-0.161*(H108^2)-7.509*H108+6533)*(10^(-4))/H101</f>
        <v>0.29375563636363633</v>
      </c>
      <c r="I109" s="1144">
        <f>(-0.161*(I108^2)-7.509*I108+6533)*(10^(-4))/I101</f>
        <v>0.29375563636363633</v>
      </c>
      <c r="J109" s="1144">
        <f>(-0.214*(J108^2)-21.991*J108+4665)*(10^(-4))/J101</f>
        <v>0.20342618181818181</v>
      </c>
      <c r="K109" s="1144">
        <f>(-0.214*(K108^2)-21.991*K108+4665)*(10^(-4))/K101</f>
        <v>0.20342618181818181</v>
      </c>
      <c r="L109" s="1144">
        <f>(-0.214*(L108^2)-21.991*L108+4665)*(10^(-4))/L101</f>
        <v>0.20342618181818181</v>
      </c>
      <c r="M109" s="1144">
        <f>(-0.214*(M108^2)-21.991*M108+4665)*(10^(-4))/M101</f>
        <v>0.20342618181818181</v>
      </c>
      <c r="N109" s="1144">
        <f>(-0.214*(N108^2)-21.991*N108+4665)*(10^(-4))/N101</f>
        <v>0.20342618181818181</v>
      </c>
    </row>
    <row r="110" spans="1:14">
      <c r="A110" s="3343" t="s">
        <v>1641</v>
      </c>
      <c r="B110" s="3343"/>
      <c r="C110" s="3343"/>
      <c r="D110" s="3343"/>
      <c r="E110" s="3343"/>
      <c r="F110" s="3343"/>
      <c r="G110" s="3343"/>
      <c r="H110" s="3343"/>
      <c r="I110" s="3343"/>
      <c r="J110" s="3343"/>
      <c r="K110" s="2470"/>
      <c r="L110" s="2470"/>
      <c r="M110" s="2470"/>
      <c r="N110" s="2470"/>
    </row>
    <row r="112" spans="1:14" ht="12.75" thickBot="1"/>
    <row r="113" spans="1:13" ht="25.5" thickBot="1">
      <c r="A113" s="1014" t="s">
        <v>897</v>
      </c>
      <c r="B113" s="2473">
        <f>G3</f>
        <v>2.2000000000000002</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0.91279999999999994</v>
      </c>
      <c r="C115" s="1028">
        <f>B115</f>
        <v>0.91279999999999994</v>
      </c>
      <c r="D115" s="1028">
        <f>ROUND(0.8331-0.0109*B113,4)</f>
        <v>0.80910000000000004</v>
      </c>
      <c r="E115" s="1028">
        <f>D115</f>
        <v>0.80910000000000004</v>
      </c>
      <c r="F115" s="1028">
        <f>E115</f>
        <v>0.80910000000000004</v>
      </c>
      <c r="G115" s="1028">
        <f>F115</f>
        <v>0.80910000000000004</v>
      </c>
      <c r="H115" s="1028">
        <f>G115</f>
        <v>0.80910000000000004</v>
      </c>
      <c r="I115" s="1028">
        <f>ROUND(0.689-0.0155*B113,4)</f>
        <v>0.65490000000000004</v>
      </c>
      <c r="J115" s="1028">
        <f t="shared" ref="J115:M118" si="33">I115</f>
        <v>0.65490000000000004</v>
      </c>
      <c r="K115" s="1028">
        <f t="shared" si="33"/>
        <v>0.65490000000000004</v>
      </c>
      <c r="L115" s="1028">
        <f t="shared" si="33"/>
        <v>0.65490000000000004</v>
      </c>
      <c r="M115" s="1029">
        <f t="shared" si="33"/>
        <v>0.65490000000000004</v>
      </c>
    </row>
    <row r="116" spans="1:13" ht="12.75">
      <c r="A116" s="1027" t="s">
        <v>902</v>
      </c>
      <c r="B116" s="1028">
        <f>ROUND(0.949-0.012*B113,4)</f>
        <v>0.92259999999999998</v>
      </c>
      <c r="C116" s="1028">
        <f>B116</f>
        <v>0.92259999999999998</v>
      </c>
      <c r="D116" s="1028">
        <f>ROUND(0.8567-0.013*B113,4)</f>
        <v>0.82809999999999995</v>
      </c>
      <c r="E116" s="1028">
        <f t="shared" ref="E116:H117" si="34">D116</f>
        <v>0.82809999999999995</v>
      </c>
      <c r="F116" s="1028">
        <f t="shared" si="34"/>
        <v>0.82809999999999995</v>
      </c>
      <c r="G116" s="1028">
        <f t="shared" si="34"/>
        <v>0.82809999999999995</v>
      </c>
      <c r="H116" s="1028">
        <f t="shared" si="34"/>
        <v>0.82809999999999995</v>
      </c>
      <c r="I116" s="1028">
        <f>ROUND(0.7694-0.014*B113,4)</f>
        <v>0.73860000000000003</v>
      </c>
      <c r="J116" s="1028">
        <f t="shared" si="33"/>
        <v>0.73860000000000003</v>
      </c>
      <c r="K116" s="1028">
        <f t="shared" si="33"/>
        <v>0.73860000000000003</v>
      </c>
      <c r="L116" s="1028">
        <f t="shared" si="33"/>
        <v>0.73860000000000003</v>
      </c>
      <c r="M116" s="1029">
        <f t="shared" si="33"/>
        <v>0.73860000000000003</v>
      </c>
    </row>
    <row r="117" spans="1:13" ht="12.75">
      <c r="A117" s="1030" t="s">
        <v>903</v>
      </c>
      <c r="B117" s="1028">
        <f>ROUND(0.8808-0.006*B113,4)</f>
        <v>0.86760000000000004</v>
      </c>
      <c r="C117" s="1028">
        <f>B117</f>
        <v>0.86760000000000004</v>
      </c>
      <c r="D117" s="1028">
        <f>ROUND(0.8748-0.008*B113,4)</f>
        <v>0.85719999999999996</v>
      </c>
      <c r="E117" s="1028">
        <f t="shared" si="34"/>
        <v>0.85719999999999996</v>
      </c>
      <c r="F117" s="1028">
        <f t="shared" si="34"/>
        <v>0.85719999999999996</v>
      </c>
      <c r="G117" s="1028">
        <f t="shared" si="34"/>
        <v>0.85719999999999996</v>
      </c>
      <c r="H117" s="1028">
        <f t="shared" si="34"/>
        <v>0.85719999999999996</v>
      </c>
      <c r="I117" s="1028">
        <f>ROUND(0.7412-0.0095*B113,4)</f>
        <v>0.72030000000000005</v>
      </c>
      <c r="J117" s="1028">
        <f t="shared" si="33"/>
        <v>0.72030000000000005</v>
      </c>
      <c r="K117" s="1028">
        <f t="shared" si="33"/>
        <v>0.72030000000000005</v>
      </c>
      <c r="L117" s="1028">
        <f t="shared" si="33"/>
        <v>0.72030000000000005</v>
      </c>
      <c r="M117" s="1029">
        <f t="shared" si="33"/>
        <v>0.72030000000000005</v>
      </c>
    </row>
    <row r="118" spans="1:13" ht="13.5" thickBot="1">
      <c r="A118" s="1031" t="s">
        <v>904</v>
      </c>
      <c r="B118" s="1032">
        <f>ROUND(0.7275-0.01*B113,4)</f>
        <v>0.70550000000000002</v>
      </c>
      <c r="C118" s="1032">
        <f>B118</f>
        <v>0.70550000000000002</v>
      </c>
      <c r="D118" s="1032">
        <f>ROUND(0.7043-0.012*B113,4)</f>
        <v>0.67789999999999995</v>
      </c>
      <c r="E118" s="1032">
        <f>D118</f>
        <v>0.67789999999999995</v>
      </c>
      <c r="F118" s="1032">
        <f>E118</f>
        <v>0.67789999999999995</v>
      </c>
      <c r="G118" s="1032">
        <f>ROUND(0.6299-0.0122*B113,4)</f>
        <v>0.60309999999999997</v>
      </c>
      <c r="H118" s="1032">
        <f>G118</f>
        <v>0.60309999999999997</v>
      </c>
      <c r="I118" s="1032">
        <f>ROUND(0.5667-0.0136*B113,4)</f>
        <v>0.53680000000000005</v>
      </c>
      <c r="J118" s="1032">
        <f t="shared" si="33"/>
        <v>0.53680000000000005</v>
      </c>
      <c r="K118" s="1032">
        <f t="shared" si="33"/>
        <v>0.53680000000000005</v>
      </c>
      <c r="L118" s="1032">
        <f t="shared" si="33"/>
        <v>0.53680000000000005</v>
      </c>
      <c r="M118" s="1033">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8" customFormat="1" ht="19.5" customHeight="1">
      <c r="A18" s="3349" t="s">
        <v>1009</v>
      </c>
      <c r="B18" s="1152" t="s">
        <v>1448</v>
      </c>
      <c r="C18" s="1129" t="s">
        <v>1449</v>
      </c>
      <c r="D18" s="1130"/>
      <c r="E18" s="1152">
        <v>1</v>
      </c>
      <c r="F18" s="1131" t="s">
        <v>1450</v>
      </c>
      <c r="G18" s="1132"/>
      <c r="H18" s="1103"/>
      <c r="I18" s="1103"/>
    </row>
    <row r="19" spans="1:9" s="1598" customFormat="1" ht="19.5" customHeight="1">
      <c r="A19" s="3349"/>
      <c r="B19" s="3349" t="s">
        <v>1451</v>
      </c>
      <c r="C19" s="1129" t="s">
        <v>1452</v>
      </c>
      <c r="D19" s="1130"/>
      <c r="E19" s="1152">
        <v>0.9</v>
      </c>
      <c r="F19" s="1131" t="s">
        <v>1453</v>
      </c>
      <c r="G19" s="1132"/>
      <c r="H19" s="1103"/>
      <c r="I19" s="1103"/>
    </row>
    <row r="20" spans="1:9" s="1598" customFormat="1" ht="19.5" customHeight="1">
      <c r="A20" s="3349"/>
      <c r="B20" s="3349"/>
      <c r="C20" s="1129" t="s">
        <v>1454</v>
      </c>
      <c r="D20" s="1130"/>
      <c r="E20" s="1152">
        <v>1.1000000000000001</v>
      </c>
      <c r="F20" s="1131" t="s">
        <v>1455</v>
      </c>
      <c r="G20" s="1132"/>
      <c r="H20" s="1103"/>
      <c r="I20" s="1103"/>
    </row>
    <row r="21" spans="1:9" s="1598" customFormat="1" ht="19.5" customHeight="1">
      <c r="A21" s="3349"/>
      <c r="B21" s="3349"/>
      <c r="C21" s="1129" t="s">
        <v>1456</v>
      </c>
      <c r="D21" s="1130"/>
      <c r="E21" s="1152">
        <v>0.8</v>
      </c>
      <c r="F21" s="1131" t="s">
        <v>1457</v>
      </c>
      <c r="G21" s="1132"/>
      <c r="H21" s="1103"/>
      <c r="I21" s="1103"/>
    </row>
    <row r="22" spans="1:9" s="1598" customFormat="1" ht="19.5" customHeight="1">
      <c r="A22" s="3349"/>
      <c r="B22" s="3349"/>
      <c r="C22" s="1129" t="s">
        <v>1458</v>
      </c>
      <c r="D22" s="1130"/>
      <c r="E22" s="1152">
        <v>0.5</v>
      </c>
      <c r="F22" s="1131"/>
      <c r="G22" s="1132"/>
      <c r="H22" s="1103"/>
      <c r="I22" s="1103"/>
    </row>
    <row r="23" spans="1:9" s="1598" customFormat="1" ht="19.5" customHeight="1">
      <c r="A23" s="3349" t="s">
        <v>1031</v>
      </c>
      <c r="B23" s="1152" t="s">
        <v>1448</v>
      </c>
      <c r="C23" s="1129" t="s">
        <v>1459</v>
      </c>
      <c r="D23" s="1130"/>
      <c r="E23" s="1152">
        <v>1</v>
      </c>
      <c r="F23" s="1131" t="s">
        <v>1460</v>
      </c>
      <c r="G23" s="1132"/>
      <c r="H23" s="1103"/>
      <c r="I23" s="1103"/>
    </row>
    <row r="24" spans="1:9" s="1598" customFormat="1" ht="19.5" customHeight="1">
      <c r="A24" s="3349"/>
      <c r="B24" s="3349" t="s">
        <v>1451</v>
      </c>
      <c r="C24" s="1129" t="s">
        <v>1461</v>
      </c>
      <c r="D24" s="1130"/>
      <c r="E24" s="1152">
        <v>0.5</v>
      </c>
      <c r="F24" s="1131"/>
      <c r="G24" s="1132"/>
      <c r="H24" s="1103"/>
      <c r="I24" s="1103"/>
    </row>
    <row r="25" spans="1:9" s="1598" customFormat="1" ht="19.5" customHeight="1">
      <c r="A25" s="3349"/>
      <c r="B25" s="3349"/>
      <c r="C25" s="1129" t="s">
        <v>1462</v>
      </c>
      <c r="D25" s="1130"/>
      <c r="E25" s="1152">
        <v>1.1000000000000001</v>
      </c>
      <c r="F25" s="1131"/>
      <c r="G25" s="1132"/>
      <c r="H25" s="1103"/>
      <c r="I25" s="1103"/>
    </row>
    <row r="26" spans="1:9" s="1598" customFormat="1" ht="19.5" customHeight="1">
      <c r="A26" s="3349"/>
      <c r="B26" s="3349"/>
      <c r="C26" s="1129" t="s">
        <v>1463</v>
      </c>
      <c r="D26" s="1130"/>
      <c r="E26" s="1152">
        <v>1.1000000000000001</v>
      </c>
      <c r="F26" s="1131"/>
      <c r="G26" s="1132"/>
      <c r="H26" s="1103"/>
      <c r="I26" s="1103"/>
    </row>
    <row r="27" spans="1:9" s="1598" customFormat="1" ht="19.5" customHeight="1">
      <c r="A27" s="3349"/>
      <c r="B27" s="3349"/>
      <c r="C27" s="1129" t="s">
        <v>1464</v>
      </c>
      <c r="D27" s="1130"/>
      <c r="E27" s="1152">
        <v>0.9</v>
      </c>
      <c r="F27" s="1131" t="s">
        <v>1465</v>
      </c>
      <c r="G27" s="1132"/>
      <c r="H27" s="1103"/>
      <c r="I27" s="1103"/>
    </row>
    <row r="28" spans="1:9" s="1598" customFormat="1" ht="19.5" customHeight="1">
      <c r="A28" s="3349"/>
      <c r="B28" s="3349"/>
      <c r="C28" s="1129" t="s">
        <v>1466</v>
      </c>
      <c r="D28" s="1130"/>
      <c r="E28" s="1152">
        <v>0.9</v>
      </c>
      <c r="F28" s="1131" t="s">
        <v>1467</v>
      </c>
      <c r="G28" s="1132"/>
      <c r="H28" s="1103"/>
      <c r="I28" s="1103"/>
    </row>
    <row r="29" spans="1:9" s="1598" customFormat="1" ht="19.5" customHeight="1">
      <c r="A29" s="3349"/>
      <c r="B29" s="3349"/>
      <c r="C29" s="1129" t="s">
        <v>1468</v>
      </c>
      <c r="D29" s="1130"/>
      <c r="E29" s="1152">
        <v>0.9</v>
      </c>
      <c r="F29" s="1131" t="s">
        <v>1469</v>
      </c>
      <c r="G29" s="1132"/>
      <c r="H29" s="1103"/>
      <c r="I29" s="1103"/>
    </row>
    <row r="30" spans="1:9" s="1598" customFormat="1" ht="19.5" customHeight="1">
      <c r="A30" s="3349"/>
      <c r="B30" s="3349"/>
      <c r="C30" s="1129" t="s">
        <v>1470</v>
      </c>
      <c r="D30" s="1130"/>
      <c r="E30" s="1152">
        <v>0.9</v>
      </c>
      <c r="F30" s="1131" t="s">
        <v>1471</v>
      </c>
      <c r="G30" s="1132"/>
      <c r="H30" s="1103"/>
      <c r="I30" s="1103"/>
    </row>
    <row r="31" spans="1:9" s="1598" customFormat="1" ht="19.5" customHeight="1">
      <c r="A31" s="3349"/>
      <c r="B31" s="3349"/>
      <c r="C31" s="1129" t="s">
        <v>1472</v>
      </c>
      <c r="D31" s="1130"/>
      <c r="E31" s="1152">
        <v>0.8</v>
      </c>
      <c r="F31" s="1131" t="s">
        <v>1473</v>
      </c>
      <c r="G31" s="1132"/>
      <c r="H31" s="1103"/>
      <c r="I31" s="1103"/>
    </row>
    <row r="32" spans="1:9" s="1598" customFormat="1" ht="19.5" customHeight="1">
      <c r="A32" s="3349"/>
      <c r="B32" s="3349"/>
      <c r="C32" s="1129" t="s">
        <v>1474</v>
      </c>
      <c r="D32" s="1130"/>
      <c r="E32" s="1152">
        <v>0.8</v>
      </c>
      <c r="F32" s="1131" t="s">
        <v>1475</v>
      </c>
      <c r="G32" s="1132"/>
      <c r="H32" s="1103"/>
      <c r="I32" s="1103"/>
    </row>
    <row r="33" spans="1:9" s="1598" customFormat="1" ht="19.5" customHeight="1">
      <c r="A33" s="3349" t="s">
        <v>1476</v>
      </c>
      <c r="B33" s="1152" t="s">
        <v>1448</v>
      </c>
      <c r="C33" s="1129" t="s">
        <v>1477</v>
      </c>
      <c r="D33" s="1130"/>
      <c r="E33" s="1152">
        <v>1</v>
      </c>
      <c r="F33" s="1131" t="s">
        <v>1478</v>
      </c>
      <c r="G33" s="1132"/>
      <c r="H33" s="1103"/>
      <c r="I33" s="1103"/>
    </row>
    <row r="34" spans="1:9" s="1598" customFormat="1" ht="19.5" customHeight="1">
      <c r="A34" s="3349"/>
      <c r="B34" s="1152" t="s">
        <v>1451</v>
      </c>
      <c r="C34" s="1129" t="s">
        <v>1479</v>
      </c>
      <c r="D34" s="1130"/>
      <c r="E34" s="1152">
        <v>1.5</v>
      </c>
      <c r="F34" s="1131" t="s">
        <v>1480</v>
      </c>
      <c r="G34" s="1132"/>
      <c r="H34" s="1103"/>
      <c r="I34" s="1103"/>
    </row>
    <row r="35" spans="1:9" s="1598" customFormat="1" ht="19.5" customHeight="1">
      <c r="A35" s="3349" t="s">
        <v>1434</v>
      </c>
      <c r="B35" s="1152" t="s">
        <v>1448</v>
      </c>
      <c r="C35" s="1129" t="s">
        <v>1481</v>
      </c>
      <c r="D35" s="1130"/>
      <c r="E35" s="1152">
        <v>1</v>
      </c>
      <c r="F35" s="1131" t="s">
        <v>1482</v>
      </c>
      <c r="G35" s="1132"/>
      <c r="H35" s="1103"/>
      <c r="I35" s="1103"/>
    </row>
    <row r="36" spans="1:9" s="1598" customFormat="1" ht="19.5" customHeight="1">
      <c r="A36" s="3349"/>
      <c r="B36" s="3349" t="s">
        <v>1451</v>
      </c>
      <c r="C36" s="1129" t="s">
        <v>1483</v>
      </c>
      <c r="D36" s="1130"/>
      <c r="E36" s="1152">
        <v>1</v>
      </c>
      <c r="F36" s="1131" t="s">
        <v>1484</v>
      </c>
      <c r="G36" s="1132"/>
      <c r="H36" s="1103"/>
      <c r="I36" s="1103"/>
    </row>
    <row r="37" spans="1:9" s="1598" customFormat="1" ht="19.5" customHeight="1">
      <c r="A37" s="3349"/>
      <c r="B37" s="3349"/>
      <c r="C37" s="1129" t="s">
        <v>1485</v>
      </c>
      <c r="D37" s="1130"/>
      <c r="E37" s="1152">
        <v>1.5</v>
      </c>
      <c r="F37" s="1131" t="s">
        <v>1486</v>
      </c>
      <c r="G37" s="1132"/>
      <c r="H37" s="1103"/>
      <c r="I37" s="1103"/>
    </row>
    <row r="38" spans="1:9" s="1598" customFormat="1" ht="19.5" customHeight="1">
      <c r="A38" s="3349"/>
      <c r="B38" s="3349"/>
      <c r="C38" s="1129" t="s">
        <v>1487</v>
      </c>
      <c r="D38" s="1130"/>
      <c r="E38" s="1152">
        <v>1</v>
      </c>
      <c r="F38" s="1131" t="s">
        <v>1488</v>
      </c>
      <c r="G38" s="1132"/>
      <c r="H38" s="1103"/>
      <c r="I38" s="1103"/>
    </row>
    <row r="39" spans="1:9" s="1598" customFormat="1" ht="19.5" customHeight="1">
      <c r="A39" s="3349"/>
      <c r="B39" s="3349"/>
      <c r="C39" s="1129" t="s">
        <v>1489</v>
      </c>
      <c r="D39" s="1130"/>
      <c r="E39" s="1152">
        <v>1</v>
      </c>
      <c r="F39" s="1131" t="s">
        <v>1490</v>
      </c>
      <c r="G39" s="1132"/>
      <c r="H39" s="1103"/>
      <c r="I39" s="1103"/>
    </row>
    <row r="40" spans="1:9" s="1598" customFormat="1" ht="19.5" customHeight="1">
      <c r="A40" s="1599" t="s">
        <v>1491</v>
      </c>
      <c r="B40" s="1599"/>
      <c r="C40" s="1599"/>
      <c r="D40" s="1599"/>
      <c r="E40" s="1599"/>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349" t="s">
        <v>1503</v>
      </c>
      <c r="C61" s="1066" t="s">
        <v>1504</v>
      </c>
      <c r="D61" s="1066" t="s">
        <v>1505</v>
      </c>
      <c r="E61" s="1137">
        <v>0.5</v>
      </c>
      <c r="F61" s="1152">
        <v>80</v>
      </c>
      <c r="H61" s="1103">
        <f>SUMIF(C59:C119,基准地价!C8,E59:E119)</f>
        <v>0</v>
      </c>
    </row>
    <row r="62" spans="1:8" s="1103" customFormat="1" ht="24">
      <c r="A62" s="1152">
        <v>2</v>
      </c>
      <c r="B62" s="3349"/>
      <c r="C62" s="1066" t="s">
        <v>1506</v>
      </c>
      <c r="D62" s="1066" t="s">
        <v>1507</v>
      </c>
      <c r="E62" s="1137">
        <v>0.5</v>
      </c>
      <c r="F62" s="1152">
        <v>80</v>
      </c>
    </row>
    <row r="63" spans="1:8" s="1103" customFormat="1" ht="36">
      <c r="A63" s="1152">
        <v>3</v>
      </c>
      <c r="B63" s="3349"/>
      <c r="C63" s="1066" t="s">
        <v>1508</v>
      </c>
      <c r="D63" s="1066" t="s">
        <v>1509</v>
      </c>
      <c r="E63" s="1137">
        <v>0.5</v>
      </c>
      <c r="F63" s="1152">
        <v>80</v>
      </c>
    </row>
    <row r="64" spans="1:8" s="1103" customFormat="1" ht="36">
      <c r="A64" s="1152">
        <v>4</v>
      </c>
      <c r="B64" s="3349"/>
      <c r="C64" s="1066" t="s">
        <v>1510</v>
      </c>
      <c r="D64" s="1066" t="s">
        <v>1511</v>
      </c>
      <c r="E64" s="1137">
        <v>0.4</v>
      </c>
      <c r="F64" s="1152">
        <v>60</v>
      </c>
    </row>
    <row r="65" spans="1:6" s="1103" customFormat="1" ht="36">
      <c r="A65" s="1152">
        <v>5</v>
      </c>
      <c r="B65" s="3349"/>
      <c r="C65" s="1066" t="s">
        <v>1512</v>
      </c>
      <c r="D65" s="1066" t="s">
        <v>1513</v>
      </c>
      <c r="E65" s="1137">
        <v>0.2</v>
      </c>
      <c r="F65" s="1152">
        <v>30</v>
      </c>
    </row>
    <row r="66" spans="1:6" s="1103" customFormat="1" ht="36">
      <c r="A66" s="1152">
        <v>6</v>
      </c>
      <c r="B66" s="3349"/>
      <c r="C66" s="1066" t="s">
        <v>1514</v>
      </c>
      <c r="D66" s="1066" t="s">
        <v>1515</v>
      </c>
      <c r="E66" s="1137">
        <v>0.3</v>
      </c>
      <c r="F66" s="1152">
        <v>50</v>
      </c>
    </row>
    <row r="67" spans="1:6" s="1103" customFormat="1" ht="36">
      <c r="A67" s="1152">
        <v>7</v>
      </c>
      <c r="B67" s="3349"/>
      <c r="C67" s="1066" t="s">
        <v>1516</v>
      </c>
      <c r="D67" s="1066" t="s">
        <v>1517</v>
      </c>
      <c r="E67" s="1137">
        <v>0.2</v>
      </c>
      <c r="F67" s="1152">
        <v>30</v>
      </c>
    </row>
    <row r="68" spans="1:6" s="1103" customFormat="1" ht="36">
      <c r="A68" s="1152">
        <v>8</v>
      </c>
      <c r="B68" s="3349"/>
      <c r="C68" s="1066" t="s">
        <v>1518</v>
      </c>
      <c r="D68" s="1066" t="s">
        <v>1519</v>
      </c>
      <c r="E68" s="1137">
        <v>0.2</v>
      </c>
      <c r="F68" s="1152">
        <v>30</v>
      </c>
    </row>
    <row r="69" spans="1:6" s="1103" customFormat="1" ht="36">
      <c r="A69" s="1152">
        <v>9</v>
      </c>
      <c r="B69" s="3349"/>
      <c r="C69" s="1066" t="s">
        <v>1520</v>
      </c>
      <c r="D69" s="1066" t="s">
        <v>1521</v>
      </c>
      <c r="E69" s="1137">
        <v>0.2</v>
      </c>
      <c r="F69" s="1152">
        <v>30</v>
      </c>
    </row>
    <row r="70" spans="1:6" s="1103" customFormat="1" ht="48">
      <c r="A70" s="1152">
        <v>10</v>
      </c>
      <c r="B70" s="3349"/>
      <c r="C70" s="1066" t="s">
        <v>1522</v>
      </c>
      <c r="D70" s="1066" t="s">
        <v>1523</v>
      </c>
      <c r="E70" s="1137">
        <v>0.2</v>
      </c>
      <c r="F70" s="1152">
        <v>30</v>
      </c>
    </row>
    <row r="71" spans="1:6" s="1103" customFormat="1" ht="48">
      <c r="A71" s="1152">
        <v>11</v>
      </c>
      <c r="B71" s="3349"/>
      <c r="C71" s="1066" t="s">
        <v>1524</v>
      </c>
      <c r="D71" s="1066" t="s">
        <v>1525</v>
      </c>
      <c r="E71" s="1137">
        <v>0.2</v>
      </c>
      <c r="F71" s="1152">
        <v>30</v>
      </c>
    </row>
    <row r="72" spans="1:6" s="1103" customFormat="1" ht="36">
      <c r="A72" s="1152">
        <v>12</v>
      </c>
      <c r="B72" s="3349"/>
      <c r="C72" s="1066" t="s">
        <v>1526</v>
      </c>
      <c r="D72" s="1066" t="s">
        <v>1527</v>
      </c>
      <c r="E72" s="1137">
        <v>0.5</v>
      </c>
      <c r="F72" s="1152">
        <v>80</v>
      </c>
    </row>
    <row r="73" spans="1:6" s="1103" customFormat="1" ht="24">
      <c r="A73" s="1152">
        <v>13</v>
      </c>
      <c r="B73" s="3349"/>
      <c r="C73" s="1066" t="s">
        <v>1528</v>
      </c>
      <c r="D73" s="1066" t="s">
        <v>1529</v>
      </c>
      <c r="E73" s="1137">
        <v>0.4</v>
      </c>
      <c r="F73" s="1152">
        <v>60</v>
      </c>
    </row>
    <row r="74" spans="1:6" s="1103" customFormat="1" ht="24">
      <c r="A74" s="1152">
        <v>14</v>
      </c>
      <c r="B74" s="3349"/>
      <c r="C74" s="1066" t="s">
        <v>1530</v>
      </c>
      <c r="D74" s="1066" t="s">
        <v>1531</v>
      </c>
      <c r="E74" s="1137">
        <v>0.2</v>
      </c>
      <c r="F74" s="1152">
        <v>30</v>
      </c>
    </row>
    <row r="75" spans="1:6" s="1103" customFormat="1" ht="24">
      <c r="A75" s="1152">
        <v>15</v>
      </c>
      <c r="B75" s="3349"/>
      <c r="C75" s="1066" t="s">
        <v>1532</v>
      </c>
      <c r="D75" s="1066" t="s">
        <v>1533</v>
      </c>
      <c r="E75" s="1137">
        <v>0.2</v>
      </c>
      <c r="F75" s="1152">
        <v>30</v>
      </c>
    </row>
    <row r="76" spans="1:6" s="1103" customFormat="1" ht="24">
      <c r="A76" s="1152">
        <v>16</v>
      </c>
      <c r="B76" s="3349" t="s">
        <v>1534</v>
      </c>
      <c r="C76" s="1066" t="s">
        <v>1535</v>
      </c>
      <c r="D76" s="1066" t="s">
        <v>1536</v>
      </c>
      <c r="E76" s="1137">
        <v>0.5</v>
      </c>
      <c r="F76" s="1152">
        <v>80</v>
      </c>
    </row>
    <row r="77" spans="1:6" s="1103" customFormat="1" ht="24">
      <c r="A77" s="1152">
        <v>17</v>
      </c>
      <c r="B77" s="3349"/>
      <c r="C77" s="1066" t="s">
        <v>1537</v>
      </c>
      <c r="D77" s="1066" t="s">
        <v>1538</v>
      </c>
      <c r="E77" s="1137">
        <v>0.5</v>
      </c>
      <c r="F77" s="1152">
        <v>80</v>
      </c>
    </row>
    <row r="78" spans="1:6" s="1103" customFormat="1" ht="24">
      <c r="A78" s="1152">
        <v>18</v>
      </c>
      <c r="B78" s="3349"/>
      <c r="C78" s="1066" t="s">
        <v>1539</v>
      </c>
      <c r="D78" s="1066" t="s">
        <v>1540</v>
      </c>
      <c r="E78" s="1137">
        <v>0.2</v>
      </c>
      <c r="F78" s="1152">
        <v>30</v>
      </c>
    </row>
    <row r="79" spans="1:6" s="1103" customFormat="1" ht="24">
      <c r="A79" s="1152">
        <v>19</v>
      </c>
      <c r="B79" s="3349"/>
      <c r="C79" s="1066" t="s">
        <v>1541</v>
      </c>
      <c r="D79" s="1066" t="s">
        <v>1542</v>
      </c>
      <c r="E79" s="1137">
        <v>0.5</v>
      </c>
      <c r="F79" s="1152">
        <v>80</v>
      </c>
    </row>
    <row r="80" spans="1:6" s="1103" customFormat="1" ht="36">
      <c r="A80" s="1152">
        <v>20</v>
      </c>
      <c r="B80" s="3349"/>
      <c r="C80" s="1066" t="s">
        <v>1543</v>
      </c>
      <c r="D80" s="1066" t="s">
        <v>1544</v>
      </c>
      <c r="E80" s="1137">
        <v>0.2</v>
      </c>
      <c r="F80" s="1152">
        <v>30</v>
      </c>
    </row>
    <row r="81" spans="1:6" s="1103" customFormat="1" ht="36">
      <c r="A81" s="1152">
        <v>21</v>
      </c>
      <c r="B81" s="3349"/>
      <c r="C81" s="1066" t="s">
        <v>1545</v>
      </c>
      <c r="D81" s="1066" t="s">
        <v>1546</v>
      </c>
      <c r="E81" s="1137">
        <v>0.2</v>
      </c>
      <c r="F81" s="1152">
        <v>30</v>
      </c>
    </row>
    <row r="82" spans="1:6" s="1103" customFormat="1" ht="48">
      <c r="A82" s="1152">
        <v>22</v>
      </c>
      <c r="B82" s="3349"/>
      <c r="C82" s="1066" t="s">
        <v>1547</v>
      </c>
      <c r="D82" s="1066" t="s">
        <v>1548</v>
      </c>
      <c r="E82" s="1137">
        <v>0.2</v>
      </c>
      <c r="F82" s="1152">
        <v>30</v>
      </c>
    </row>
    <row r="83" spans="1:6" s="1103" customFormat="1" ht="48">
      <c r="A83" s="1152">
        <v>23</v>
      </c>
      <c r="B83" s="3349"/>
      <c r="C83" s="1066" t="s">
        <v>1549</v>
      </c>
      <c r="D83" s="1066" t="s">
        <v>1550</v>
      </c>
      <c r="E83" s="1137">
        <v>0.2</v>
      </c>
      <c r="F83" s="1152">
        <v>30</v>
      </c>
    </row>
    <row r="84" spans="1:6" s="1103" customFormat="1" ht="36">
      <c r="A84" s="1152">
        <v>24</v>
      </c>
      <c r="B84" s="3349"/>
      <c r="C84" s="1066" t="s">
        <v>1551</v>
      </c>
      <c r="D84" s="1066" t="s">
        <v>1552</v>
      </c>
      <c r="E84" s="1137">
        <v>0.2</v>
      </c>
      <c r="F84" s="1152">
        <v>30</v>
      </c>
    </row>
    <row r="85" spans="1:6" s="1103" customFormat="1" ht="36">
      <c r="A85" s="1152">
        <v>25</v>
      </c>
      <c r="B85" s="3349"/>
      <c r="C85" s="1066" t="s">
        <v>1553</v>
      </c>
      <c r="D85" s="1066" t="s">
        <v>1554</v>
      </c>
      <c r="E85" s="1137">
        <v>0.5</v>
      </c>
      <c r="F85" s="1152">
        <v>80</v>
      </c>
    </row>
    <row r="86" spans="1:6" s="1103" customFormat="1" ht="36">
      <c r="A86" s="1152">
        <v>26</v>
      </c>
      <c r="B86" s="3349"/>
      <c r="C86" s="1066" t="s">
        <v>1555</v>
      </c>
      <c r="D86" s="1066" t="s">
        <v>1556</v>
      </c>
      <c r="E86" s="1137">
        <v>0.2</v>
      </c>
      <c r="F86" s="1152">
        <v>30</v>
      </c>
    </row>
    <row r="87" spans="1:6" s="1103" customFormat="1" ht="36">
      <c r="A87" s="1152">
        <v>27</v>
      </c>
      <c r="B87" s="3349"/>
      <c r="C87" s="1066" t="s">
        <v>1557</v>
      </c>
      <c r="D87" s="1066" t="s">
        <v>1558</v>
      </c>
      <c r="E87" s="1137">
        <v>0.2</v>
      </c>
      <c r="F87" s="1152">
        <v>30</v>
      </c>
    </row>
    <row r="88" spans="1:6" s="1103" customFormat="1" ht="36">
      <c r="A88" s="1152">
        <v>28</v>
      </c>
      <c r="B88" s="3349"/>
      <c r="C88" s="1066" t="s">
        <v>1559</v>
      </c>
      <c r="D88" s="1066" t="s">
        <v>1560</v>
      </c>
      <c r="E88" s="1137">
        <v>0.2</v>
      </c>
      <c r="F88" s="1152">
        <v>30</v>
      </c>
    </row>
    <row r="89" spans="1:6" s="1103" customFormat="1" ht="24">
      <c r="A89" s="1152">
        <v>29</v>
      </c>
      <c r="B89" s="3349"/>
      <c r="C89" s="1066" t="s">
        <v>1561</v>
      </c>
      <c r="D89" s="1066" t="s">
        <v>1562</v>
      </c>
      <c r="E89" s="1137">
        <v>0.2</v>
      </c>
      <c r="F89" s="1152">
        <v>30</v>
      </c>
    </row>
    <row r="90" spans="1:6" s="1103" customFormat="1" ht="24">
      <c r="A90" s="1152">
        <v>30</v>
      </c>
      <c r="B90" s="3349"/>
      <c r="C90" s="1066" t="s">
        <v>1563</v>
      </c>
      <c r="D90" s="1066" t="s">
        <v>1564</v>
      </c>
      <c r="E90" s="1137">
        <v>0.2</v>
      </c>
      <c r="F90" s="1152">
        <v>30</v>
      </c>
    </row>
    <row r="91" spans="1:6" s="1103" customFormat="1" ht="36">
      <c r="A91" s="1152">
        <v>31</v>
      </c>
      <c r="B91" s="3349"/>
      <c r="C91" s="1066" t="s">
        <v>1565</v>
      </c>
      <c r="D91" s="1066" t="s">
        <v>1566</v>
      </c>
      <c r="E91" s="1137">
        <v>0.2</v>
      </c>
      <c r="F91" s="1152">
        <v>30</v>
      </c>
    </row>
    <row r="92" spans="1:6" s="1103" customFormat="1" ht="24">
      <c r="A92" s="1152">
        <v>32</v>
      </c>
      <c r="B92" s="3349" t="s">
        <v>1567</v>
      </c>
      <c r="C92" s="1152" t="s">
        <v>1568</v>
      </c>
      <c r="D92" s="1066" t="s">
        <v>1569</v>
      </c>
      <c r="E92" s="1137">
        <v>0.2</v>
      </c>
      <c r="F92" s="1152">
        <v>30</v>
      </c>
    </row>
    <row r="93" spans="1:6" s="1103" customFormat="1" ht="36">
      <c r="A93" s="1152">
        <v>33</v>
      </c>
      <c r="B93" s="3349"/>
      <c r="C93" s="1152" t="s">
        <v>1570</v>
      </c>
      <c r="D93" s="1066" t="s">
        <v>1571</v>
      </c>
      <c r="E93" s="1137">
        <v>0.2</v>
      </c>
      <c r="F93" s="1152">
        <v>30</v>
      </c>
    </row>
    <row r="94" spans="1:6" s="1103" customFormat="1" ht="48">
      <c r="A94" s="1152">
        <v>34</v>
      </c>
      <c r="B94" s="3349"/>
      <c r="C94" s="1152" t="s">
        <v>1572</v>
      </c>
      <c r="D94" s="1066" t="s">
        <v>1573</v>
      </c>
      <c r="E94" s="1137">
        <v>0.2</v>
      </c>
      <c r="F94" s="1152">
        <v>30</v>
      </c>
    </row>
    <row r="95" spans="1:6" s="1103" customFormat="1" ht="36">
      <c r="A95" s="1152">
        <v>35</v>
      </c>
      <c r="B95" s="3349"/>
      <c r="C95" s="1152" t="s">
        <v>1574</v>
      </c>
      <c r="D95" s="1066" t="s">
        <v>1575</v>
      </c>
      <c r="E95" s="1137">
        <v>0.2</v>
      </c>
      <c r="F95" s="1152">
        <v>30</v>
      </c>
    </row>
    <row r="96" spans="1:6" s="1103" customFormat="1" ht="48">
      <c r="A96" s="1152">
        <v>36</v>
      </c>
      <c r="B96" s="3349"/>
      <c r="C96" s="1066" t="s">
        <v>1576</v>
      </c>
      <c r="D96" s="1066" t="s">
        <v>1577</v>
      </c>
      <c r="E96" s="1137">
        <v>0.2</v>
      </c>
      <c r="F96" s="1152">
        <v>30</v>
      </c>
    </row>
    <row r="97" spans="1:6" s="1103" customFormat="1" ht="36">
      <c r="A97" s="1152">
        <v>37</v>
      </c>
      <c r="B97" s="3349"/>
      <c r="C97" s="1152" t="s">
        <v>1578</v>
      </c>
      <c r="D97" s="1066" t="s">
        <v>1579</v>
      </c>
      <c r="E97" s="1137">
        <v>0.2</v>
      </c>
      <c r="F97" s="1152">
        <v>30</v>
      </c>
    </row>
    <row r="98" spans="1:6" s="1103" customFormat="1" ht="36">
      <c r="A98" s="1152">
        <v>38</v>
      </c>
      <c r="B98" s="3349"/>
      <c r="C98" s="1152" t="s">
        <v>1580</v>
      </c>
      <c r="D98" s="1066" t="s">
        <v>1581</v>
      </c>
      <c r="E98" s="1137">
        <v>0.2</v>
      </c>
      <c r="F98" s="1152">
        <v>30</v>
      </c>
    </row>
    <row r="99" spans="1:6" s="1103" customFormat="1" ht="36">
      <c r="A99" s="1152">
        <v>39</v>
      </c>
      <c r="B99" s="3349" t="s">
        <v>1582</v>
      </c>
      <c r="C99" s="1152" t="s">
        <v>1583</v>
      </c>
      <c r="D99" s="1066" t="s">
        <v>1584</v>
      </c>
      <c r="E99" s="1137">
        <v>0.3</v>
      </c>
      <c r="F99" s="1152">
        <v>50</v>
      </c>
    </row>
    <row r="100" spans="1:6" s="1103" customFormat="1" ht="24">
      <c r="A100" s="1152">
        <v>40</v>
      </c>
      <c r="B100" s="3349"/>
      <c r="C100" s="1152" t="s">
        <v>1585</v>
      </c>
      <c r="D100" s="1066" t="s">
        <v>1586</v>
      </c>
      <c r="E100" s="1137">
        <v>0.2</v>
      </c>
      <c r="F100" s="1152">
        <v>30</v>
      </c>
    </row>
    <row r="101" spans="1:6" s="1103" customFormat="1" ht="36">
      <c r="A101" s="1152">
        <v>41</v>
      </c>
      <c r="B101" s="3349"/>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349" t="s">
        <v>1597</v>
      </c>
      <c r="C105" s="1152" t="s">
        <v>1598</v>
      </c>
      <c r="D105" s="1066" t="s">
        <v>1599</v>
      </c>
      <c r="E105" s="1137">
        <v>0.2</v>
      </c>
      <c r="F105" s="1152">
        <v>30</v>
      </c>
    </row>
    <row r="106" spans="1:6" s="1103" customFormat="1" ht="36">
      <c r="A106" s="1152">
        <v>46</v>
      </c>
      <c r="B106" s="3349"/>
      <c r="C106" s="1152" t="s">
        <v>1600</v>
      </c>
      <c r="D106" s="1066" t="s">
        <v>1601</v>
      </c>
      <c r="E106" s="1137">
        <v>0.2</v>
      </c>
      <c r="F106" s="1152">
        <v>30</v>
      </c>
    </row>
    <row r="107" spans="1:6" s="1103" customFormat="1" ht="36">
      <c r="A107" s="1152">
        <v>47</v>
      </c>
      <c r="B107" s="3349" t="s">
        <v>1602</v>
      </c>
      <c r="C107" s="1152" t="s">
        <v>1603</v>
      </c>
      <c r="D107" s="1066" t="s">
        <v>1604</v>
      </c>
      <c r="E107" s="1137">
        <v>0.3</v>
      </c>
      <c r="F107" s="1152">
        <v>50</v>
      </c>
    </row>
    <row r="108" spans="1:6" s="1103" customFormat="1" ht="36">
      <c r="A108" s="1152">
        <v>48</v>
      </c>
      <c r="B108" s="3349"/>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349" t="s">
        <v>1613</v>
      </c>
      <c r="C111" s="1152" t="s">
        <v>1614</v>
      </c>
      <c r="D111" s="1066" t="s">
        <v>1615</v>
      </c>
      <c r="E111" s="1137">
        <v>0.2</v>
      </c>
      <c r="F111" s="1152">
        <v>30</v>
      </c>
    </row>
    <row r="112" spans="1:6" s="1103" customFormat="1" ht="24">
      <c r="A112" s="1152">
        <v>52</v>
      </c>
      <c r="B112" s="3349"/>
      <c r="C112" s="1152" t="s">
        <v>1616</v>
      </c>
      <c r="D112" s="1066" t="s">
        <v>1617</v>
      </c>
      <c r="E112" s="1137">
        <v>0.2</v>
      </c>
      <c r="F112" s="1152">
        <v>30</v>
      </c>
    </row>
    <row r="113" spans="1:14" s="1103" customFormat="1" ht="24">
      <c r="A113" s="1152">
        <v>53</v>
      </c>
      <c r="B113" s="3349"/>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349" t="s">
        <v>1626</v>
      </c>
      <c r="C116" s="1152" t="s">
        <v>1627</v>
      </c>
      <c r="D116" s="1066" t="s">
        <v>1628</v>
      </c>
      <c r="E116" s="1137">
        <v>0.2</v>
      </c>
      <c r="F116" s="1152">
        <v>30</v>
      </c>
    </row>
    <row r="117" spans="1:14" ht="36">
      <c r="A117" s="1152">
        <v>57</v>
      </c>
      <c r="B117" s="3349"/>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348" t="s">
        <v>1635</v>
      </c>
      <c r="B121" s="3348"/>
      <c r="C121" s="3348"/>
      <c r="D121" s="3348"/>
      <c r="E121" s="3348"/>
      <c r="F121" s="3348"/>
      <c r="G121" s="3348"/>
      <c r="H121" s="3348"/>
      <c r="I121" s="3348"/>
      <c r="J121" s="3348"/>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361" t="s">
        <v>1041</v>
      </c>
      <c r="B1" s="3361"/>
      <c r="C1" s="3361"/>
      <c r="D1" s="3361"/>
      <c r="E1" s="3361"/>
      <c r="F1" s="3361"/>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362" t="s">
        <v>1054</v>
      </c>
      <c r="B2" s="3362"/>
      <c r="C2" s="3362"/>
      <c r="D2" s="3362"/>
      <c r="E2" s="3362"/>
      <c r="F2" s="3362"/>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363"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364"/>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2424</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2425</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365" t="s">
        <v>2081</v>
      </c>
      <c r="B1" s="3365"/>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5" t="s">
        <v>2955</v>
      </c>
      <c r="B1" s="3067"/>
      <c r="C1" s="3067"/>
      <c r="D1" s="3067"/>
      <c r="E1" s="3067"/>
      <c r="F1" s="3067"/>
    </row>
    <row r="2" spans="1:6" ht="14.25">
      <c r="A2" s="3068" t="s">
        <v>2949</v>
      </c>
      <c r="B2" s="3069" t="e">
        <f ca="1">SUMIF(B7:B14,"&lt;&gt;#ref!",B7:B14)</f>
        <v>#DIV/0!</v>
      </c>
      <c r="C2" s="3068" t="s">
        <v>2950</v>
      </c>
      <c r="D2" s="3067"/>
      <c r="E2" s="3067"/>
      <c r="F2" s="3067"/>
    </row>
    <row r="3" spans="1:6" ht="14.25">
      <c r="A3" s="3068" t="s">
        <v>2952</v>
      </c>
      <c r="B3" s="3069" t="e">
        <f ca="1">ROUND(B2*10000/E3,0)</f>
        <v>#DIV/0!</v>
      </c>
      <c r="C3" s="3068" t="s">
        <v>2080</v>
      </c>
      <c r="D3" s="3068" t="s">
        <v>2951</v>
      </c>
      <c r="E3" s="3069" t="e">
        <f ca="1">SUM(E7:E14)</f>
        <v>#REF!</v>
      </c>
      <c r="F3" s="3067"/>
    </row>
    <row r="4" spans="1:6" ht="14.25">
      <c r="A4" s="3068" t="s">
        <v>2959</v>
      </c>
      <c r="B4" s="3069" t="e">
        <f ca="1">ROUND(B2*10000/E4,0)</f>
        <v>#DIV/0!</v>
      </c>
      <c r="C4" s="3068" t="s">
        <v>2080</v>
      </c>
      <c r="D4" s="3068" t="s">
        <v>2960</v>
      </c>
      <c r="E4" s="3069" t="e">
        <f ca="1">SUM(F7:F14)</f>
        <v>#REF!</v>
      </c>
      <c r="F4" s="3067"/>
    </row>
    <row r="5" spans="1:6" ht="14.25">
      <c r="A5" s="3070"/>
      <c r="B5" s="1879"/>
      <c r="C5" s="1879"/>
      <c r="D5" s="1879"/>
      <c r="E5" s="1879"/>
      <c r="F5" s="3067"/>
    </row>
    <row r="6" spans="1:6" ht="28.5">
      <c r="A6" s="3071" t="s">
        <v>2956</v>
      </c>
      <c r="B6" s="3068" t="s">
        <v>2953</v>
      </c>
      <c r="C6" s="3069"/>
      <c r="D6" s="1879"/>
      <c r="E6" s="3068" t="s">
        <v>2954</v>
      </c>
      <c r="F6" s="3068" t="s">
        <v>2958</v>
      </c>
    </row>
    <row r="7" spans="1:6" ht="14.25">
      <c r="A7" s="260" t="s">
        <v>2957</v>
      </c>
      <c r="B7" s="3072" t="e">
        <f ca="1">SUMIF(INDIRECT("'"&amp;A7&amp;"'"&amp;"!A:A"),"总价",INDIRECT("'"&amp;A7&amp;"'"&amp;"!B:B"))</f>
        <v>#DIV/0!</v>
      </c>
      <c r="C7" s="3068" t="s">
        <v>2950</v>
      </c>
      <c r="D7" s="1879"/>
      <c r="E7" s="3073">
        <f ca="1">SUMIF(INDIRECT("'"&amp;A7&amp;"'"&amp;"!C:C"),"建筑面积",INDIRECT("'"&amp;A7&amp;"'"&amp;"!D:D"))</f>
        <v>0</v>
      </c>
      <c r="F7" s="3073">
        <f ca="1">SUMIF(INDIRECT("'"&amp;A7&amp;"'"&amp;"!E:E"),"土地面积",INDIRECT("'"&amp;A7&amp;"'"&amp;"!F:F"))</f>
        <v>0</v>
      </c>
    </row>
    <row r="8" spans="1:6" ht="14.25">
      <c r="A8" s="260"/>
      <c r="B8" s="3072" t="e">
        <f t="shared" ref="B8:B14" ca="1" si="0">SUMIF(INDIRECT("'"&amp;A8&amp;"'"&amp;"!A:A"),"总价",INDIRECT("'"&amp;A8&amp;"'"&amp;"!B:B"))</f>
        <v>#REF!</v>
      </c>
      <c r="C8" s="3068" t="s">
        <v>2950</v>
      </c>
      <c r="D8" s="1879"/>
      <c r="E8" s="3073" t="e">
        <f t="shared" ref="E8:E14" ca="1" si="1">SUMIF(INDIRECT("'"&amp;A8&amp;"'"&amp;"!C:C"),"建筑面积",INDIRECT("'"&amp;A8&amp;"'"&amp;"!D:D"))</f>
        <v>#REF!</v>
      </c>
      <c r="F8" s="3073" t="e">
        <f t="shared" ref="F8:F14" ca="1" si="2">SUMIF(INDIRECT("'"&amp;A8&amp;"'"&amp;"!E:E"),"土地面积",INDIRECT("'"&amp;A8&amp;"'"&amp;"!F:F"))</f>
        <v>#REF!</v>
      </c>
    </row>
    <row r="9" spans="1:6" ht="14.25">
      <c r="A9" s="260"/>
      <c r="B9" s="3072" t="e">
        <f t="shared" ca="1" si="0"/>
        <v>#REF!</v>
      </c>
      <c r="C9" s="3068" t="s">
        <v>2950</v>
      </c>
      <c r="D9" s="1879"/>
      <c r="E9" s="3073" t="e">
        <f t="shared" ca="1" si="1"/>
        <v>#REF!</v>
      </c>
      <c r="F9" s="3073" t="e">
        <f t="shared" ca="1" si="2"/>
        <v>#REF!</v>
      </c>
    </row>
    <row r="10" spans="1:6" ht="14.25">
      <c r="A10" s="260"/>
      <c r="B10" s="3072" t="e">
        <f t="shared" ca="1" si="0"/>
        <v>#REF!</v>
      </c>
      <c r="C10" s="3068" t="s">
        <v>2950</v>
      </c>
      <c r="D10" s="1879"/>
      <c r="E10" s="3073" t="e">
        <f t="shared" ca="1" si="1"/>
        <v>#REF!</v>
      </c>
      <c r="F10" s="3073" t="e">
        <f t="shared" ca="1" si="2"/>
        <v>#REF!</v>
      </c>
    </row>
    <row r="11" spans="1:6" ht="14.25">
      <c r="A11" s="260"/>
      <c r="B11" s="3072" t="e">
        <f t="shared" ca="1" si="0"/>
        <v>#REF!</v>
      </c>
      <c r="C11" s="3068" t="s">
        <v>2950</v>
      </c>
      <c r="D11" s="1879"/>
      <c r="E11" s="3073" t="e">
        <f t="shared" ca="1" si="1"/>
        <v>#REF!</v>
      </c>
      <c r="F11" s="3073" t="e">
        <f t="shared" ca="1" si="2"/>
        <v>#REF!</v>
      </c>
    </row>
    <row r="12" spans="1:6" ht="14.25">
      <c r="A12" s="260"/>
      <c r="B12" s="3072" t="e">
        <f t="shared" ca="1" si="0"/>
        <v>#REF!</v>
      </c>
      <c r="C12" s="3068" t="s">
        <v>2950</v>
      </c>
      <c r="D12" s="1879"/>
      <c r="E12" s="3073" t="e">
        <f t="shared" ca="1" si="1"/>
        <v>#REF!</v>
      </c>
      <c r="F12" s="3073" t="e">
        <f t="shared" ca="1" si="2"/>
        <v>#REF!</v>
      </c>
    </row>
    <row r="13" spans="1:6" ht="14.25">
      <c r="A13" s="260"/>
      <c r="B13" s="3072" t="e">
        <f t="shared" ca="1" si="0"/>
        <v>#REF!</v>
      </c>
      <c r="C13" s="3068" t="s">
        <v>2950</v>
      </c>
      <c r="D13" s="1879"/>
      <c r="E13" s="3073" t="e">
        <f t="shared" ca="1" si="1"/>
        <v>#REF!</v>
      </c>
      <c r="F13" s="3073" t="e">
        <f t="shared" ca="1" si="2"/>
        <v>#REF!</v>
      </c>
    </row>
    <row r="14" spans="1:6" ht="14.25">
      <c r="A14" s="3066"/>
      <c r="B14" s="3072" t="e">
        <f t="shared" ca="1" si="0"/>
        <v>#REF!</v>
      </c>
      <c r="C14" s="3068" t="s">
        <v>2950</v>
      </c>
      <c r="D14" s="1879"/>
      <c r="E14" s="3073" t="e">
        <f t="shared" ca="1" si="1"/>
        <v>#REF!</v>
      </c>
      <c r="F14" s="307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629</v>
      </c>
      <c r="B1" s="736"/>
      <c r="C1" s="771"/>
      <c r="D1" s="2048"/>
      <c r="E1" s="2409" t="s">
        <v>2376</v>
      </c>
      <c r="F1" s="2410">
        <f ca="1">J54</f>
        <v>0</v>
      </c>
      <c r="G1" s="772">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2" t="s">
        <v>630</v>
      </c>
      <c r="B2" s="773">
        <f ca="1">IF(ISERROR(C45+J31),0,C45+J31)</f>
        <v>0</v>
      </c>
      <c r="C2" s="1349"/>
      <c r="D2" s="2053"/>
      <c r="E2" s="2054"/>
      <c r="F2" s="2054"/>
      <c r="G2" s="1589"/>
      <c r="H2" s="1361"/>
      <c r="I2" s="2055"/>
      <c r="J2" s="2055"/>
      <c r="K2" s="2056"/>
      <c r="L2" s="2055"/>
      <c r="M2" s="2055"/>
    </row>
    <row r="3" spans="1:25" ht="18" customHeight="1">
      <c r="A3" s="1643" t="s">
        <v>1688</v>
      </c>
      <c r="B3" s="1390">
        <f ca="1">ROUND(B2*10000/'数据-汇总表'!E3,0)</f>
        <v>0</v>
      </c>
      <c r="C3" s="1349"/>
      <c r="D3" s="2053"/>
      <c r="E3" s="2054"/>
      <c r="F3" s="2054"/>
      <c r="G3" s="1589"/>
      <c r="H3" s="774" t="s">
        <v>696</v>
      </c>
      <c r="I3" s="2055"/>
      <c r="J3" s="2055"/>
      <c r="K3" s="2056"/>
      <c r="L3" s="2055"/>
      <c r="M3" s="2055"/>
    </row>
    <row r="4" spans="1:25" ht="18" customHeight="1">
      <c r="A4" s="1644" t="s">
        <v>697</v>
      </c>
      <c r="B4" s="1350">
        <f ca="1">ROUND(B2*10000/'数据-汇总表'!D3,0)</f>
        <v>0</v>
      </c>
      <c r="C4" s="428"/>
      <c r="D4" s="2053"/>
      <c r="E4" s="2054"/>
      <c r="F4" s="2054"/>
      <c r="G4" s="1589"/>
      <c r="H4" s="774"/>
      <c r="I4" s="2055"/>
      <c r="J4" s="2055"/>
      <c r="K4" s="2056"/>
      <c r="L4" s="2055"/>
      <c r="M4" s="2055"/>
    </row>
    <row r="5" spans="1:25" ht="18" customHeight="1" thickBot="1">
      <c r="A5" s="1645"/>
      <c r="B5" s="430">
        <f ca="1">ROUND(B2/('数据-汇总表'!D3/666.67),0)</f>
        <v>0</v>
      </c>
      <c r="C5" s="431" t="s">
        <v>698</v>
      </c>
      <c r="D5" s="2053"/>
      <c r="E5" s="2054"/>
      <c r="F5" s="2054"/>
      <c r="G5" s="1589"/>
      <c r="H5" s="774"/>
      <c r="I5" s="2055"/>
      <c r="J5" s="2055"/>
      <c r="K5" s="2056"/>
      <c r="L5" s="2055"/>
      <c r="M5" s="2055"/>
    </row>
    <row r="6" spans="1:25" ht="18" customHeight="1">
      <c r="A6" s="1826" t="s">
        <v>699</v>
      </c>
      <c r="B6" s="1818" t="s">
        <v>700</v>
      </c>
      <c r="C6" s="1818" t="s">
        <v>633</v>
      </c>
      <c r="D6" s="1818" t="s">
        <v>634</v>
      </c>
      <c r="E6" s="777" t="s">
        <v>635</v>
      </c>
      <c r="F6" s="778"/>
      <c r="G6" s="1591"/>
      <c r="H6" s="1826" t="s">
        <v>631</v>
      </c>
      <c r="I6" s="1818" t="s">
        <v>632</v>
      </c>
      <c r="J6" s="1818" t="s">
        <v>633</v>
      </c>
      <c r="K6" s="1818" t="s">
        <v>634</v>
      </c>
      <c r="L6" s="777" t="s">
        <v>635</v>
      </c>
      <c r="M6" s="778"/>
    </row>
    <row r="7" spans="1:25" ht="18" customHeight="1">
      <c r="A7" s="779">
        <v>1</v>
      </c>
      <c r="B7" s="780" t="s">
        <v>2461</v>
      </c>
      <c r="C7" s="53">
        <f ca="1">C8+C12+C14</f>
        <v>0</v>
      </c>
      <c r="D7" s="2518" t="s">
        <v>2464</v>
      </c>
      <c r="E7" s="2512"/>
      <c r="F7" s="2513"/>
      <c r="G7" s="1591"/>
      <c r="H7" s="779">
        <v>1</v>
      </c>
      <c r="I7" s="780" t="s">
        <v>2461</v>
      </c>
      <c r="J7" s="53">
        <f ca="1">J8+J12+J14</f>
        <v>0</v>
      </c>
      <c r="K7" s="2518" t="s">
        <v>2464</v>
      </c>
      <c r="L7" s="2512"/>
      <c r="M7" s="2513"/>
    </row>
    <row r="8" spans="1:25" ht="18" customHeight="1">
      <c r="A8" s="1828" t="s">
        <v>1826</v>
      </c>
      <c r="B8" s="3367" t="s">
        <v>2466</v>
      </c>
      <c r="C8" s="1823">
        <f ca="1">ROUND(F8*F10*F9*(1-F11)/10000,0)</f>
        <v>0</v>
      </c>
      <c r="D8" s="1820" t="s">
        <v>2538</v>
      </c>
      <c r="E8" s="61" t="s">
        <v>638</v>
      </c>
      <c r="F8" s="783">
        <f ca="1">INDIRECT("'数据-取费表'!u"&amp;$G$1)</f>
        <v>0</v>
      </c>
      <c r="G8" s="1591"/>
      <c r="H8" s="2525" t="s">
        <v>1826</v>
      </c>
      <c r="I8" s="3367" t="s">
        <v>2466</v>
      </c>
      <c r="J8" s="781">
        <f ca="1">ROUND(M8*M10*M9*(1-M11)/10000,0)</f>
        <v>0</v>
      </c>
      <c r="K8" s="341" t="s">
        <v>2538</v>
      </c>
      <c r="L8" s="782" t="s">
        <v>1740</v>
      </c>
      <c r="M8" s="783">
        <f ca="1">INDIRECT("'数据-取费表'!z"&amp;$G$1)</f>
        <v>0</v>
      </c>
    </row>
    <row r="9" spans="1:25" ht="18" customHeight="1">
      <c r="A9" s="2521"/>
      <c r="B9" s="3368"/>
      <c r="C9" s="1824"/>
      <c r="D9" s="1821"/>
      <c r="E9" s="61" t="s">
        <v>639</v>
      </c>
      <c r="F9" s="783">
        <f ca="1">IF(INDIRECT("'数据-取费表'!ah"&amp;$G$1)="",INDIRECT("'数据-取费表'!k"&amp;$G$1),INDIRECT("'数据-取费表'!ah"&amp;$G$1))</f>
        <v>0</v>
      </c>
      <c r="G9" s="1591"/>
      <c r="H9" s="2511"/>
      <c r="I9" s="3368"/>
      <c r="J9" s="786"/>
      <c r="K9" s="787"/>
      <c r="L9" s="782" t="s">
        <v>1741</v>
      </c>
      <c r="M9" s="783">
        <f ca="1">F9</f>
        <v>0</v>
      </c>
    </row>
    <row r="10" spans="1:25" ht="18" customHeight="1">
      <c r="A10" s="2515"/>
      <c r="B10" s="3369"/>
      <c r="C10" s="1824"/>
      <c r="D10" s="1821"/>
      <c r="E10" s="61" t="s">
        <v>640</v>
      </c>
      <c r="F10" s="783">
        <f ca="1">INDIRECT("'数据-取费表'!ai"&amp;$G$1)</f>
        <v>365</v>
      </c>
      <c r="G10" s="1591"/>
      <c r="H10" s="2511"/>
      <c r="I10" s="3369"/>
      <c r="J10" s="786"/>
      <c r="K10" s="787"/>
      <c r="L10" s="782" t="s">
        <v>1742</v>
      </c>
      <c r="M10" s="783">
        <f ca="1">INDIRECT("'数据-取费表'!ai"&amp;$G$1)</f>
        <v>365</v>
      </c>
    </row>
    <row r="11" spans="1:25" ht="18" customHeight="1">
      <c r="A11" s="784"/>
      <c r="B11" s="3370"/>
      <c r="C11" s="1824"/>
      <c r="D11" s="1821"/>
      <c r="E11" s="61" t="s">
        <v>641</v>
      </c>
      <c r="F11" s="792">
        <f ca="1">INDIRECT("'数据-取费表'!w"&amp;$G$1)</f>
        <v>0</v>
      </c>
      <c r="G11" s="1591"/>
      <c r="H11" s="2526"/>
      <c r="I11" s="3369"/>
      <c r="J11" s="786"/>
      <c r="K11" s="787"/>
      <c r="L11" s="793" t="s">
        <v>1743</v>
      </c>
      <c r="M11" s="794">
        <f ca="1">INDIRECT("'数据-取费表'!ab"&amp;$G$1)</f>
        <v>0</v>
      </c>
    </row>
    <row r="12" spans="1:25" ht="18" customHeight="1">
      <c r="A12" s="1828" t="s">
        <v>1827</v>
      </c>
      <c r="B12" s="2516" t="s">
        <v>2462</v>
      </c>
      <c r="C12" s="797">
        <f ca="1">ROUND(IF(F12="押一",F8*F10*F9/12*F13,IF(F12="押二",F8*F10*F9/12*2*F13,IF(F12="押三",F8*F10*F9/12*3*F13,C13*F13)))/10000,0)</f>
        <v>0</v>
      </c>
      <c r="D12" s="2522" t="s">
        <v>2469</v>
      </c>
      <c r="E12" s="2519" t="s">
        <v>2467</v>
      </c>
      <c r="F12" s="2640"/>
      <c r="G12" s="1591"/>
      <c r="H12" s="2580" t="s">
        <v>1827</v>
      </c>
      <c r="I12" s="2585" t="s">
        <v>2462</v>
      </c>
      <c r="J12" s="781">
        <f ca="1">ROUND(IF(M12="押一",M8*M10*M9/12*M13,IF(M12="押二",M8*M10*M9/12*2*M13,IF(M12="押三",M8*M10*M9/12*3*M13,J13*M13)))/10000,0)</f>
        <v>0</v>
      </c>
      <c r="K12" s="2522" t="s">
        <v>2469</v>
      </c>
      <c r="L12" s="2519" t="s">
        <v>2467</v>
      </c>
      <c r="M12" s="2640"/>
    </row>
    <row r="13" spans="1:25" ht="18" customHeight="1">
      <c r="A13" s="788"/>
      <c r="B13" s="2517" t="s">
        <v>2577</v>
      </c>
      <c r="C13" s="2520"/>
      <c r="D13" s="787"/>
      <c r="E13" s="2519" t="s">
        <v>2459</v>
      </c>
      <c r="F13" s="794">
        <f ca="1">'数据-取费表'!B39</f>
        <v>1.4999999999999999E-2</v>
      </c>
      <c r="G13" s="1591"/>
      <c r="H13" s="2581"/>
      <c r="I13" s="2517" t="s">
        <v>2577</v>
      </c>
      <c r="J13" s="2520"/>
      <c r="K13" s="2582"/>
      <c r="L13" s="2519" t="s">
        <v>2459</v>
      </c>
      <c r="M13" s="2514">
        <f ca="1">'数据-取费表'!B39</f>
        <v>1.4999999999999999E-2</v>
      </c>
    </row>
    <row r="14" spans="1:25" ht="18" customHeight="1" thickBot="1">
      <c r="A14" s="2557" t="s">
        <v>2471</v>
      </c>
      <c r="B14" s="2558" t="s">
        <v>2463</v>
      </c>
      <c r="C14" s="2559"/>
      <c r="D14" s="2560"/>
      <c r="E14" s="2561"/>
      <c r="F14" s="2562"/>
      <c r="G14" s="1591"/>
      <c r="H14" s="2570" t="s">
        <v>2471</v>
      </c>
      <c r="I14" s="2583" t="s">
        <v>2463</v>
      </c>
      <c r="J14" s="2584"/>
      <c r="K14" s="2560"/>
      <c r="L14" s="2561"/>
      <c r="M14" s="2573"/>
    </row>
    <row r="15" spans="1:25" ht="18" customHeight="1" thickTop="1">
      <c r="A15" s="1827" t="s">
        <v>1876</v>
      </c>
      <c r="B15" s="1825" t="s">
        <v>642</v>
      </c>
      <c r="C15" s="790">
        <f ca="1">ROUND(C31*F15,0)</f>
        <v>0</v>
      </c>
      <c r="D15" s="1832" t="s">
        <v>643</v>
      </c>
      <c r="E15" s="793" t="s">
        <v>644</v>
      </c>
      <c r="F15" s="798">
        <f ca="1">INDIRECT("'数据-取费表'!y"&amp;$G$1)</f>
        <v>0</v>
      </c>
      <c r="G15" s="1591"/>
      <c r="H15" s="1827" t="s">
        <v>1828</v>
      </c>
      <c r="I15" s="1825" t="s">
        <v>645</v>
      </c>
      <c r="J15" s="1817">
        <f ca="1">ROUND(J16*J17,0)</f>
        <v>0</v>
      </c>
      <c r="K15" s="1819" t="s">
        <v>643</v>
      </c>
      <c r="L15" s="799"/>
      <c r="M15" s="800"/>
    </row>
    <row r="16" spans="1:25" ht="18" customHeight="1">
      <c r="A16" s="801" t="s">
        <v>1877</v>
      </c>
      <c r="B16" s="782" t="s">
        <v>646</v>
      </c>
      <c r="C16" s="802">
        <f ca="1">INDIRECT("'数据-取费表'!m"&amp;$G$1)+INDIRECT("'数据-取费表'!t"&amp;$G$1)</f>
        <v>0</v>
      </c>
      <c r="D16" s="1977" t="s">
        <v>647</v>
      </c>
      <c r="E16" s="1978"/>
      <c r="F16" s="803"/>
      <c r="G16" s="1591"/>
      <c r="H16" s="801" t="s">
        <v>2071</v>
      </c>
      <c r="I16" s="2229" t="s">
        <v>2831</v>
      </c>
      <c r="J16" s="53">
        <f ca="1">C31</f>
        <v>0</v>
      </c>
      <c r="K16" s="26"/>
      <c r="L16" s="799"/>
      <c r="M16" s="800"/>
    </row>
    <row r="17" spans="1:25" s="2062" customFormat="1" ht="18" customHeight="1">
      <c r="A17" s="801" t="s">
        <v>1851</v>
      </c>
      <c r="B17" s="782" t="s">
        <v>648</v>
      </c>
      <c r="C17" s="53">
        <f ca="1">ROUND(C16*F17,0)</f>
        <v>0</v>
      </c>
      <c r="D17" s="804" t="s">
        <v>649</v>
      </c>
      <c r="E17" s="804" t="s">
        <v>650</v>
      </c>
      <c r="F17" s="805">
        <f>'数据-取费表'!B33</f>
        <v>0.03</v>
      </c>
      <c r="G17" s="1592"/>
      <c r="H17" s="801" t="s">
        <v>2072</v>
      </c>
      <c r="I17" s="782" t="s">
        <v>644</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1"/>
      <c r="H18" s="795" t="s">
        <v>1829</v>
      </c>
      <c r="I18" s="796" t="s">
        <v>652</v>
      </c>
      <c r="J18" s="797">
        <f ca="1">ROUND(J19+J24+J25+J26,0)</f>
        <v>0</v>
      </c>
      <c r="K18" s="26" t="s">
        <v>653</v>
      </c>
      <c r="L18" s="1980"/>
      <c r="M18" s="56"/>
    </row>
    <row r="19" spans="1:25" s="2062" customFormat="1" ht="18" customHeight="1">
      <c r="A19" s="801" t="s">
        <v>1853</v>
      </c>
      <c r="B19" s="782" t="s">
        <v>654</v>
      </c>
      <c r="C19" s="53">
        <f ca="1">ROUND(F19*(INDIRECT("'数据-取费表'!k"&amp;$G$1)+INDIRECT("'数据-取费表'!S"&amp;$G$1))/10000,0)</f>
        <v>0</v>
      </c>
      <c r="D19" s="782" t="s">
        <v>655</v>
      </c>
      <c r="E19" s="782" t="s">
        <v>656</v>
      </c>
      <c r="F19" s="56">
        <f>'数据-取费表'!B35</f>
        <v>150</v>
      </c>
      <c r="G19" s="1592"/>
      <c r="H19" s="801" t="s">
        <v>2071</v>
      </c>
      <c r="I19" s="782" t="s">
        <v>657</v>
      </c>
      <c r="J19" s="53">
        <f ca="1">ROUND(IF(项目基本情况!B11="自然人",J7*M19,J20+J21+J22),0)</f>
        <v>0</v>
      </c>
      <c r="K19" s="1977" t="s">
        <v>658</v>
      </c>
      <c r="L19" s="1975" t="s">
        <v>659</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1854</v>
      </c>
      <c r="B20" s="782" t="s">
        <v>660</v>
      </c>
      <c r="C20" s="53">
        <f ca="1">ROUND(C16*F20,0)</f>
        <v>0</v>
      </c>
      <c r="D20" s="782" t="s">
        <v>649</v>
      </c>
      <c r="E20" s="782" t="s">
        <v>650</v>
      </c>
      <c r="F20" s="807">
        <f>'数据-取费表'!B36</f>
        <v>1.4999999999999999E-2</v>
      </c>
      <c r="G20" s="1592"/>
      <c r="H20" s="801" t="s">
        <v>1833</v>
      </c>
      <c r="I20" s="782" t="s">
        <v>661</v>
      </c>
      <c r="J20" s="53">
        <f ca="1">ROUND(J7*M20/1.05,1)</f>
        <v>0</v>
      </c>
      <c r="K20" s="1975" t="s">
        <v>662</v>
      </c>
      <c r="L20" s="782" t="s">
        <v>650</v>
      </c>
      <c r="M20" s="807">
        <f>'数据-取费表'!B41</f>
        <v>6.3840000000000008E-2</v>
      </c>
      <c r="N20" s="2061"/>
      <c r="O20" s="2061"/>
      <c r="P20" s="2061"/>
      <c r="Q20" s="2061"/>
      <c r="R20" s="2061"/>
      <c r="S20" s="2061"/>
      <c r="T20" s="2061"/>
      <c r="U20" s="2061"/>
      <c r="V20" s="2061"/>
      <c r="W20" s="2061"/>
      <c r="X20" s="2061"/>
      <c r="Y20" s="2061"/>
    </row>
    <row r="21" spans="1:25" ht="18" customHeight="1">
      <c r="A21" s="801" t="s">
        <v>1878</v>
      </c>
      <c r="B21" s="782" t="s">
        <v>663</v>
      </c>
      <c r="C21" s="53">
        <f ca="1">SUM(C16:C20)</f>
        <v>0</v>
      </c>
      <c r="D21" s="261" t="s">
        <v>664</v>
      </c>
      <c r="E21" s="1980"/>
      <c r="F21" s="56"/>
      <c r="G21" s="1591"/>
      <c r="H21" s="1828" t="s">
        <v>1851</v>
      </c>
      <c r="I21" s="782" t="s">
        <v>665</v>
      </c>
      <c r="J21" s="53">
        <f ca="1">IF(K21="按租金收入计税",ROUND(J7*M21,1),ROUND(C31*F35*0.7,1))</f>
        <v>0</v>
      </c>
      <c r="K21" s="809" t="s">
        <v>666</v>
      </c>
      <c r="L21" s="782" t="s">
        <v>650</v>
      </c>
      <c r="M21" s="807">
        <f>IF(K21="按租金收入计税",'数据-取费表'!B51,'数据-取费表'!B50)</f>
        <v>1.2E-2</v>
      </c>
    </row>
    <row r="22" spans="1:25" s="2062" customFormat="1" ht="18" customHeight="1">
      <c r="A22" s="801" t="s">
        <v>1879</v>
      </c>
      <c r="B22" s="782" t="s">
        <v>667</v>
      </c>
      <c r="C22" s="53">
        <f ca="1">ROUND(C21*F22,0)</f>
        <v>0</v>
      </c>
      <c r="D22" s="810" t="s">
        <v>668</v>
      </c>
      <c r="E22" s="782" t="s">
        <v>650</v>
      </c>
      <c r="F22" s="807">
        <f>'数据-取费表'!B37</f>
        <v>1.4999999999999999E-2</v>
      </c>
      <c r="G22" s="1592"/>
      <c r="H22" s="1830" t="s">
        <v>1852</v>
      </c>
      <c r="I22" s="1820" t="s">
        <v>669</v>
      </c>
      <c r="J22" s="54">
        <f ca="1">ROUND(M22*M23/10000,0)</f>
        <v>0</v>
      </c>
      <c r="K22" s="812" t="s">
        <v>670</v>
      </c>
      <c r="L22" s="782" t="s">
        <v>671</v>
      </c>
      <c r="M22" s="638">
        <f>'数据-取费表'!B52</f>
        <v>6</v>
      </c>
      <c r="N22" s="2061"/>
      <c r="O22" s="2061"/>
      <c r="P22" s="2061"/>
      <c r="Q22" s="2061"/>
      <c r="R22" s="2061"/>
      <c r="S22" s="2061"/>
      <c r="T22" s="2061"/>
      <c r="U22" s="2061"/>
      <c r="V22" s="2061"/>
      <c r="W22" s="2061"/>
      <c r="X22" s="2061"/>
      <c r="Y22" s="2061"/>
    </row>
    <row r="23" spans="1:25" s="2062" customFormat="1" ht="18" customHeight="1">
      <c r="A23" s="801" t="s">
        <v>1880</v>
      </c>
      <c r="B23" s="782" t="s">
        <v>672</v>
      </c>
      <c r="C23" s="53" t="s">
        <v>1</v>
      </c>
      <c r="D23" s="810" t="s">
        <v>673</v>
      </c>
      <c r="E23" s="782" t="s">
        <v>674</v>
      </c>
      <c r="F23" s="807">
        <f>'数据-取费表'!B38</f>
        <v>0.03</v>
      </c>
      <c r="G23" s="1592"/>
      <c r="H23" s="1831"/>
      <c r="I23" s="1822"/>
      <c r="J23" s="69"/>
      <c r="K23" s="814"/>
      <c r="L23" s="782" t="s">
        <v>675</v>
      </c>
      <c r="M23" s="783">
        <f ca="1">INDIRECT("'数据-取费表'!r"&amp;$G$1)</f>
        <v>0</v>
      </c>
      <c r="N23" s="2061"/>
      <c r="O23" s="2061"/>
      <c r="P23" s="2061"/>
      <c r="Q23" s="2061"/>
      <c r="R23" s="2061"/>
      <c r="S23" s="2061"/>
      <c r="T23" s="2061"/>
      <c r="U23" s="2061"/>
      <c r="V23" s="2061"/>
      <c r="W23" s="2061"/>
      <c r="X23" s="2061"/>
      <c r="Y23" s="2061"/>
    </row>
    <row r="24" spans="1:25" ht="18" customHeight="1">
      <c r="A24" s="801" t="s">
        <v>1881</v>
      </c>
      <c r="B24" s="782" t="s">
        <v>676</v>
      </c>
      <c r="C24" s="53"/>
      <c r="D24" s="2591" t="str">
        <f>IF(F25&lt;=1,"单利计息。","复利计息。")&amp;"建造成本、管理费用、销售费用产生的利息。"</f>
        <v>复利计息。建造成本、管理费用、销售费用产生的利息。</v>
      </c>
      <c r="E24" s="1980"/>
      <c r="F24" s="56"/>
      <c r="G24" s="1591"/>
      <c r="H24" s="1829" t="s">
        <v>2072</v>
      </c>
      <c r="I24" s="782" t="s">
        <v>677</v>
      </c>
      <c r="J24" s="53">
        <f ca="1">ROUND(J16*M24,0)</f>
        <v>0</v>
      </c>
      <c r="K24" s="1975" t="s">
        <v>678</v>
      </c>
      <c r="L24" s="782" t="s">
        <v>650</v>
      </c>
      <c r="M24" s="815">
        <f ca="1">INDIRECT("'数据-取费表'!Ak"&amp;$G$1)</f>
        <v>0</v>
      </c>
    </row>
    <row r="25" spans="1:25" s="2062" customFormat="1" ht="18" customHeight="1">
      <c r="A25" s="801" t="s">
        <v>1877</v>
      </c>
      <c r="B25" s="782" t="s">
        <v>2439</v>
      </c>
      <c r="C25" s="53">
        <f ca="1">ROUND(IF('数据-取费表'!B22&lt;=1,(C21+C22)*F26*F25/2,(C21+C22)*(POWER((1+F26),F25/2)-1)),0)</f>
        <v>0</v>
      </c>
      <c r="D25" s="2590" t="str">
        <f>IF(F25&lt;=1,"(建造成本+管理费用)×利率×(建设周期÷2)","(建造成本+管理费用)×((1+利率)^(建设周期÷2)-1)")</f>
        <v>(建造成本+管理费用)×((1+利率)^(建设周期÷2)-1)</v>
      </c>
      <c r="E25" s="782" t="s">
        <v>679</v>
      </c>
      <c r="F25" s="638">
        <f>'数据-取费表'!B20</f>
        <v>2</v>
      </c>
      <c r="G25" s="1592"/>
      <c r="H25" s="801" t="s">
        <v>1880</v>
      </c>
      <c r="I25" s="782" t="s">
        <v>680</v>
      </c>
      <c r="J25" s="53">
        <f ca="1">ROUND(J15*M25,0)</f>
        <v>0</v>
      </c>
      <c r="K25" s="1975" t="s">
        <v>681</v>
      </c>
      <c r="L25" s="782" t="s">
        <v>650</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1851</v>
      </c>
      <c r="B26" s="782" t="s">
        <v>682</v>
      </c>
      <c r="C26" s="53">
        <f ca="1">ROUND(IF('数据-取费表'!B22&lt;=1,F23*F26*F25/2,F23*(POWER((1+F26),F25/2)-1)),4)</f>
        <v>1.4E-3</v>
      </c>
      <c r="D26" s="2590" t="str">
        <f>IF(F25&lt;=1,"销售费用×利率×(建设周期÷2)","销售费用×((1+利率)^(建设周期÷2)-1)")</f>
        <v>销售费用×((1+利率)^(建设周期÷2)-1)</v>
      </c>
      <c r="E26" s="782" t="s">
        <v>683</v>
      </c>
      <c r="F26" s="817">
        <f ca="1">'数据-取费表'!B40</f>
        <v>4.7500000000000001E-2</v>
      </c>
      <c r="G26" s="1592"/>
      <c r="H26" s="801" t="s">
        <v>1881</v>
      </c>
      <c r="I26" s="782" t="s">
        <v>667</v>
      </c>
      <c r="J26" s="53">
        <f ca="1">ROUND(J7*M26,0)</f>
        <v>0</v>
      </c>
      <c r="K26" s="1975" t="s">
        <v>684</v>
      </c>
      <c r="L26" s="782" t="s">
        <v>650</v>
      </c>
      <c r="M26" s="792">
        <f ca="1">INDIRECT("'数据-取费表'!Am"&amp;$G$1)</f>
        <v>0</v>
      </c>
      <c r="N26" s="2061"/>
      <c r="O26" s="2061"/>
      <c r="P26" s="2061"/>
      <c r="Q26" s="2061"/>
      <c r="R26" s="2061"/>
      <c r="S26" s="2061"/>
      <c r="T26" s="2061"/>
      <c r="U26" s="2061"/>
      <c r="V26" s="2061"/>
      <c r="W26" s="2061"/>
      <c r="X26" s="2061"/>
      <c r="Y26" s="2061"/>
    </row>
    <row r="27" spans="1:25" ht="18" customHeight="1">
      <c r="A27" s="801" t="s">
        <v>1883</v>
      </c>
      <c r="B27" s="782" t="s">
        <v>685</v>
      </c>
      <c r="C27" s="53"/>
      <c r="D27" s="261" t="s">
        <v>686</v>
      </c>
      <c r="E27" s="1980"/>
      <c r="F27" s="56"/>
      <c r="G27" s="1591"/>
      <c r="H27" s="795" t="s">
        <v>1830</v>
      </c>
      <c r="I27" s="2975" t="s">
        <v>2828</v>
      </c>
      <c r="J27" s="797">
        <f ca="1">J7-J18</f>
        <v>0</v>
      </c>
      <c r="K27" s="1977" t="s">
        <v>701</v>
      </c>
      <c r="L27" s="1979"/>
      <c r="M27" s="818"/>
    </row>
    <row r="28" spans="1:25" ht="18" customHeight="1">
      <c r="A28" s="801" t="s">
        <v>1877</v>
      </c>
      <c r="B28" s="782" t="s">
        <v>2440</v>
      </c>
      <c r="C28" s="53">
        <f ca="1">ROUND((C21+C22)*F28,0)</f>
        <v>0</v>
      </c>
      <c r="D28" s="810" t="s">
        <v>702</v>
      </c>
      <c r="E28" s="793" t="s">
        <v>703</v>
      </c>
      <c r="F28" s="792">
        <f ca="1">INDIRECT("'数据-取费表'!q"&amp;$G$1)</f>
        <v>0</v>
      </c>
      <c r="G28" s="1591"/>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1"/>
      <c r="H29" s="784"/>
      <c r="I29" s="785"/>
      <c r="J29" s="786"/>
      <c r="K29" s="819" t="s">
        <v>708</v>
      </c>
      <c r="L29" s="782" t="s">
        <v>709</v>
      </c>
      <c r="M29" s="820">
        <f ca="1">INDIRECT("'数据-取费表'!ag"&amp;$G$1)</f>
        <v>0</v>
      </c>
    </row>
    <row r="30" spans="1:25" s="2062" customFormat="1" ht="18" customHeight="1">
      <c r="A30" s="801" t="s">
        <v>1884</v>
      </c>
      <c r="B30" s="782" t="s">
        <v>688</v>
      </c>
      <c r="C30" s="53">
        <f>ROUND(F30/(1+'数据-取费表'!C42),4)</f>
        <v>6.0499999999999998E-2</v>
      </c>
      <c r="D30" s="810" t="s">
        <v>710</v>
      </c>
      <c r="E30" s="782" t="s">
        <v>650</v>
      </c>
      <c r="F30" s="807">
        <f>'数据-取费表'!B41</f>
        <v>6.3840000000000008E-2</v>
      </c>
      <c r="G30" s="1592"/>
      <c r="H30" s="788"/>
      <c r="I30" s="789"/>
      <c r="J30" s="790"/>
      <c r="K30" s="814"/>
      <c r="L30" s="782" t="s">
        <v>711</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79" t="s">
        <v>1885</v>
      </c>
      <c r="B31" s="2561" t="s">
        <v>2829</v>
      </c>
      <c r="C31" s="2563">
        <f ca="1">ROUND((C21+C22+C25+C28)/(1-F23-C26-C29-C30),0)</f>
        <v>0</v>
      </c>
      <c r="D31" s="2564"/>
      <c r="E31" s="2565"/>
      <c r="F31" s="2566"/>
      <c r="G31" s="1592"/>
      <c r="H31" s="821" t="s">
        <v>1874</v>
      </c>
      <c r="I31" s="2976" t="s">
        <v>2830</v>
      </c>
      <c r="J31" s="823">
        <f ca="1">ROUND(J28/(1+F45)^F46,0)</f>
        <v>0</v>
      </c>
      <c r="K31" s="824" t="s">
        <v>689</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0">
        <f ca="1">ROUND(C33+C38+C39+C40,0)</f>
        <v>0</v>
      </c>
      <c r="D32" s="1819" t="s">
        <v>653</v>
      </c>
      <c r="E32" s="2509"/>
      <c r="F32" s="2513"/>
      <c r="G32" s="2060"/>
      <c r="H32" s="2063"/>
      <c r="I32" s="2064"/>
      <c r="J32" s="2065"/>
      <c r="K32" s="2066"/>
      <c r="L32" s="2067"/>
      <c r="M32" s="2068"/>
    </row>
    <row r="33" spans="1:18" ht="18" customHeight="1">
      <c r="A33" s="801" t="s">
        <v>1878</v>
      </c>
      <c r="B33" s="782" t="s">
        <v>657</v>
      </c>
      <c r="C33" s="53">
        <f ca="1">ROUND(IF(项目基本情况!B11="自然人",C7*F33,C34+C35+C36),1)</f>
        <v>0</v>
      </c>
      <c r="D33" s="1977" t="s">
        <v>658</v>
      </c>
      <c r="E33" s="1975" t="s">
        <v>691</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1877</v>
      </c>
      <c r="B34" s="782" t="s">
        <v>661</v>
      </c>
      <c r="C34" s="53">
        <f ca="1">ROUND(C7*F34/1.05,1)</f>
        <v>0</v>
      </c>
      <c r="D34" s="1975" t="s">
        <v>662</v>
      </c>
      <c r="E34" s="782" t="s">
        <v>650</v>
      </c>
      <c r="F34" s="807">
        <f>'数据-取费表'!B41</f>
        <v>6.3840000000000008E-2</v>
      </c>
      <c r="G34" s="2060"/>
      <c r="H34" s="2069"/>
      <c r="I34" s="2070"/>
      <c r="J34" s="2071"/>
      <c r="K34" s="2072"/>
      <c r="L34" s="2073"/>
      <c r="M34" s="2074"/>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60"/>
      <c r="H35" s="2075"/>
      <c r="I35" s="2075"/>
      <c r="J35" s="2075"/>
      <c r="K35" s="2076"/>
      <c r="L35" s="2075"/>
      <c r="M35" s="2075"/>
    </row>
    <row r="36" spans="1:18" ht="18" customHeight="1">
      <c r="A36" s="811" t="s">
        <v>1882</v>
      </c>
      <c r="B36" s="341" t="s">
        <v>669</v>
      </c>
      <c r="C36" s="54">
        <f ca="1">ROUND(F36*F37/10000,1)</f>
        <v>0</v>
      </c>
      <c r="D36" s="812" t="s">
        <v>670</v>
      </c>
      <c r="E36" s="782" t="s">
        <v>671</v>
      </c>
      <c r="F36" s="638">
        <f>'数据-取费表'!B52</f>
        <v>6</v>
      </c>
      <c r="G36" s="2060"/>
      <c r="H36" s="2063"/>
      <c r="I36" s="3366"/>
      <c r="J36" s="2077"/>
      <c r="K36" s="2078"/>
      <c r="L36" s="2077"/>
      <c r="M36" s="2077"/>
    </row>
    <row r="37" spans="1:18" ht="18" customHeight="1">
      <c r="A37" s="813"/>
      <c r="B37" s="791"/>
      <c r="C37" s="69"/>
      <c r="D37" s="814"/>
      <c r="E37" s="782" t="s">
        <v>675</v>
      </c>
      <c r="F37" s="783">
        <f ca="1">INDIRECT("'数据-取费表'!r"&amp;$G$1)</f>
        <v>0</v>
      </c>
      <c r="G37" s="2060"/>
      <c r="H37" s="2063"/>
      <c r="I37" s="3366"/>
      <c r="J37" s="2075"/>
      <c r="K37" s="2076"/>
      <c r="L37" s="2075"/>
      <c r="M37" s="2075"/>
    </row>
    <row r="38" spans="1:18" ht="18" customHeight="1">
      <c r="A38" s="801" t="s">
        <v>1879</v>
      </c>
      <c r="B38" s="782" t="s">
        <v>677</v>
      </c>
      <c r="C38" s="53">
        <f ca="1">ROUND(C31*F38,1)</f>
        <v>0</v>
      </c>
      <c r="D38" s="1975" t="s">
        <v>692</v>
      </c>
      <c r="E38" s="782" t="s">
        <v>650</v>
      </c>
      <c r="F38" s="815">
        <f ca="1">INDIRECT("'数据-取费表'!Ak"&amp;$G$1)</f>
        <v>0</v>
      </c>
      <c r="G38" s="2060"/>
      <c r="H38" s="2075"/>
      <c r="I38" s="2079"/>
      <c r="J38" s="1986"/>
      <c r="K38" s="2080"/>
      <c r="L38" s="2075"/>
      <c r="M38" s="2075"/>
    </row>
    <row r="39" spans="1:18" ht="18" customHeight="1">
      <c r="A39" s="801" t="s">
        <v>1880</v>
      </c>
      <c r="B39" s="782" t="s">
        <v>680</v>
      </c>
      <c r="C39" s="53">
        <f ca="1">ROUND(C15*F39,1)</f>
        <v>0</v>
      </c>
      <c r="D39" s="1975" t="s">
        <v>681</v>
      </c>
      <c r="E39" s="782" t="s">
        <v>650</v>
      </c>
      <c r="F39" s="816">
        <f ca="1">INDIRECT("'数据-取费表'!Al"&amp;$G$1)</f>
        <v>0</v>
      </c>
      <c r="G39" s="2060"/>
      <c r="H39" s="2075"/>
      <c r="I39" s="2079"/>
      <c r="J39" s="1986"/>
      <c r="K39" s="2080"/>
      <c r="L39" s="2075"/>
      <c r="M39" s="2075"/>
    </row>
    <row r="40" spans="1:18" ht="18" customHeight="1" thickBot="1">
      <c r="A40" s="2579" t="s">
        <v>1881</v>
      </c>
      <c r="B40" s="2565" t="s">
        <v>667</v>
      </c>
      <c r="C40" s="2563">
        <f ca="1">ROUND(C7*F40,1)</f>
        <v>0</v>
      </c>
      <c r="D40" s="2564" t="s">
        <v>684</v>
      </c>
      <c r="E40" s="2565" t="s">
        <v>650</v>
      </c>
      <c r="F40" s="2562">
        <f ca="1">INDIRECT("'数据-取费表'!Am"&amp;$G$1)</f>
        <v>0</v>
      </c>
      <c r="G40" s="2060"/>
      <c r="H40" s="2075"/>
      <c r="I40" s="2079"/>
      <c r="J40" s="1986"/>
      <c r="K40" s="2081"/>
      <c r="L40" s="2075"/>
      <c r="M40" s="2075"/>
    </row>
    <row r="41" spans="1:18" ht="18" customHeight="1" thickTop="1">
      <c r="A41" s="1827">
        <v>4</v>
      </c>
      <c r="B41" s="1825" t="s">
        <v>693</v>
      </c>
      <c r="C41" s="1351"/>
      <c r="D41" s="1352"/>
      <c r="E41" s="1352"/>
      <c r="F41" s="1353"/>
      <c r="G41" s="2060"/>
      <c r="H41" s="2060"/>
      <c r="I41" s="2060"/>
      <c r="J41" s="2060"/>
      <c r="K41" s="2081"/>
      <c r="L41" s="2060"/>
      <c r="M41" s="2060"/>
    </row>
    <row r="42" spans="1:18" ht="18" customHeight="1">
      <c r="A42" s="801" t="s">
        <v>1878</v>
      </c>
      <c r="B42" s="833" t="s">
        <v>694</v>
      </c>
      <c r="C42" s="827">
        <f ca="1">C7-C32</f>
        <v>0</v>
      </c>
      <c r="D42" s="1977" t="s">
        <v>695</v>
      </c>
      <c r="E42" s="1979"/>
      <c r="F42" s="818"/>
      <c r="G42" s="2060"/>
      <c r="H42" s="2060"/>
      <c r="I42" s="2060"/>
      <c r="J42" s="2060"/>
      <c r="K42" s="2081"/>
      <c r="L42" s="2060"/>
      <c r="M42" s="2060"/>
    </row>
    <row r="43" spans="1:18" ht="18" customHeight="1">
      <c r="A43" s="801" t="s">
        <v>1879</v>
      </c>
      <c r="B43" s="833" t="s">
        <v>712</v>
      </c>
      <c r="C43" s="834">
        <f ca="1">ROUND(C15*F43,0)</f>
        <v>0</v>
      </c>
      <c r="D43" s="1354" t="s">
        <v>713</v>
      </c>
      <c r="E43" s="3086" t="s">
        <v>2968</v>
      </c>
      <c r="F43" s="3087">
        <f ca="1">INDIRECT("'数据-取费表'!j"&amp;$G$1)</f>
        <v>0</v>
      </c>
      <c r="G43" s="2060"/>
      <c r="H43" s="2060"/>
      <c r="I43" s="2060"/>
      <c r="J43" s="2060"/>
      <c r="K43" s="2081"/>
      <c r="L43" s="2060"/>
      <c r="M43" s="2060"/>
    </row>
    <row r="44" spans="1:18" ht="18" customHeight="1">
      <c r="A44" s="801" t="s">
        <v>1880</v>
      </c>
      <c r="B44" s="833" t="s">
        <v>714</v>
      </c>
      <c r="C44" s="1355">
        <f ca="1">C42-C43</f>
        <v>0</v>
      </c>
      <c r="D44" s="463" t="s">
        <v>715</v>
      </c>
      <c r="E44" s="464"/>
      <c r="F44" s="465"/>
      <c r="G44" s="2060"/>
      <c r="H44" s="2060"/>
      <c r="I44" s="2060"/>
      <c r="J44" s="2060"/>
      <c r="K44" s="2081"/>
      <c r="L44" s="2060"/>
      <c r="M44" s="2060"/>
    </row>
    <row r="45" spans="1:18" ht="18" customHeight="1">
      <c r="A45" s="801" t="s">
        <v>1881</v>
      </c>
      <c r="B45" s="1354" t="s">
        <v>716</v>
      </c>
      <c r="C45" s="2997">
        <f ca="1">ROUND(-PV(F45,F46,C44,0),0)</f>
        <v>0</v>
      </c>
      <c r="D45" s="1356" t="s">
        <v>717</v>
      </c>
      <c r="E45" s="804" t="s">
        <v>718</v>
      </c>
      <c r="F45" s="828">
        <f ca="1">INDIRECT("'数据-取费表'!h"&amp;$G$1)</f>
        <v>0</v>
      </c>
      <c r="G45" s="2060"/>
      <c r="H45" s="2060"/>
      <c r="I45" s="2060"/>
      <c r="J45" s="2060"/>
      <c r="K45" s="2081"/>
      <c r="L45" s="2060"/>
      <c r="M45" s="2060"/>
    </row>
    <row r="46" spans="1:18" ht="18" customHeight="1" thickBot="1">
      <c r="A46" s="829"/>
      <c r="B46" s="1357"/>
      <c r="C46" s="1358"/>
      <c r="D46" s="1359"/>
      <c r="E46" s="3088" t="s">
        <v>2971</v>
      </c>
      <c r="F46" s="826">
        <f ca="1">IF(INDIRECT("'数据-取费表'!af"&amp;$G$1)=0,INDIRECT("'数据-取费表'!ae"&amp;$G$1),INDIRECT("'数据-取费表'!af"&amp;$G$1))</f>
        <v>34.29</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1"/>
      <c r="Q47" s="1603"/>
      <c r="R47" s="1591"/>
    </row>
    <row r="48" spans="1:18" s="2057" customFormat="1" ht="18" customHeight="1" thickBot="1">
      <c r="A48" s="2082"/>
      <c r="C48" s="2085"/>
      <c r="D48" s="2086"/>
      <c r="E48" s="2086"/>
      <c r="F48" s="2087"/>
      <c r="G48" s="2088"/>
      <c r="I48" s="2380" t="s">
        <v>2345</v>
      </c>
      <c r="J48" s="2385"/>
      <c r="K48" s="2386" t="s">
        <v>2351</v>
      </c>
      <c r="L48" s="2387">
        <f ca="1">INDIRECT("'数据-取费表'!d"&amp;$G$1)</f>
        <v>0</v>
      </c>
      <c r="M48" s="3083"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371"/>
      <c r="L54" s="3372"/>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060" t="s">
        <v>2357</v>
      </c>
      <c r="J56" s="3084" t="e">
        <f ca="1">ROUND(IF(J48="钢混",J58/J51,1-(1-2%)*(J51-J58)/J51),3)</f>
        <v>#VALUE!</v>
      </c>
      <c r="K56" s="2399" t="s">
        <v>2358</v>
      </c>
      <c r="L56" s="2400"/>
      <c r="O56" s="2426" t="s">
        <v>2413</v>
      </c>
      <c r="P56" s="1591"/>
      <c r="Q56" s="1603"/>
      <c r="R56" s="1591"/>
    </row>
    <row r="57" spans="1:18" s="2057" customFormat="1" ht="43.5" thickBot="1">
      <c r="A57" s="2094"/>
      <c r="B57" s="2095"/>
      <c r="C57" s="2095"/>
      <c r="I57" s="2401" t="s">
        <v>2359</v>
      </c>
      <c r="J57" s="3083" t="s">
        <v>1680</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085"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062" t="s">
        <v>2947</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063">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064">
        <v>0</v>
      </c>
      <c r="O65" s="2426" t="s">
        <v>2417</v>
      </c>
      <c r="P65" s="1591"/>
      <c r="Q65" s="1603"/>
      <c r="R65" s="1591"/>
    </row>
    <row r="66" spans="1:18" s="2057" customFormat="1" ht="15.75" thickBot="1">
      <c r="A66" s="2094"/>
      <c r="B66" s="2095"/>
      <c r="C66" s="2095"/>
      <c r="I66" s="2407" t="s">
        <v>2374</v>
      </c>
      <c r="J66" s="2408">
        <v>40</v>
      </c>
      <c r="K66" s="2408">
        <v>30</v>
      </c>
      <c r="L66" s="2408">
        <v>50</v>
      </c>
      <c r="M66" s="3063">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375" t="s">
        <v>2580</v>
      </c>
      <c r="C1" s="3375"/>
      <c r="D1" s="3375"/>
      <c r="E1" s="3375"/>
      <c r="F1" s="3375"/>
      <c r="G1" s="3374" t="s">
        <v>2581</v>
      </c>
      <c r="H1" s="3374"/>
      <c r="I1" s="3374"/>
      <c r="J1" s="3374"/>
      <c r="K1" s="3374"/>
      <c r="L1" s="3374"/>
      <c r="N1" s="3374" t="s">
        <v>2582</v>
      </c>
      <c r="O1" s="3374"/>
      <c r="P1" s="3374"/>
      <c r="Q1" s="3374"/>
      <c r="R1" s="2674"/>
      <c r="S1" s="3374" t="s">
        <v>2583</v>
      </c>
      <c r="T1" s="3374"/>
      <c r="U1" s="3374"/>
      <c r="V1" s="3374"/>
      <c r="X1" s="3373" t="s">
        <v>2644</v>
      </c>
      <c r="Y1" s="3374"/>
      <c r="Z1" s="3374"/>
      <c r="AA1" s="3374"/>
      <c r="AB1" s="3374"/>
      <c r="AD1" s="3373" t="s">
        <v>2649</v>
      </c>
      <c r="AE1" s="3374"/>
      <c r="AF1" s="3374"/>
      <c r="AG1" s="3374"/>
      <c r="AH1" s="3374"/>
    </row>
    <row r="2" spans="1:34" s="2776" customFormat="1" ht="14.25" thickBot="1">
      <c r="B2" s="2785" t="s">
        <v>2584</v>
      </c>
      <c r="C2" s="2785" t="s">
        <v>2647</v>
      </c>
      <c r="D2" s="2777" t="s">
        <v>1646</v>
      </c>
      <c r="E2" s="2777" t="s">
        <v>1953</v>
      </c>
      <c r="F2" s="2785" t="s">
        <v>2648</v>
      </c>
      <c r="G2" s="2780"/>
      <c r="H2" s="2779"/>
      <c r="I2" s="2785" t="s">
        <v>2962</v>
      </c>
      <c r="J2" s="2777" t="s">
        <v>2964</v>
      </c>
      <c r="K2" s="2777" t="s">
        <v>2965</v>
      </c>
      <c r="L2" s="2785" t="s">
        <v>2966</v>
      </c>
      <c r="N2" s="2785" t="s">
        <v>2584</v>
      </c>
      <c r="O2" s="2777" t="s">
        <v>2963</v>
      </c>
      <c r="P2" s="2777" t="s">
        <v>1953</v>
      </c>
      <c r="Q2" s="2785" t="s">
        <v>2648</v>
      </c>
      <c r="R2" s="2778"/>
      <c r="S2" s="2785" t="s">
        <v>2584</v>
      </c>
      <c r="T2" s="2777" t="s">
        <v>2963</v>
      </c>
      <c r="U2" s="2777" t="s">
        <v>1953</v>
      </c>
      <c r="V2" s="2785" t="s">
        <v>2648</v>
      </c>
      <c r="X2" s="2785" t="s">
        <v>2584</v>
      </c>
      <c r="Y2" s="2785" t="s">
        <v>2647</v>
      </c>
      <c r="Z2" s="2777" t="s">
        <v>1646</v>
      </c>
      <c r="AA2" s="2777" t="s">
        <v>1953</v>
      </c>
      <c r="AB2" s="2785" t="s">
        <v>2648</v>
      </c>
      <c r="AD2" s="2785" t="s">
        <v>2584</v>
      </c>
      <c r="AE2" s="2785" t="s">
        <v>2647</v>
      </c>
      <c r="AF2" s="2777" t="s">
        <v>1646</v>
      </c>
      <c r="AG2" s="2777" t="s">
        <v>1953</v>
      </c>
      <c r="AH2" s="2785" t="s">
        <v>2648</v>
      </c>
    </row>
    <row r="3" spans="1:34" s="2769" customFormat="1" ht="14.25">
      <c r="B3" s="2770"/>
      <c r="C3" s="2770"/>
      <c r="D3" s="2771"/>
      <c r="E3" s="2771"/>
      <c r="F3" s="2770"/>
      <c r="G3" s="2775"/>
      <c r="H3" s="2772"/>
      <c r="I3" s="3094"/>
      <c r="J3" s="3094"/>
      <c r="K3" s="3094"/>
      <c r="L3" s="3094"/>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2974</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094">
        <f>ROUND(AVERAGE(I5:I20),2)</f>
        <v>2.4900000000000002</v>
      </c>
      <c r="J4" s="3094">
        <f t="shared" ref="J4:L4" si="6">ROUND(AVERAGE(J5:J20),2)</f>
        <v>1.64</v>
      </c>
      <c r="K4" s="3094">
        <f t="shared" si="6"/>
        <v>2.78</v>
      </c>
      <c r="L4" s="3094">
        <f t="shared" si="6"/>
        <v>1.39</v>
      </c>
      <c r="N4" s="3092">
        <f t="shared" ref="N4:N9" si="7">I4/100</f>
        <v>2.4900000000000002E-2</v>
      </c>
      <c r="O4" s="3093">
        <f t="shared" ref="O4" si="8">J4/100</f>
        <v>1.6399999999999998E-2</v>
      </c>
      <c r="P4" s="3093">
        <f t="shared" ref="P4" si="9">K4/100</f>
        <v>2.7799999999999998E-2</v>
      </c>
      <c r="Q4" s="3093">
        <f t="shared" ref="Q4" si="10">L4/100</f>
        <v>1.3899999999999999E-2</v>
      </c>
      <c r="R4" s="2773"/>
      <c r="S4" s="2775"/>
      <c r="T4" s="2773"/>
      <c r="U4" s="2773"/>
      <c r="V4" s="2773"/>
      <c r="X4" s="2774"/>
      <c r="Y4" s="2774"/>
      <c r="Z4" s="2774"/>
      <c r="AA4" s="2774"/>
      <c r="AB4" s="2774"/>
      <c r="AD4" s="2694"/>
      <c r="AE4" s="2694"/>
      <c r="AF4" s="2694"/>
      <c r="AG4" s="2694"/>
      <c r="AH4" s="2694"/>
    </row>
    <row r="5" spans="1:34" s="3077" customFormat="1">
      <c r="A5" s="3075" t="s">
        <v>2973</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382">
        <v>2017</v>
      </c>
      <c r="H5" s="3076">
        <v>4</v>
      </c>
      <c r="I5" s="3095">
        <f>ROUND(AVERAGE(I6:I20),2)</f>
        <v>2.4900000000000002</v>
      </c>
      <c r="J5" s="3095">
        <f>ROUND(AVERAGE(J6:J20),2)</f>
        <v>1.64</v>
      </c>
      <c r="K5" s="3095">
        <f>ROUND(AVERAGE(K6:K20),2)</f>
        <v>2.78</v>
      </c>
      <c r="L5" s="3095">
        <f>ROUND(AVERAGE(L6:L20),2)</f>
        <v>1.39</v>
      </c>
      <c r="N5" s="2782">
        <f t="shared" si="7"/>
        <v>2.4900000000000002E-2</v>
      </c>
      <c r="O5" s="2782">
        <f t="shared" ref="O5" si="15">J5/100</f>
        <v>1.6399999999999998E-2</v>
      </c>
      <c r="P5" s="2782">
        <f t="shared" ref="P5" si="16">K5/100</f>
        <v>2.7799999999999998E-2</v>
      </c>
      <c r="Q5" s="2782">
        <f t="shared" ref="Q5" si="17">L5/100</f>
        <v>1.3899999999999999E-2</v>
      </c>
      <c r="R5" s="3078"/>
      <c r="S5" s="3079"/>
      <c r="T5" s="3078"/>
      <c r="U5" s="3078"/>
      <c r="V5" s="3078"/>
      <c r="W5" s="2783" t="s">
        <v>2645</v>
      </c>
      <c r="X5" s="3080">
        <f>ROUND(SUMPRODUCT(PRODUCT(1+N5:N$19)),4)</f>
        <v>1.4383999999999999</v>
      </c>
      <c r="Y5" s="3080">
        <f>ROUND(SUMPRODUCT(PRODUCT(1+O5:O$19)),4)</f>
        <v>1.2667999999999999</v>
      </c>
      <c r="Z5" s="3080">
        <f t="shared" si="0"/>
        <v>1.2667999999999999</v>
      </c>
      <c r="AA5" s="3080">
        <f>ROUND(SUMPRODUCT(PRODUCT(1+P5:P$19)),4)</f>
        <v>1.4982</v>
      </c>
      <c r="AB5" s="3080">
        <f>ROUND(SUMPRODUCT(PRODUCT(1+Q5:Q$19)),4)</f>
        <v>1.2303999999999999</v>
      </c>
      <c r="AD5" s="3081">
        <f>ROUND(AVERAGE(I5:I$20)/100,4)</f>
        <v>2.4899999999999999E-2</v>
      </c>
      <c r="AE5" s="3081">
        <f>ROUND(AVERAGE(J5:J$20)/100,4)</f>
        <v>1.6400000000000001E-2</v>
      </c>
      <c r="AF5" s="3081">
        <f t="shared" si="1"/>
        <v>1.6400000000000001E-2</v>
      </c>
      <c r="AG5" s="3081">
        <f>ROUND(AVERAGE(K5:K$20)/100,4)</f>
        <v>2.7799999999999998E-2</v>
      </c>
      <c r="AH5" s="3081">
        <f>ROUND(AVERAGE(L5:L$20)/100,4)</f>
        <v>1.3899999999999999E-2</v>
      </c>
    </row>
    <row r="6" spans="1:34" s="3077" customFormat="1">
      <c r="A6" s="2675" t="s">
        <v>2585</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377"/>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078"/>
      <c r="S6" s="2678"/>
      <c r="T6" s="3091"/>
      <c r="U6" s="3091"/>
      <c r="V6" s="3091"/>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2586</v>
      </c>
      <c r="B7" s="2689">
        <f t="shared" si="18"/>
        <v>419.31181600000002</v>
      </c>
      <c r="C7" s="2689">
        <f t="shared" si="18"/>
        <v>313.95436800000004</v>
      </c>
      <c r="D7" s="2689">
        <f t="shared" si="3"/>
        <v>313.95436800000004</v>
      </c>
      <c r="E7" s="2689">
        <f t="shared" si="19"/>
        <v>596.63028431999999</v>
      </c>
      <c r="F7" s="2689">
        <f t="shared" si="19"/>
        <v>274.74220703999998</v>
      </c>
      <c r="G7" s="3377"/>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2587</v>
      </c>
      <c r="B8" s="2689">
        <f t="shared" si="18"/>
        <v>405.524</v>
      </c>
      <c r="C8" s="2689">
        <f t="shared" si="18"/>
        <v>307.79840000000002</v>
      </c>
      <c r="D8" s="2689">
        <f t="shared" si="3"/>
        <v>307.79840000000002</v>
      </c>
      <c r="E8" s="2689">
        <f t="shared" si="19"/>
        <v>574.67759999999998</v>
      </c>
      <c r="F8" s="2689">
        <f t="shared" si="19"/>
        <v>270.20280000000002</v>
      </c>
      <c r="G8" s="3378"/>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972</v>
      </c>
      <c r="B9" s="2681">
        <v>392</v>
      </c>
      <c r="C9" s="2681">
        <v>302</v>
      </c>
      <c r="D9" s="2681">
        <f t="shared" si="3"/>
        <v>302</v>
      </c>
      <c r="E9" s="2681">
        <v>553</v>
      </c>
      <c r="F9" s="2682">
        <v>266</v>
      </c>
      <c r="G9" s="3382">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971</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377"/>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961</v>
      </c>
      <c r="B11" s="2689">
        <f t="shared" si="27"/>
        <v>360.06949782209392</v>
      </c>
      <c r="C11" s="2689">
        <f t="shared" si="27"/>
        <v>289.84672674747821</v>
      </c>
      <c r="D11" s="2689">
        <f t="shared" si="28"/>
        <v>289.84672674747821</v>
      </c>
      <c r="E11" s="2689">
        <f t="shared" si="29"/>
        <v>501.06543001181495</v>
      </c>
      <c r="F11" s="2689">
        <f t="shared" si="29"/>
        <v>256.82882500744967</v>
      </c>
      <c r="G11" s="3377"/>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970</v>
      </c>
      <c r="B12" s="2689">
        <f t="shared" si="27"/>
        <v>346.720748986128</v>
      </c>
      <c r="C12" s="2689">
        <f t="shared" si="27"/>
        <v>284.30282172386285</v>
      </c>
      <c r="D12" s="2689">
        <f t="shared" si="28"/>
        <v>284.30282172386285</v>
      </c>
      <c r="E12" s="2689">
        <f t="shared" si="29"/>
        <v>479.58023546306947</v>
      </c>
      <c r="F12" s="2689">
        <f t="shared" si="29"/>
        <v>253.25788877571213</v>
      </c>
      <c r="G12" s="3378"/>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969</v>
      </c>
      <c r="B13" s="2681">
        <v>333</v>
      </c>
      <c r="C13" s="2681">
        <v>277</v>
      </c>
      <c r="D13" s="2681">
        <f t="shared" si="28"/>
        <v>277</v>
      </c>
      <c r="E13" s="2681">
        <v>459</v>
      </c>
      <c r="F13" s="2682">
        <v>249</v>
      </c>
      <c r="G13" s="3376">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968</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377"/>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967</v>
      </c>
      <c r="B15" s="2689">
        <f t="shared" si="31"/>
        <v>322.34053690220776</v>
      </c>
      <c r="C15" s="2689">
        <f t="shared" si="31"/>
        <v>271.46160770422546</v>
      </c>
      <c r="D15" s="2689">
        <f t="shared" si="28"/>
        <v>271.46160770422546</v>
      </c>
      <c r="E15" s="2689">
        <f t="shared" si="32"/>
        <v>442.69434542172456</v>
      </c>
      <c r="F15" s="2689">
        <f t="shared" si="32"/>
        <v>241.34030753190925</v>
      </c>
      <c r="G15" s="3377"/>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966</v>
      </c>
      <c r="B16" s="2689">
        <f t="shared" si="31"/>
        <v>319.87748030386797</v>
      </c>
      <c r="C16" s="2689">
        <f t="shared" si="31"/>
        <v>269.60135833173649</v>
      </c>
      <c r="D16" s="2689">
        <f t="shared" si="28"/>
        <v>269.60135833173649</v>
      </c>
      <c r="E16" s="2689">
        <f t="shared" si="32"/>
        <v>439.18089823583784</v>
      </c>
      <c r="F16" s="2689">
        <f t="shared" si="32"/>
        <v>239.23503918706311</v>
      </c>
      <c r="G16" s="3378"/>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965</v>
      </c>
      <c r="B17" s="2703">
        <v>318</v>
      </c>
      <c r="C17" s="2703">
        <v>268</v>
      </c>
      <c r="D17" s="2703">
        <f t="shared" si="28"/>
        <v>268</v>
      </c>
      <c r="E17" s="2703">
        <v>437</v>
      </c>
      <c r="F17" s="2704">
        <v>237</v>
      </c>
      <c r="G17" s="3376">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964</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377"/>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963</v>
      </c>
      <c r="B19" s="2689">
        <f t="shared" si="33"/>
        <v>314.72141172386546</v>
      </c>
      <c r="C19" s="2689">
        <f t="shared" si="33"/>
        <v>263.03901319069001</v>
      </c>
      <c r="D19" s="2689">
        <f t="shared" si="28"/>
        <v>263.03901319069001</v>
      </c>
      <c r="E19" s="2689">
        <f t="shared" si="34"/>
        <v>433.65745506782821</v>
      </c>
      <c r="F19" s="2689">
        <f t="shared" si="34"/>
        <v>233.23005080045735</v>
      </c>
      <c r="G19" s="3377"/>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962</v>
      </c>
      <c r="B20" s="2708">
        <f t="shared" si="33"/>
        <v>307.34512863658733</v>
      </c>
      <c r="C20" s="2708">
        <f t="shared" si="33"/>
        <v>257.80556031626975</v>
      </c>
      <c r="D20" s="2708">
        <f t="shared" si="28"/>
        <v>257.80556031626975</v>
      </c>
      <c r="E20" s="2708">
        <f t="shared" si="34"/>
        <v>422.70928459677179</v>
      </c>
      <c r="F20" s="2708">
        <f t="shared" si="34"/>
        <v>229.73803270336617</v>
      </c>
      <c r="G20" s="3378"/>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2646</v>
      </c>
      <c r="X20" s="2786">
        <v>1</v>
      </c>
      <c r="Y20" s="2786">
        <v>1</v>
      </c>
      <c r="Z20" s="2786">
        <v>1</v>
      </c>
      <c r="AA20" s="2786">
        <v>1</v>
      </c>
      <c r="AB20" s="2786">
        <v>1</v>
      </c>
      <c r="AD20" s="2973">
        <f>I20/100</f>
        <v>2.9700000000000001E-2</v>
      </c>
      <c r="AE20" s="2973">
        <f>J20/100</f>
        <v>2.3399999999999997E-2</v>
      </c>
      <c r="AF20" s="2973">
        <f>AE20</f>
        <v>2.3399999999999997E-2</v>
      </c>
      <c r="AG20" s="2973">
        <f>K20/100</f>
        <v>3.2799999999999996E-2</v>
      </c>
      <c r="AH20" s="2973">
        <f>L20/100</f>
        <v>1.3600000000000001E-2</v>
      </c>
    </row>
    <row r="21" spans="1:34" ht="13.5" thickBot="1">
      <c r="A21" s="2675" t="s">
        <v>2588</v>
      </c>
      <c r="B21" s="2681">
        <v>299</v>
      </c>
      <c r="C21" s="2681">
        <v>252</v>
      </c>
      <c r="D21" s="2681">
        <f t="shared" si="28"/>
        <v>252</v>
      </c>
      <c r="E21" s="2681">
        <v>409</v>
      </c>
      <c r="F21" s="2682">
        <v>227</v>
      </c>
      <c r="G21" s="3379">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2589</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380"/>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2590</v>
      </c>
      <c r="B23" s="2689">
        <f t="shared" si="37"/>
        <v>288.2649053828776</v>
      </c>
      <c r="C23" s="2689">
        <f t="shared" si="37"/>
        <v>243.64564425013293</v>
      </c>
      <c r="D23" s="2689">
        <f t="shared" si="28"/>
        <v>243.64564425013293</v>
      </c>
      <c r="E23" s="2689">
        <f t="shared" si="38"/>
        <v>393.31080825986544</v>
      </c>
      <c r="F23" s="2689">
        <f t="shared" si="38"/>
        <v>223.07903790551154</v>
      </c>
      <c r="G23" s="3380"/>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2591</v>
      </c>
      <c r="B24" s="2689">
        <f t="shared" si="37"/>
        <v>282.50186729015837</v>
      </c>
      <c r="C24" s="2689">
        <f t="shared" si="37"/>
        <v>238.09796174155468</v>
      </c>
      <c r="D24" s="2689">
        <f t="shared" si="28"/>
        <v>238.09796174155468</v>
      </c>
      <c r="E24" s="2689">
        <f t="shared" si="38"/>
        <v>385.33438646014054</v>
      </c>
      <c r="F24" s="2689">
        <f t="shared" si="38"/>
        <v>221.55034055567739</v>
      </c>
      <c r="G24" s="3381"/>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2592</v>
      </c>
      <c r="B25" s="2719">
        <v>278</v>
      </c>
      <c r="C25" s="2719">
        <v>234</v>
      </c>
      <c r="D25" s="2719">
        <f t="shared" si="28"/>
        <v>234</v>
      </c>
      <c r="E25" s="2719">
        <v>379</v>
      </c>
      <c r="F25" s="2720">
        <v>220</v>
      </c>
      <c r="G25" s="3376">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2593</v>
      </c>
      <c r="B26" s="2689">
        <f>B25/(1+N25)</f>
        <v>275.49301357645425</v>
      </c>
      <c r="C26" s="2689">
        <f>C25/(1+O25)</f>
        <v>232.41954707985698</v>
      </c>
      <c r="D26" s="2689">
        <f t="shared" si="28"/>
        <v>232.41954707985698</v>
      </c>
      <c r="E26" s="2689">
        <f t="shared" ref="E26:F28" si="39">E25/(1+P25)</f>
        <v>375.32184591008121</v>
      </c>
      <c r="F26" s="2689">
        <f t="shared" si="39"/>
        <v>218.03766105054513</v>
      </c>
      <c r="G26" s="3377"/>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2594</v>
      </c>
      <c r="B27" s="2689">
        <f>B26/(1+N26)</f>
        <v>275.24529281292263</v>
      </c>
      <c r="C27" s="2689">
        <f>C26/(1+O26)</f>
        <v>231.74747938962707</v>
      </c>
      <c r="D27" s="2689">
        <f t="shared" si="28"/>
        <v>231.74747938962707</v>
      </c>
      <c r="E27" s="2689">
        <f t="shared" si="39"/>
        <v>375.35938184826603</v>
      </c>
      <c r="F27" s="2689">
        <f t="shared" si="39"/>
        <v>216.78033510692495</v>
      </c>
      <c r="G27" s="3377"/>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2595</v>
      </c>
      <c r="B28" s="2689">
        <f>B27/(1+N27)</f>
        <v>275.19025476197027</v>
      </c>
      <c r="C28" s="2721">
        <v>232</v>
      </c>
      <c r="D28" s="2721">
        <f t="shared" si="28"/>
        <v>232</v>
      </c>
      <c r="E28" s="2689">
        <f t="shared" si="39"/>
        <v>375.65990977608692</v>
      </c>
      <c r="F28" s="2689">
        <f t="shared" si="39"/>
        <v>214.12518283971252</v>
      </c>
      <c r="G28" s="3378"/>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2596</v>
      </c>
      <c r="B29" s="2681">
        <v>275</v>
      </c>
      <c r="C29" s="2681">
        <v>232</v>
      </c>
      <c r="D29" s="2681">
        <f t="shared" si="28"/>
        <v>232</v>
      </c>
      <c r="E29" s="2681">
        <v>376</v>
      </c>
      <c r="F29" s="2682">
        <v>213</v>
      </c>
      <c r="G29" s="3376">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2597</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377">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2598</v>
      </c>
      <c r="B31" s="2689">
        <f t="shared" si="40"/>
        <v>275.19335084830601</v>
      </c>
      <c r="C31" s="2689">
        <f t="shared" si="40"/>
        <v>230.18088050139744</v>
      </c>
      <c r="D31" s="2689">
        <f t="shared" si="28"/>
        <v>230.18088050139744</v>
      </c>
      <c r="E31" s="2689">
        <f t="shared" si="41"/>
        <v>377.58482925212331</v>
      </c>
      <c r="F31" s="2689">
        <f t="shared" si="41"/>
        <v>210.90687997847917</v>
      </c>
      <c r="G31" s="3377">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2599</v>
      </c>
      <c r="B32" s="2689">
        <f t="shared" si="40"/>
        <v>276.29854502841971</v>
      </c>
      <c r="C32" s="2689">
        <f t="shared" si="40"/>
        <v>229.79023709833027</v>
      </c>
      <c r="D32" s="2689">
        <f t="shared" si="28"/>
        <v>229.79023709833027</v>
      </c>
      <c r="E32" s="2689">
        <f t="shared" si="41"/>
        <v>379.78759731655936</v>
      </c>
      <c r="F32" s="2689">
        <f t="shared" si="41"/>
        <v>211.32953905659235</v>
      </c>
      <c r="G32" s="3378">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2600</v>
      </c>
      <c r="B33" s="2681">
        <v>269</v>
      </c>
      <c r="C33" s="2681">
        <v>221</v>
      </c>
      <c r="D33" s="2681">
        <f t="shared" si="28"/>
        <v>221</v>
      </c>
      <c r="E33" s="2681">
        <v>373</v>
      </c>
      <c r="F33" s="2682">
        <v>196</v>
      </c>
      <c r="G33" s="3376">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2601</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377">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2602</v>
      </c>
      <c r="B35" s="2689">
        <f t="shared" si="42"/>
        <v>242.95398227588385</v>
      </c>
      <c r="C35" s="2689">
        <f t="shared" si="42"/>
        <v>199.59137053614126</v>
      </c>
      <c r="D35" s="2689">
        <f t="shared" si="28"/>
        <v>199.59137053614126</v>
      </c>
      <c r="E35" s="2689">
        <f t="shared" si="43"/>
        <v>335.92189522342125</v>
      </c>
      <c r="F35" s="2689">
        <f t="shared" si="43"/>
        <v>183.10139991109489</v>
      </c>
      <c r="G35" s="3377">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2603</v>
      </c>
      <c r="B36" s="2689">
        <f t="shared" si="42"/>
        <v>232.06990378821649</v>
      </c>
      <c r="C36" s="2689">
        <f t="shared" si="42"/>
        <v>192.74878854286936</v>
      </c>
      <c r="D36" s="2689">
        <f t="shared" si="28"/>
        <v>192.74878854286936</v>
      </c>
      <c r="E36" s="2689">
        <f t="shared" si="43"/>
        <v>319.71247284992984</v>
      </c>
      <c r="F36" s="2689">
        <f t="shared" si="43"/>
        <v>175.67053622862409</v>
      </c>
      <c r="G36" s="3378">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2604</v>
      </c>
      <c r="B37" s="2681">
        <v>220</v>
      </c>
      <c r="C37" s="2681">
        <v>187</v>
      </c>
      <c r="D37" s="2681">
        <f t="shared" si="28"/>
        <v>187</v>
      </c>
      <c r="E37" s="2681">
        <v>301</v>
      </c>
      <c r="F37" s="2682">
        <v>168</v>
      </c>
      <c r="G37" s="3376">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2605</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377">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2606</v>
      </c>
      <c r="B39" s="2689">
        <f t="shared" si="44"/>
        <v>210.630522469011</v>
      </c>
      <c r="C39" s="2689">
        <f t="shared" si="44"/>
        <v>181.69567812247232</v>
      </c>
      <c r="D39" s="2689">
        <f t="shared" si="28"/>
        <v>181.69567812247232</v>
      </c>
      <c r="E39" s="2689">
        <f t="shared" si="45"/>
        <v>286.13517466736738</v>
      </c>
      <c r="F39" s="2689">
        <f t="shared" si="45"/>
        <v>165.47535084591149</v>
      </c>
      <c r="G39" s="3377">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2607</v>
      </c>
      <c r="B40" s="2689">
        <f t="shared" si="44"/>
        <v>208.83454537875372</v>
      </c>
      <c r="C40" s="2689">
        <f t="shared" si="44"/>
        <v>183.77230517090351</v>
      </c>
      <c r="D40" s="2689">
        <f t="shared" si="28"/>
        <v>183.77230517090351</v>
      </c>
      <c r="E40" s="2689">
        <f t="shared" si="45"/>
        <v>281.10342338870947</v>
      </c>
      <c r="F40" s="2689">
        <f t="shared" si="45"/>
        <v>168.97309388942256</v>
      </c>
      <c r="G40" s="3378">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2608</v>
      </c>
      <c r="B41" s="2719">
        <v>214</v>
      </c>
      <c r="C41" s="2719">
        <v>188</v>
      </c>
      <c r="D41" s="2719">
        <f t="shared" si="28"/>
        <v>188</v>
      </c>
      <c r="E41" s="2719">
        <v>289</v>
      </c>
      <c r="F41" s="2720">
        <v>166</v>
      </c>
      <c r="G41" s="3376">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2609</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377">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2610</v>
      </c>
      <c r="B43" s="2689">
        <f t="shared" si="46"/>
        <v>206.31694671589116</v>
      </c>
      <c r="C43" s="2689">
        <f t="shared" si="46"/>
        <v>183.61041121036101</v>
      </c>
      <c r="D43" s="2689">
        <f t="shared" si="28"/>
        <v>183.61041121036101</v>
      </c>
      <c r="E43" s="2689">
        <f t="shared" si="47"/>
        <v>276.66850301795557</v>
      </c>
      <c r="F43" s="2689">
        <f t="shared" si="47"/>
        <v>165.1360938278614</v>
      </c>
      <c r="G43" s="3377">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2611</v>
      </c>
      <c r="B44" s="2722">
        <f t="shared" si="46"/>
        <v>196.62341248059772</v>
      </c>
      <c r="C44" s="2722">
        <f t="shared" si="46"/>
        <v>170.99125648199012</v>
      </c>
      <c r="D44" s="2722">
        <f t="shared" si="28"/>
        <v>170.99125648199012</v>
      </c>
      <c r="E44" s="2722">
        <f t="shared" si="47"/>
        <v>266.07857570490052</v>
      </c>
      <c r="F44" s="2722">
        <f t="shared" si="47"/>
        <v>154.53499328828505</v>
      </c>
      <c r="G44" s="3378">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2612</v>
      </c>
      <c r="B45" s="2681">
        <v>188</v>
      </c>
      <c r="C45" s="2681">
        <v>165</v>
      </c>
      <c r="D45" s="2681">
        <f t="shared" si="28"/>
        <v>165</v>
      </c>
      <c r="E45" s="2681">
        <v>254</v>
      </c>
      <c r="F45" s="2682">
        <v>148</v>
      </c>
      <c r="G45" s="3376">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2613</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377">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2614</v>
      </c>
      <c r="B47" s="2689">
        <f t="shared" si="50"/>
        <v>168.82017748715555</v>
      </c>
      <c r="C47" s="2689">
        <f t="shared" si="50"/>
        <v>148.06267029972753</v>
      </c>
      <c r="D47" s="2689">
        <f t="shared" si="28"/>
        <v>148.06267029972753</v>
      </c>
      <c r="E47" s="2689">
        <f t="shared" si="51"/>
        <v>216.46288379323747</v>
      </c>
      <c r="F47" s="2689">
        <f t="shared" si="51"/>
        <v>134.23529411764704</v>
      </c>
      <c r="G47" s="3377">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2615</v>
      </c>
      <c r="B48" s="2689">
        <f t="shared" si="50"/>
        <v>163.84913591779542</v>
      </c>
      <c r="C48" s="2689">
        <f t="shared" si="50"/>
        <v>145.0283378746594</v>
      </c>
      <c r="D48" s="2689">
        <f t="shared" si="28"/>
        <v>145.0283378746594</v>
      </c>
      <c r="E48" s="2689">
        <f t="shared" si="51"/>
        <v>204.95180722891567</v>
      </c>
      <c r="F48" s="2689">
        <f t="shared" si="51"/>
        <v>125.95920303605313</v>
      </c>
      <c r="G48" s="3378">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2616</v>
      </c>
      <c r="B49" s="2703">
        <v>159</v>
      </c>
      <c r="C49" s="2703">
        <v>141</v>
      </c>
      <c r="D49" s="2703">
        <f t="shared" si="28"/>
        <v>141</v>
      </c>
      <c r="E49" s="2703">
        <v>195</v>
      </c>
      <c r="F49" s="2704">
        <v>122</v>
      </c>
      <c r="G49" s="3376">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2617</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377">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2618</v>
      </c>
      <c r="B51" s="2689">
        <f t="shared" si="54"/>
        <v>146.57412060301507</v>
      </c>
      <c r="C51" s="2689">
        <f t="shared" si="54"/>
        <v>136.46831955922866</v>
      </c>
      <c r="D51" s="2689">
        <f t="shared" si="28"/>
        <v>136.46831955922866</v>
      </c>
      <c r="E51" s="2689">
        <f t="shared" si="55"/>
        <v>166.73864894795128</v>
      </c>
      <c r="F51" s="2689">
        <f t="shared" si="55"/>
        <v>115.05882352941177</v>
      </c>
      <c r="G51" s="3377">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2619</v>
      </c>
      <c r="B52" s="2689">
        <f t="shared" si="54"/>
        <v>144.04145728643215</v>
      </c>
      <c r="C52" s="2689">
        <f t="shared" si="54"/>
        <v>136.12396694214877</v>
      </c>
      <c r="D52" s="2689">
        <f t="shared" si="28"/>
        <v>136.12396694214877</v>
      </c>
      <c r="E52" s="2689">
        <f t="shared" si="55"/>
        <v>158.32225913621264</v>
      </c>
      <c r="F52" s="2689">
        <f t="shared" si="55"/>
        <v>114.04278074866311</v>
      </c>
      <c r="G52" s="3378">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2620</v>
      </c>
      <c r="B53" s="2703">
        <v>138</v>
      </c>
      <c r="C53" s="2703">
        <v>131</v>
      </c>
      <c r="D53" s="2703">
        <f t="shared" si="28"/>
        <v>131</v>
      </c>
      <c r="E53" s="2703">
        <v>155</v>
      </c>
      <c r="F53" s="2704">
        <v>114</v>
      </c>
      <c r="G53" s="3376">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2621</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377">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2622</v>
      </c>
      <c r="B55" s="2689">
        <f t="shared" si="58"/>
        <v>124.29032258064517</v>
      </c>
      <c r="C55" s="2689">
        <f t="shared" si="58"/>
        <v>123.8968609865471</v>
      </c>
      <c r="D55" s="2689">
        <f t="shared" si="28"/>
        <v>123.8968609865471</v>
      </c>
      <c r="E55" s="2689">
        <f t="shared" si="59"/>
        <v>138.00507614213197</v>
      </c>
      <c r="F55" s="2689">
        <f t="shared" si="59"/>
        <v>107.96106557377048</v>
      </c>
      <c r="G55" s="3377">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2623</v>
      </c>
      <c r="B56" s="2689">
        <f t="shared" si="58"/>
        <v>122.57204301075269</v>
      </c>
      <c r="C56" s="2689">
        <f t="shared" si="58"/>
        <v>123.4932735426009</v>
      </c>
      <c r="D56" s="2689">
        <f t="shared" si="28"/>
        <v>123.4932735426009</v>
      </c>
      <c r="E56" s="2689">
        <f t="shared" si="59"/>
        <v>129.82233502538071</v>
      </c>
      <c r="F56" s="2689">
        <f t="shared" si="59"/>
        <v>107.39446721311475</v>
      </c>
      <c r="G56" s="3378">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2624</v>
      </c>
      <c r="B57" s="2719">
        <v>121</v>
      </c>
      <c r="C57" s="2719">
        <v>122</v>
      </c>
      <c r="D57" s="2719">
        <f t="shared" si="28"/>
        <v>122</v>
      </c>
      <c r="E57" s="2719">
        <v>124</v>
      </c>
      <c r="F57" s="2720">
        <v>107</v>
      </c>
      <c r="G57" s="3376">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2625</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377">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2626</v>
      </c>
      <c r="B59" s="2689">
        <f t="shared" si="62"/>
        <v>116.99099099099099</v>
      </c>
      <c r="C59" s="2689">
        <f t="shared" si="62"/>
        <v>118.84848484848486</v>
      </c>
      <c r="D59" s="2689">
        <f t="shared" si="28"/>
        <v>118.84848484848486</v>
      </c>
      <c r="E59" s="2689">
        <f t="shared" si="63"/>
        <v>117.60960960960961</v>
      </c>
      <c r="F59" s="2689">
        <f t="shared" si="63"/>
        <v>104</v>
      </c>
      <c r="G59" s="3377">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2627</v>
      </c>
      <c r="B60" s="2722">
        <f t="shared" si="62"/>
        <v>112.48648648648648</v>
      </c>
      <c r="C60" s="2722">
        <f t="shared" si="62"/>
        <v>115.21212121212122</v>
      </c>
      <c r="D60" s="2722">
        <f t="shared" si="28"/>
        <v>115.21212121212122</v>
      </c>
      <c r="E60" s="2722">
        <f t="shared" si="63"/>
        <v>110.4024024024024</v>
      </c>
      <c r="F60" s="2722">
        <f t="shared" si="63"/>
        <v>104</v>
      </c>
      <c r="G60" s="3378">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2628</v>
      </c>
      <c r="B61" s="2740">
        <v>111</v>
      </c>
      <c r="C61" s="2740">
        <v>114</v>
      </c>
      <c r="D61" s="2740">
        <f t="shared" si="28"/>
        <v>114</v>
      </c>
      <c r="E61" s="2740">
        <v>108</v>
      </c>
      <c r="F61" s="2741">
        <v>104</v>
      </c>
      <c r="G61" s="3376">
        <v>2003</v>
      </c>
      <c r="H61" s="2730">
        <v>4</v>
      </c>
      <c r="I61" s="2742"/>
      <c r="J61" s="2742"/>
      <c r="K61" s="2742"/>
      <c r="L61" s="2742"/>
      <c r="N61" s="2743"/>
      <c r="O61" s="2742"/>
      <c r="P61" s="2742"/>
      <c r="Q61" s="2742"/>
      <c r="S61" s="2743"/>
      <c r="T61" s="2742"/>
      <c r="U61" s="2742"/>
      <c r="V61" s="2742"/>
      <c r="X61" s="2734"/>
      <c r="Y61" s="2734"/>
      <c r="Z61" s="2734"/>
    </row>
    <row r="62" spans="1:26">
      <c r="A62" s="2675" t="s">
        <v>2629</v>
      </c>
      <c r="B62" s="2744">
        <f t="shared" ref="B62:C64" si="64">B63+(B$61-B$65)/4</f>
        <v>109.75</v>
      </c>
      <c r="C62" s="2744">
        <f t="shared" si="64"/>
        <v>112.25</v>
      </c>
      <c r="D62" s="2744">
        <f t="shared" si="28"/>
        <v>112.25</v>
      </c>
      <c r="E62" s="2744">
        <f t="shared" ref="E62:F64" si="65">E63+(E$61-E$65)/4</f>
        <v>107.25</v>
      </c>
      <c r="F62" s="2744">
        <f t="shared" si="65"/>
        <v>103.5</v>
      </c>
      <c r="G62" s="3377">
        <v>2003</v>
      </c>
      <c r="H62" s="2700">
        <v>3</v>
      </c>
      <c r="I62" s="2742"/>
      <c r="J62" s="2742"/>
      <c r="K62" s="2742"/>
      <c r="L62" s="2742"/>
      <c r="X62" s="2734"/>
      <c r="Y62" s="2734"/>
      <c r="Z62" s="2734"/>
    </row>
    <row r="63" spans="1:26">
      <c r="A63" s="2675" t="s">
        <v>2630</v>
      </c>
      <c r="B63" s="2744">
        <f t="shared" si="64"/>
        <v>108.5</v>
      </c>
      <c r="C63" s="2744">
        <f t="shared" si="64"/>
        <v>110.5</v>
      </c>
      <c r="D63" s="2744">
        <f t="shared" si="28"/>
        <v>110.5</v>
      </c>
      <c r="E63" s="2744">
        <f t="shared" si="65"/>
        <v>106.5</v>
      </c>
      <c r="F63" s="2744">
        <f t="shared" si="65"/>
        <v>103</v>
      </c>
      <c r="G63" s="3377">
        <v>2003</v>
      </c>
      <c r="H63" s="2680">
        <v>2</v>
      </c>
      <c r="I63" s="2742"/>
      <c r="J63" s="2742"/>
      <c r="K63" s="2742"/>
      <c r="L63" s="2742"/>
      <c r="X63" s="2734"/>
      <c r="Y63" s="2734"/>
      <c r="Z63" s="2734"/>
    </row>
    <row r="64" spans="1:26" ht="13.5" thickBot="1">
      <c r="A64" s="2675" t="s">
        <v>2631</v>
      </c>
      <c r="B64" s="2744">
        <f t="shared" si="64"/>
        <v>107.25</v>
      </c>
      <c r="C64" s="2744">
        <f t="shared" si="64"/>
        <v>108.75</v>
      </c>
      <c r="D64" s="2744">
        <f t="shared" si="28"/>
        <v>108.75</v>
      </c>
      <c r="E64" s="2744">
        <f t="shared" si="65"/>
        <v>105.75</v>
      </c>
      <c r="F64" s="2744">
        <f t="shared" si="65"/>
        <v>102.5</v>
      </c>
      <c r="G64" s="3378">
        <v>2003</v>
      </c>
      <c r="H64" s="2745">
        <v>1</v>
      </c>
      <c r="I64" s="2742"/>
      <c r="J64" s="2742"/>
      <c r="K64" s="2742"/>
      <c r="L64" s="2742"/>
      <c r="S64" s="2684"/>
      <c r="T64" s="2685"/>
      <c r="U64" s="2685"/>
      <c r="X64" s="2734"/>
      <c r="Y64" s="2734"/>
      <c r="Z64" s="2734"/>
    </row>
    <row r="65" spans="1:26" ht="13.5" thickBot="1">
      <c r="A65" s="2675" t="s">
        <v>2632</v>
      </c>
      <c r="B65" s="2746">
        <v>106</v>
      </c>
      <c r="C65" s="2746">
        <v>107</v>
      </c>
      <c r="D65" s="2746">
        <f t="shared" si="28"/>
        <v>107</v>
      </c>
      <c r="E65" s="2746">
        <v>105</v>
      </c>
      <c r="F65" s="2747">
        <v>102</v>
      </c>
      <c r="G65" s="3376">
        <v>2002</v>
      </c>
      <c r="H65" s="2695">
        <v>4</v>
      </c>
      <c r="I65" s="2742"/>
      <c r="J65" s="2742"/>
      <c r="K65" s="2742"/>
      <c r="L65" s="2742"/>
      <c r="N65" s="2743"/>
      <c r="O65" s="2742"/>
      <c r="P65" s="2742"/>
      <c r="Q65" s="2742"/>
      <c r="S65" s="2743"/>
      <c r="T65" s="2742"/>
      <c r="U65" s="2742"/>
      <c r="V65" s="2742"/>
      <c r="X65" s="2734"/>
      <c r="Y65" s="2734"/>
      <c r="Z65" s="2734"/>
    </row>
    <row r="66" spans="1:26">
      <c r="A66" s="2675" t="s">
        <v>2633</v>
      </c>
      <c r="B66" s="2744">
        <f t="shared" ref="B66:C68" si="66">B67+(B$65-B$69)/4</f>
        <v>105</v>
      </c>
      <c r="C66" s="2744">
        <f t="shared" si="66"/>
        <v>106</v>
      </c>
      <c r="D66" s="2744">
        <f t="shared" si="28"/>
        <v>106</v>
      </c>
      <c r="E66" s="2744">
        <f t="shared" ref="E66:F68" si="67">E67+(E$65-E$69)/4</f>
        <v>104.5</v>
      </c>
      <c r="F66" s="2744">
        <f t="shared" si="67"/>
        <v>101.5</v>
      </c>
      <c r="G66" s="3377">
        <v>2002</v>
      </c>
      <c r="H66" s="2700">
        <v>3</v>
      </c>
      <c r="I66" s="2742"/>
      <c r="J66" s="2742"/>
      <c r="K66" s="2742"/>
      <c r="L66" s="2742"/>
      <c r="X66" s="2734"/>
      <c r="Y66" s="2734"/>
      <c r="Z66" s="2734"/>
    </row>
    <row r="67" spans="1:26">
      <c r="A67" s="2675" t="s">
        <v>2634</v>
      </c>
      <c r="B67" s="2744">
        <f t="shared" si="66"/>
        <v>104</v>
      </c>
      <c r="C67" s="2744">
        <f t="shared" si="66"/>
        <v>105</v>
      </c>
      <c r="D67" s="2744">
        <f t="shared" si="28"/>
        <v>105</v>
      </c>
      <c r="E67" s="2744">
        <f t="shared" si="67"/>
        <v>104</v>
      </c>
      <c r="F67" s="2744">
        <f t="shared" si="67"/>
        <v>101</v>
      </c>
      <c r="G67" s="3377">
        <v>2002</v>
      </c>
      <c r="H67" s="2680">
        <v>2</v>
      </c>
      <c r="I67" s="2742"/>
      <c r="J67" s="2742"/>
      <c r="K67" s="2742"/>
      <c r="L67" s="2742"/>
      <c r="X67" s="2734"/>
      <c r="Y67" s="2734"/>
      <c r="Z67" s="2734"/>
    </row>
    <row r="68" spans="1:26" s="2711" customFormat="1" ht="13.5" thickBot="1">
      <c r="A68" s="2707" t="s">
        <v>2635</v>
      </c>
      <c r="B68" s="2748">
        <f t="shared" si="66"/>
        <v>103</v>
      </c>
      <c r="C68" s="2748">
        <f t="shared" si="66"/>
        <v>104</v>
      </c>
      <c r="D68" s="2748">
        <f t="shared" si="28"/>
        <v>104</v>
      </c>
      <c r="E68" s="2748">
        <f t="shared" si="67"/>
        <v>103.5</v>
      </c>
      <c r="F68" s="2748">
        <f t="shared" si="67"/>
        <v>100.5</v>
      </c>
      <c r="G68" s="3378">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2636</v>
      </c>
      <c r="G71" s="2758"/>
      <c r="N71" s="2758"/>
      <c r="S71" s="2758"/>
    </row>
    <row r="72" spans="1:26" s="2757" customFormat="1">
      <c r="A72" s="2757" t="s">
        <v>2637</v>
      </c>
      <c r="G72" s="2758"/>
      <c r="N72" s="2758"/>
      <c r="S72" s="2758"/>
    </row>
    <row r="73" spans="1:26" s="2757" customFormat="1">
      <c r="A73" s="2757" t="s">
        <v>2638</v>
      </c>
      <c r="G73" s="2758"/>
      <c r="I73" s="2759"/>
      <c r="J73" s="2759"/>
      <c r="K73" s="2759"/>
      <c r="L73" s="2759"/>
      <c r="N73" s="2760"/>
      <c r="O73" s="2759"/>
      <c r="P73" s="2759"/>
      <c r="Q73" s="2759"/>
      <c r="S73" s="2760"/>
      <c r="T73" s="2759"/>
      <c r="U73" s="2759"/>
      <c r="V73" s="2759"/>
    </row>
    <row r="74" spans="1:26" s="2757" customFormat="1">
      <c r="A74" s="2757" t="s">
        <v>2639</v>
      </c>
      <c r="G74" s="2758"/>
      <c r="N74" s="2758"/>
      <c r="S74" s="2758"/>
    </row>
    <row r="81" spans="7:22" ht="13.5" thickBot="1"/>
    <row r="82" spans="7:22">
      <c r="G82" s="2683"/>
      <c r="S82" s="2761" t="s">
        <v>2640</v>
      </c>
      <c r="T82" s="2762" t="s">
        <v>2641</v>
      </c>
      <c r="U82" s="2762" t="s">
        <v>2642</v>
      </c>
      <c r="V82" s="2762" t="s">
        <v>2643</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37.5">
      <c r="A4" s="1789" t="str">
        <f>"受贵公司委托，我公司对"&amp;项目基本情况!K2&amp;项目基本情况!B9&amp;"进行了预评估。"</f>
        <v>受贵公司委托，我公司对湖北省天门市竟陵永丰村出让国有建设用地使用权抵押价格进行了预评估。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56.25">
      <c r="A7" s="1793" t="s">
        <v>2753</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2946</v>
      </c>
    </row>
    <row r="14" spans="1:4" ht="37.5">
      <c r="A14" s="1789" t="str">
        <f>"根据"&amp;项目基本情况!F12&amp;"，本次评估估价对象证载（地类）用途为"&amp;项目基本情况!B12&amp;"。"</f>
        <v>根据《国有土地使用证》[天国用（2014）第0716号]，本次评估估价对象证载（地类）用途为商业。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18.75">
      <c r="A21" s="1789" t="s">
        <v>2076</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本次估价对象为出让国有建设用地使用权，《国有土地使用证》[天国用（2014）第0716号]证载土地终止日期为商业2054年3月1日。截至估价期日，出让国有建设用地使用权剩余土地使用年限为商业36.29年。</v>
      </c>
    </row>
    <row r="23" spans="1:1" ht="18.75">
      <c r="A23" s="1789" t="str">
        <f>IF(项目基本情况!B16="出让","本次评估设定估价对象剩余土地使用年限为"&amp;项目基本情况!D20&amp;"。","")</f>
        <v>本次评估设定估价对象剩余土地使用年限为商业36.29年。</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399" t="s">
        <v>2475</v>
      </c>
      <c r="B1" s="3400"/>
      <c r="C1" s="3401"/>
      <c r="D1" s="3402">
        <f>SUM(I10,I15,I20,I21,I23)</f>
        <v>0</v>
      </c>
      <c r="E1" s="3402"/>
      <c r="F1" s="3402"/>
      <c r="G1" s="3402"/>
      <c r="H1" s="3402"/>
      <c r="I1" s="3403"/>
    </row>
    <row r="2" spans="1:9">
      <c r="A2" s="3389" t="s">
        <v>2476</v>
      </c>
      <c r="B2" s="3390" t="s">
        <v>2477</v>
      </c>
      <c r="C2" s="3390"/>
      <c r="D2" s="2528" t="s">
        <v>2478</v>
      </c>
      <c r="E2" s="2528" t="s">
        <v>2479</v>
      </c>
      <c r="F2" s="2528" t="s">
        <v>2480</v>
      </c>
      <c r="G2" s="2528" t="s">
        <v>2481</v>
      </c>
      <c r="H2" s="2528" t="s">
        <v>2482</v>
      </c>
      <c r="I2" s="2529" t="s">
        <v>2483</v>
      </c>
    </row>
    <row r="3" spans="1:9">
      <c r="A3" s="3389"/>
      <c r="B3" s="3390" t="s">
        <v>2484</v>
      </c>
      <c r="C3" s="3390"/>
      <c r="D3" s="2530"/>
      <c r="E3" s="2528"/>
      <c r="F3" s="2531"/>
      <c r="G3" s="2531"/>
      <c r="H3" s="2532"/>
      <c r="I3" s="2533">
        <f>ROUND(D3*E3*F3*G3*H3/10000,0)</f>
        <v>0</v>
      </c>
    </row>
    <row r="4" spans="1:9">
      <c r="A4" s="3389"/>
      <c r="B4" s="3390" t="s">
        <v>2485</v>
      </c>
      <c r="C4" s="3390"/>
      <c r="D4" s="2530"/>
      <c r="E4" s="2528"/>
      <c r="F4" s="2531"/>
      <c r="G4" s="2531"/>
      <c r="H4" s="2532"/>
      <c r="I4" s="2533">
        <f t="shared" ref="I4:I9" si="0">ROUND(D4*E4*F4*G4*H4/10000,0)</f>
        <v>0</v>
      </c>
    </row>
    <row r="5" spans="1:9">
      <c r="A5" s="3389"/>
      <c r="B5" s="3390" t="s">
        <v>2486</v>
      </c>
      <c r="C5" s="3390"/>
      <c r="D5" s="2530"/>
      <c r="E5" s="2528"/>
      <c r="F5" s="2531"/>
      <c r="G5" s="2531"/>
      <c r="H5" s="2532"/>
      <c r="I5" s="2533">
        <f t="shared" si="0"/>
        <v>0</v>
      </c>
    </row>
    <row r="6" spans="1:9">
      <c r="A6" s="3389"/>
      <c r="B6" s="3390" t="s">
        <v>2487</v>
      </c>
      <c r="C6" s="3390"/>
      <c r="D6" s="2530"/>
      <c r="E6" s="2528"/>
      <c r="F6" s="2531"/>
      <c r="G6" s="2531"/>
      <c r="H6" s="2532"/>
      <c r="I6" s="2533">
        <f t="shared" si="0"/>
        <v>0</v>
      </c>
    </row>
    <row r="7" spans="1:9">
      <c r="A7" s="3389"/>
      <c r="B7" s="3390" t="s">
        <v>2488</v>
      </c>
      <c r="C7" s="3390"/>
      <c r="D7" s="2530"/>
      <c r="E7" s="2528"/>
      <c r="F7" s="2531"/>
      <c r="G7" s="2531"/>
      <c r="H7" s="2532"/>
      <c r="I7" s="2533">
        <f t="shared" si="0"/>
        <v>0</v>
      </c>
    </row>
    <row r="8" spans="1:9">
      <c r="A8" s="3389"/>
      <c r="B8" s="3390" t="s">
        <v>2489</v>
      </c>
      <c r="C8" s="3390"/>
      <c r="D8" s="2530"/>
      <c r="E8" s="2528"/>
      <c r="F8" s="2531"/>
      <c r="G8" s="2531"/>
      <c r="H8" s="2532"/>
      <c r="I8" s="2533">
        <f t="shared" si="0"/>
        <v>0</v>
      </c>
    </row>
    <row r="9" spans="1:9">
      <c r="A9" s="3389"/>
      <c r="B9" s="3390" t="s">
        <v>2490</v>
      </c>
      <c r="C9" s="3390"/>
      <c r="D9" s="2530"/>
      <c r="E9" s="2528"/>
      <c r="F9" s="2531"/>
      <c r="G9" s="2531"/>
      <c r="H9" s="2532"/>
      <c r="I9" s="2533">
        <f t="shared" si="0"/>
        <v>0</v>
      </c>
    </row>
    <row r="10" spans="1:9">
      <c r="A10" s="3389"/>
      <c r="B10" s="3391" t="s">
        <v>2491</v>
      </c>
      <c r="C10" s="3391"/>
      <c r="D10" s="2534">
        <v>527</v>
      </c>
      <c r="E10" s="2534" t="e">
        <f>ROUND(D1*10000/D10/H9,0)</f>
        <v>#DIV/0!</v>
      </c>
      <c r="F10" s="2535"/>
      <c r="G10" s="2535"/>
      <c r="H10" s="2536"/>
      <c r="I10" s="2537">
        <f>SUM(I3:I9)</f>
        <v>0</v>
      </c>
    </row>
    <row r="11" spans="1:9" ht="14.25">
      <c r="A11" s="3389" t="s">
        <v>2492</v>
      </c>
      <c r="B11" s="3390" t="s">
        <v>2493</v>
      </c>
      <c r="C11" s="3390"/>
      <c r="D11" s="2530" t="s">
        <v>2494</v>
      </c>
      <c r="E11" s="2530" t="s">
        <v>2495</v>
      </c>
      <c r="F11" s="2531" t="s">
        <v>2496</v>
      </c>
      <c r="G11" s="2531" t="s">
        <v>2497</v>
      </c>
      <c r="H11" s="2538" t="s">
        <v>2498</v>
      </c>
      <c r="I11" s="2529" t="s">
        <v>2499</v>
      </c>
    </row>
    <row r="12" spans="1:9">
      <c r="A12" s="3389"/>
      <c r="B12" s="3390" t="s">
        <v>2500</v>
      </c>
      <c r="C12" s="3390"/>
      <c r="D12" s="2530"/>
      <c r="E12" s="2530"/>
      <c r="F12" s="2531"/>
      <c r="G12" s="2532"/>
      <c r="H12" s="2539"/>
      <c r="I12" s="2529">
        <f>ROUND(D12*E12*F12*G12/10000,0)</f>
        <v>0</v>
      </c>
    </row>
    <row r="13" spans="1:9">
      <c r="A13" s="3389"/>
      <c r="B13" s="3390" t="s">
        <v>2501</v>
      </c>
      <c r="C13" s="3390"/>
      <c r="D13" s="2530"/>
      <c r="E13" s="2530"/>
      <c r="F13" s="2531"/>
      <c r="G13" s="2532"/>
      <c r="H13" s="2539"/>
      <c r="I13" s="2529">
        <f>ROUND(D13*E13*F13*G13/10000,0)</f>
        <v>0</v>
      </c>
    </row>
    <row r="14" spans="1:9">
      <c r="A14" s="3389"/>
      <c r="B14" s="3390" t="s">
        <v>2502</v>
      </c>
      <c r="C14" s="3390"/>
      <c r="D14" s="2530"/>
      <c r="E14" s="2530"/>
      <c r="F14" s="2531"/>
      <c r="G14" s="2532"/>
      <c r="H14" s="2539"/>
      <c r="I14" s="2529">
        <f>ROUND(D14*E14*F14*G14/10000,0)</f>
        <v>0</v>
      </c>
    </row>
    <row r="15" spans="1:9">
      <c r="A15" s="3389"/>
      <c r="B15" s="3391" t="s">
        <v>2491</v>
      </c>
      <c r="C15" s="3391"/>
      <c r="D15" s="2534"/>
      <c r="E15" s="2534">
        <f>SUM(E12:E14)</f>
        <v>0</v>
      </c>
      <c r="F15" s="2535"/>
      <c r="G15" s="2532"/>
      <c r="H15" s="2539"/>
      <c r="I15" s="2540">
        <f>SUM(I12:I14)</f>
        <v>0</v>
      </c>
    </row>
    <row r="16" spans="1:9" ht="24">
      <c r="A16" s="3389" t="s">
        <v>2503</v>
      </c>
      <c r="B16" s="3390" t="s">
        <v>2504</v>
      </c>
      <c r="C16" s="3390"/>
      <c r="D16" s="2530" t="s">
        <v>2505</v>
      </c>
      <c r="E16" s="2541" t="s">
        <v>2506</v>
      </c>
      <c r="F16" s="2531" t="s">
        <v>2507</v>
      </c>
      <c r="G16" s="2532" t="s">
        <v>2497</v>
      </c>
      <c r="H16" s="2538" t="s">
        <v>2498</v>
      </c>
      <c r="I16" s="2529" t="s">
        <v>2499</v>
      </c>
    </row>
    <row r="17" spans="1:9" ht="14.25">
      <c r="A17" s="3389"/>
      <c r="B17" s="3390" t="s">
        <v>2508</v>
      </c>
      <c r="C17" s="3390"/>
      <c r="D17" s="2530"/>
      <c r="E17" s="2530"/>
      <c r="F17" s="2531"/>
      <c r="G17" s="2532"/>
      <c r="H17" s="2542"/>
      <c r="I17" s="2543">
        <f>ROUND(D17*E17*F17*G17/10000,0)</f>
        <v>0</v>
      </c>
    </row>
    <row r="18" spans="1:9" ht="14.25">
      <c r="A18" s="3389"/>
      <c r="B18" s="3390" t="s">
        <v>2509</v>
      </c>
      <c r="C18" s="3390"/>
      <c r="D18" s="2530"/>
      <c r="E18" s="2530"/>
      <c r="F18" s="2531"/>
      <c r="G18" s="2532"/>
      <c r="H18" s="2542"/>
      <c r="I18" s="2543">
        <f>ROUND(D18*E18*F18*G18/10000,0)</f>
        <v>0</v>
      </c>
    </row>
    <row r="19" spans="1:9" ht="14.25">
      <c r="A19" s="3389"/>
      <c r="B19" s="3390" t="s">
        <v>2510</v>
      </c>
      <c r="C19" s="3390"/>
      <c r="D19" s="2530"/>
      <c r="E19" s="2530"/>
      <c r="F19" s="2531"/>
      <c r="G19" s="2532"/>
      <c r="H19" s="2542"/>
      <c r="I19" s="2543">
        <f>ROUND(D19*E19*F19*G19/10000,0)</f>
        <v>0</v>
      </c>
    </row>
    <row r="20" spans="1:9">
      <c r="A20" s="3389"/>
      <c r="B20" s="3391" t="s">
        <v>2491</v>
      </c>
      <c r="C20" s="3391"/>
      <c r="D20" s="2534">
        <f>SUM(D17:D19)</f>
        <v>0</v>
      </c>
      <c r="E20" s="2534"/>
      <c r="F20" s="2535"/>
      <c r="G20" s="2532"/>
      <c r="H20" s="2539"/>
      <c r="I20" s="2540">
        <f>SUM(I17:I19)</f>
        <v>0</v>
      </c>
    </row>
    <row r="21" spans="1:9">
      <c r="A21" s="3389" t="s">
        <v>2511</v>
      </c>
      <c r="B21" s="3392"/>
      <c r="C21" s="3392"/>
      <c r="D21" s="3392"/>
      <c r="E21" s="3392"/>
      <c r="F21" s="3392"/>
      <c r="G21" s="3392"/>
      <c r="H21" s="2544">
        <v>0.1</v>
      </c>
      <c r="I21" s="2537">
        <f>ROUND(I10*H21,0)</f>
        <v>0</v>
      </c>
    </row>
    <row r="22" spans="1:9" ht="14.25">
      <c r="A22" s="3393" t="s">
        <v>2512</v>
      </c>
      <c r="B22" s="3394"/>
      <c r="C22" s="3395"/>
      <c r="D22" s="2545" t="s">
        <v>2513</v>
      </c>
      <c r="E22" s="2545" t="s">
        <v>2514</v>
      </c>
      <c r="F22" s="2546" t="s">
        <v>2515</v>
      </c>
      <c r="G22" s="2546" t="s">
        <v>2516</v>
      </c>
      <c r="H22" s="2538" t="s">
        <v>2517</v>
      </c>
      <c r="I22" s="2529" t="s">
        <v>2518</v>
      </c>
    </row>
    <row r="23" spans="1:9" ht="14.25" thickBot="1">
      <c r="A23" s="3396"/>
      <c r="B23" s="3397"/>
      <c r="C23" s="3398"/>
      <c r="D23" s="2547"/>
      <c r="E23" s="2547"/>
      <c r="F23" s="2547"/>
      <c r="G23" s="2548"/>
      <c r="H23" s="2549"/>
      <c r="I23" s="2550">
        <f>ROUND(E23*D23*F23*(1-G23)/10000,0)</f>
        <v>0</v>
      </c>
    </row>
    <row r="26" spans="1:9">
      <c r="A26" s="2551" t="s">
        <v>2519</v>
      </c>
      <c r="B26" s="2551"/>
      <c r="C26" s="2551"/>
      <c r="D26" s="2551"/>
      <c r="E26" s="3386">
        <f>C27-C30-C31-C32</f>
        <v>0</v>
      </c>
      <c r="F26" s="3386"/>
      <c r="G26" s="3386"/>
      <c r="H26" s="3002" t="s">
        <v>2849</v>
      </c>
    </row>
    <row r="27" spans="1:9">
      <c r="A27" s="2552">
        <v>1</v>
      </c>
      <c r="B27" s="2553" t="s">
        <v>2520</v>
      </c>
      <c r="C27" s="2553"/>
      <c r="D27" s="2553"/>
      <c r="E27" s="3387"/>
      <c r="F27" s="3387"/>
      <c r="G27" s="3387"/>
    </row>
    <row r="28" spans="1:9">
      <c r="A28" s="2554" t="s">
        <v>2521</v>
      </c>
      <c r="B28" s="2553" t="s">
        <v>2522</v>
      </c>
      <c r="C28" s="2553"/>
      <c r="D28" s="2553"/>
      <c r="E28" s="3387"/>
      <c r="F28" s="3387"/>
      <c r="G28" s="3387"/>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388"/>
      <c r="F32" s="3388"/>
      <c r="G32" s="3388"/>
    </row>
    <row r="33" spans="1:7" hidden="1">
      <c r="A33" s="3383" t="s">
        <v>2530</v>
      </c>
      <c r="B33" s="3384"/>
      <c r="C33" s="3384"/>
      <c r="D33" s="3385"/>
      <c r="E33" s="3386"/>
      <c r="F33" s="3386"/>
      <c r="G33" s="3386"/>
    </row>
    <row r="34" spans="1:7" hidden="1">
      <c r="A34" s="2556">
        <v>1</v>
      </c>
      <c r="B34" s="2553" t="s">
        <v>2531</v>
      </c>
      <c r="C34" s="2553"/>
      <c r="D34" s="2553"/>
      <c r="E34" s="3387"/>
      <c r="F34" s="3387"/>
      <c r="G34" s="3387"/>
    </row>
    <row r="35" spans="1:7" hidden="1">
      <c r="A35" s="2556">
        <v>2</v>
      </c>
      <c r="B35" s="2553" t="s">
        <v>2532</v>
      </c>
      <c r="C35" s="2553"/>
      <c r="D35" s="2553"/>
      <c r="E35" s="3387"/>
      <c r="F35" s="3387"/>
      <c r="G35" s="3387"/>
    </row>
    <row r="36" spans="1:7" hidden="1">
      <c r="A36" s="2556">
        <v>3</v>
      </c>
      <c r="B36" s="2553" t="s">
        <v>2533</v>
      </c>
      <c r="C36" s="2553"/>
      <c r="D36" s="2553"/>
      <c r="E36" s="3387"/>
      <c r="F36" s="3387"/>
      <c r="G36" s="3387"/>
    </row>
    <row r="37" spans="1:7" hidden="1">
      <c r="A37" s="2556">
        <v>4</v>
      </c>
      <c r="B37" s="2553" t="s">
        <v>2534</v>
      </c>
      <c r="C37" s="2553"/>
      <c r="D37" s="2553"/>
      <c r="E37" s="3387"/>
      <c r="F37" s="3387"/>
      <c r="G37" s="3387"/>
    </row>
    <row r="38" spans="1:7" hidden="1">
      <c r="A38" s="3383" t="s">
        <v>2535</v>
      </c>
      <c r="B38" s="3384"/>
      <c r="C38" s="3384"/>
      <c r="D38" s="3385"/>
      <c r="E38" s="3386"/>
      <c r="F38" s="3386"/>
      <c r="G38" s="33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0"/>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8" t="s">
        <v>1687</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1"/>
      <c r="B6" s="742" t="s">
        <v>605</v>
      </c>
      <c r="C6" s="743" t="s">
        <v>606</v>
      </c>
      <c r="D6" s="743" t="s">
        <v>607</v>
      </c>
      <c r="E6" s="744" t="s">
        <v>608</v>
      </c>
      <c r="F6" s="744" t="s">
        <v>609</v>
      </c>
      <c r="G6" s="745"/>
    </row>
    <row r="7" spans="1:25" s="2181" customFormat="1" ht="13.5" customHeight="1">
      <c r="A7" s="2491">
        <v>1</v>
      </c>
      <c r="B7" s="746" t="s">
        <v>610</v>
      </c>
      <c r="C7" s="747">
        <f>C8+C9</f>
        <v>0</v>
      </c>
      <c r="D7" s="747"/>
      <c r="E7" s="748"/>
      <c r="F7" s="748"/>
      <c r="G7" s="2501"/>
    </row>
    <row r="8" spans="1:25" s="2181" customFormat="1" ht="13.5" customHeight="1">
      <c r="A8" s="2491" t="s">
        <v>2442</v>
      </c>
      <c r="B8" s="2494" t="s">
        <v>2444</v>
      </c>
      <c r="C8" s="2495"/>
      <c r="D8" s="747"/>
      <c r="E8" s="748"/>
      <c r="F8" s="748"/>
      <c r="G8" s="749"/>
    </row>
    <row r="9" spans="1:25" s="2181" customFormat="1" ht="13.5" customHeight="1">
      <c r="A9" s="2491" t="s">
        <v>2443</v>
      </c>
      <c r="B9" s="2494" t="s">
        <v>2445</v>
      </c>
      <c r="C9" s="2495"/>
      <c r="D9" s="747"/>
      <c r="E9" s="748"/>
      <c r="F9" s="748"/>
      <c r="G9" s="749"/>
    </row>
    <row r="10" spans="1:25" s="2181" customFormat="1" ht="36">
      <c r="A10" s="2491">
        <v>2</v>
      </c>
      <c r="B10" s="746" t="s">
        <v>614</v>
      </c>
      <c r="C10" s="747">
        <f>C11+C14+C15</f>
        <v>0</v>
      </c>
      <c r="D10" s="758">
        <f>'数据-汇总表'!E3</f>
        <v>82827.8</v>
      </c>
      <c r="E10" s="747">
        <f>'数据-取费表'!B31</f>
        <v>150</v>
      </c>
      <c r="F10" s="759"/>
      <c r="G10" s="757" t="s">
        <v>615</v>
      </c>
    </row>
    <row r="11" spans="1:25" s="2181" customFormat="1" ht="13.5" customHeight="1">
      <c r="A11" s="2491" t="s">
        <v>2442</v>
      </c>
      <c r="B11" s="750" t="s">
        <v>611</v>
      </c>
      <c r="C11" s="751">
        <f>'数据-取费表'!B29</f>
        <v>0</v>
      </c>
      <c r="D11" s="752"/>
      <c r="E11" s="751"/>
      <c r="F11" s="753"/>
      <c r="G11" s="2500" t="s">
        <v>2453</v>
      </c>
    </row>
    <row r="12" spans="1:25" s="2181" customFormat="1" ht="13.5" customHeight="1">
      <c r="A12" s="2498" t="s">
        <v>2450</v>
      </c>
      <c r="B12" s="754" t="s">
        <v>612</v>
      </c>
      <c r="C12" s="755">
        <f>ROUND(D12*E12/10000,0)</f>
        <v>0</v>
      </c>
      <c r="D12" s="756">
        <f>'数据-汇总表'!E5</f>
        <v>0</v>
      </c>
      <c r="E12" s="755">
        <f>'数据-取费表'!B27</f>
        <v>30</v>
      </c>
      <c r="F12" s="753"/>
      <c r="G12" s="757"/>
    </row>
    <row r="13" spans="1:25" s="2181" customFormat="1" ht="13.5" customHeight="1">
      <c r="A13" s="2498" t="s">
        <v>2449</v>
      </c>
      <c r="B13" s="754" t="s">
        <v>613</v>
      </c>
      <c r="C13" s="755">
        <f>ROUND(D13*E13/10000,0)</f>
        <v>248</v>
      </c>
      <c r="D13" s="756">
        <f>'数据-汇总表'!E6</f>
        <v>82827.8</v>
      </c>
      <c r="E13" s="755">
        <f>'数据-取费表'!B28</f>
        <v>30</v>
      </c>
      <c r="F13" s="753"/>
      <c r="G13" s="757"/>
    </row>
    <row r="14" spans="1:25" s="2181" customFormat="1" ht="13.5" customHeight="1">
      <c r="A14" s="2491" t="s">
        <v>2443</v>
      </c>
      <c r="B14" s="2497" t="s">
        <v>2446</v>
      </c>
      <c r="C14" s="2495"/>
      <c r="D14" s="756"/>
      <c r="E14" s="755"/>
      <c r="F14" s="2496"/>
      <c r="G14" s="2499" t="s">
        <v>2451</v>
      </c>
    </row>
    <row r="15" spans="1:25" s="2181" customFormat="1" ht="13.5" customHeight="1">
      <c r="A15" s="2491" t="s">
        <v>2448</v>
      </c>
      <c r="B15" s="2497" t="s">
        <v>2447</v>
      </c>
      <c r="C15" s="2495"/>
      <c r="D15" s="756"/>
      <c r="E15" s="755"/>
      <c r="F15" s="2496"/>
      <c r="G15" s="2499" t="s">
        <v>2452</v>
      </c>
    </row>
    <row r="16" spans="1:25" s="2182" customFormat="1" ht="48">
      <c r="A16" s="2491">
        <v>3</v>
      </c>
      <c r="B16" s="746" t="s">
        <v>616</v>
      </c>
      <c r="C16" s="2495"/>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617</v>
      </c>
      <c r="C17" s="259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618</v>
      </c>
      <c r="C18" s="747">
        <f>ROUND((C7+C10+C16)*F18,0)</f>
        <v>0</v>
      </c>
      <c r="D18" s="760"/>
      <c r="E18" s="761"/>
      <c r="F18" s="759">
        <f>'数据-取费表'!Q16</f>
        <v>0.25</v>
      </c>
      <c r="G18" s="763"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620</v>
      </c>
      <c r="C19" s="747">
        <f ca="1">C7+C10+C16+C17+C18</f>
        <v>0</v>
      </c>
      <c r="D19" s="758"/>
      <c r="E19" s="747"/>
      <c r="F19" s="759"/>
      <c r="G19" s="763"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622</v>
      </c>
      <c r="C20" s="747">
        <f ca="1">ROUND(C19*F20,0)</f>
        <v>0</v>
      </c>
      <c r="D20" s="758"/>
      <c r="E20" s="747"/>
      <c r="F20" s="1347"/>
      <c r="G20" s="763"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624</v>
      </c>
      <c r="C21" s="747">
        <f ca="1">C19+C20</f>
        <v>0</v>
      </c>
      <c r="D21" s="758"/>
      <c r="E21" s="747"/>
      <c r="F21" s="759"/>
      <c r="G21" s="763"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626</v>
      </c>
      <c r="C22" s="747">
        <f ca="1">ROUND(C21*F22,0)</f>
        <v>0</v>
      </c>
      <c r="D22" s="758"/>
      <c r="E22" s="747"/>
      <c r="F22" s="764">
        <f>'数据-取费表'!AP16</f>
        <v>0.79800000000000004</v>
      </c>
      <c r="G22" s="763"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628</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17" sqref="M17"/>
    </sheetView>
  </sheetViews>
  <sheetFormatPr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375" style="1335" customWidth="1"/>
    <col min="8" max="8" width="12.25" style="1335" customWidth="1"/>
    <col min="9" max="9" width="15.8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2" t="s">
        <v>720</v>
      </c>
      <c r="C1" s="2643" t="s">
        <v>721</v>
      </c>
      <c r="D1" s="2644" t="s">
        <v>924</v>
      </c>
      <c r="E1" s="2645"/>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1">
        <f>ROUND(B3*D3/10000,0)</f>
        <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520</v>
      </c>
      <c r="B3" s="849">
        <f>C49</f>
        <v>4302.3</v>
      </c>
      <c r="C3" s="850" t="s">
        <v>723</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522</v>
      </c>
      <c r="B4" s="511"/>
      <c r="C4" s="3310" t="s">
        <v>523</v>
      </c>
      <c r="D4" s="3311"/>
      <c r="E4" s="3336" t="s">
        <v>524</v>
      </c>
      <c r="F4" s="3337"/>
      <c r="G4" s="3310" t="s">
        <v>525</v>
      </c>
      <c r="H4" s="3311"/>
      <c r="I4" s="3310" t="s">
        <v>526</v>
      </c>
      <c r="J4" s="3311"/>
      <c r="K4" s="851" t="s">
        <v>527</v>
      </c>
      <c r="L4" s="2131"/>
      <c r="M4" s="2132"/>
      <c r="N4" s="2132"/>
      <c r="O4" s="2132"/>
      <c r="P4" s="3312" t="s">
        <v>528</v>
      </c>
      <c r="Q4" s="3313"/>
      <c r="R4" s="3298" t="s">
        <v>524</v>
      </c>
      <c r="S4" s="3299"/>
      <c r="T4" s="3298" t="s">
        <v>525</v>
      </c>
      <c r="U4" s="3299"/>
      <c r="V4" s="3318" t="s">
        <v>526</v>
      </c>
      <c r="W4" s="3318"/>
      <c r="X4" s="1566"/>
      <c r="Y4" s="3298" t="s">
        <v>528</v>
      </c>
      <c r="Z4" s="3299"/>
      <c r="AA4" s="3293" t="s">
        <v>524</v>
      </c>
      <c r="AB4" s="3293" t="s">
        <v>525</v>
      </c>
      <c r="AC4" s="3293" t="s">
        <v>526</v>
      </c>
    </row>
    <row r="5" spans="1:29" ht="15">
      <c r="A5" s="513"/>
      <c r="B5" s="514"/>
      <c r="C5" s="3323" t="s">
        <v>2932</v>
      </c>
      <c r="D5" s="3322"/>
      <c r="E5" s="3404" t="s">
        <v>3073</v>
      </c>
      <c r="F5" s="3339"/>
      <c r="G5" s="3321" t="s">
        <v>3074</v>
      </c>
      <c r="H5" s="3322"/>
      <c r="I5" s="3323" t="s">
        <v>2935</v>
      </c>
      <c r="J5" s="3322"/>
      <c r="K5" s="852"/>
      <c r="L5" s="2131"/>
      <c r="M5" s="2132"/>
      <c r="N5" s="2132"/>
      <c r="O5" s="2132"/>
      <c r="P5" s="3314"/>
      <c r="Q5" s="3315"/>
      <c r="R5" s="3300"/>
      <c r="S5" s="3301"/>
      <c r="T5" s="3300"/>
      <c r="U5" s="3301"/>
      <c r="V5" s="3318"/>
      <c r="W5" s="3318"/>
      <c r="X5" s="1566"/>
      <c r="Y5" s="3300"/>
      <c r="Z5" s="3301"/>
      <c r="AA5" s="3294"/>
      <c r="AB5" s="3294"/>
      <c r="AC5" s="3294"/>
    </row>
    <row r="6" spans="1:29" ht="15.75" thickBot="1">
      <c r="A6" s="515"/>
      <c r="B6" s="516"/>
      <c r="C6" s="3340" t="s">
        <v>2936</v>
      </c>
      <c r="D6" s="3320"/>
      <c r="E6" s="3341" t="s">
        <v>2936</v>
      </c>
      <c r="F6" s="3342"/>
      <c r="G6" s="3340" t="s">
        <v>2936</v>
      </c>
      <c r="H6" s="3320"/>
      <c r="I6" s="3340" t="s">
        <v>2936</v>
      </c>
      <c r="J6" s="3320"/>
      <c r="K6" s="852" t="s">
        <v>529</v>
      </c>
      <c r="L6" s="2131"/>
      <c r="M6" s="2132"/>
      <c r="N6" s="2132"/>
      <c r="O6" s="2132"/>
      <c r="P6" s="3316"/>
      <c r="Q6" s="3317"/>
      <c r="R6" s="3300"/>
      <c r="S6" s="3301"/>
      <c r="T6" s="3302"/>
      <c r="U6" s="3303"/>
      <c r="V6" s="3318"/>
      <c r="W6" s="3318"/>
      <c r="X6" s="1566"/>
      <c r="Y6" s="3302"/>
      <c r="Z6" s="3303"/>
      <c r="AA6" s="3295"/>
      <c r="AB6" s="3295"/>
      <c r="AC6" s="3295"/>
    </row>
    <row r="7" spans="1:29" s="1218" customFormat="1" ht="15.75" thickBot="1">
      <c r="A7" s="2876"/>
      <c r="B7" s="2883" t="s">
        <v>530</v>
      </c>
      <c r="C7" s="517">
        <f>'数据-取费表'!B2</f>
        <v>43061</v>
      </c>
      <c r="D7" s="518">
        <v>100</v>
      </c>
      <c r="E7" s="519">
        <f>C7</f>
        <v>43061</v>
      </c>
      <c r="F7" s="520">
        <f>SUMIF(58:58,YEAR(E7)&amp;"-"&amp;MONTH(E7),59:59)</f>
        <v>100</v>
      </c>
      <c r="G7" s="521">
        <f>C7</f>
        <v>43061</v>
      </c>
      <c r="H7" s="518">
        <f>SUMIF(58:58,YEAR(G7)&amp;"-"&amp;MONTH(G7),59:59)</f>
        <v>100</v>
      </c>
      <c r="I7" s="521">
        <f>C7</f>
        <v>43061</v>
      </c>
      <c r="J7" s="518">
        <f>SUMIF(58:58,YEAR(I7)&amp;"-"&amp;MONTH(I7),59:59)</f>
        <v>100</v>
      </c>
      <c r="K7" s="853"/>
      <c r="L7" s="2133"/>
      <c r="M7" s="2134"/>
      <c r="N7" s="2134"/>
      <c r="O7" s="2134"/>
      <c r="P7" s="3296" t="s">
        <v>531</v>
      </c>
      <c r="Q7" s="3305"/>
      <c r="R7" s="1567" t="s">
        <v>13</v>
      </c>
      <c r="S7" s="1568">
        <f t="shared" ref="S7:S15" si="0">F7</f>
        <v>100</v>
      </c>
      <c r="T7" s="1567" t="s">
        <v>13</v>
      </c>
      <c r="U7" s="1568">
        <f t="shared" ref="U7:U15" si="1">H7</f>
        <v>100</v>
      </c>
      <c r="V7" s="1567" t="s">
        <v>13</v>
      </c>
      <c r="W7" s="1568">
        <f t="shared" ref="W7:W15" si="2">J7</f>
        <v>100</v>
      </c>
      <c r="X7" s="1569"/>
      <c r="Y7" s="3296" t="s">
        <v>531</v>
      </c>
      <c r="Z7" s="3297"/>
      <c r="AA7" s="1570">
        <f>D7/F7</f>
        <v>1</v>
      </c>
      <c r="AB7" s="1570">
        <f>D7/H7</f>
        <v>1</v>
      </c>
      <c r="AC7" s="1570">
        <f>D7/J7</f>
        <v>1</v>
      </c>
    </row>
    <row r="8" spans="1:29" s="1218" customFormat="1" ht="15.75" thickBot="1">
      <c r="A8" s="2877"/>
      <c r="B8" s="2884" t="s">
        <v>532</v>
      </c>
      <c r="C8" s="523" t="s">
        <v>577</v>
      </c>
      <c r="D8" s="518">
        <v>100</v>
      </c>
      <c r="E8" s="854" t="s">
        <v>3004</v>
      </c>
      <c r="F8" s="520">
        <f>SUMIF(61:61,E8,62:62)-SUMIF(61:61,C8,62:62)+100</f>
        <v>100</v>
      </c>
      <c r="G8" s="523" t="s">
        <v>3004</v>
      </c>
      <c r="H8" s="518">
        <f>SUMIF(61:61,G8,62:62)-SUMIF(61:61,C8,62:62)+100</f>
        <v>100</v>
      </c>
      <c r="I8" s="854" t="s">
        <v>3004</v>
      </c>
      <c r="J8" s="518">
        <f>SUMIF(61:61,I8,62:62)-SUMIF(61:61,C8,62:62)+100</f>
        <v>100</v>
      </c>
      <c r="K8" s="853"/>
      <c r="L8" s="2133"/>
      <c r="M8" s="2134"/>
      <c r="N8" s="2134"/>
      <c r="O8" s="2134"/>
      <c r="P8" s="3296" t="s">
        <v>534</v>
      </c>
      <c r="Q8" s="3297"/>
      <c r="R8" s="1567" t="s">
        <v>13</v>
      </c>
      <c r="S8" s="1568">
        <f t="shared" si="0"/>
        <v>100</v>
      </c>
      <c r="T8" s="1567" t="s">
        <v>13</v>
      </c>
      <c r="U8" s="1568">
        <f t="shared" si="1"/>
        <v>100</v>
      </c>
      <c r="V8" s="1567" t="s">
        <v>13</v>
      </c>
      <c r="W8" s="1568">
        <f t="shared" si="2"/>
        <v>100</v>
      </c>
      <c r="X8" s="1569"/>
      <c r="Y8" s="3296" t="s">
        <v>534</v>
      </c>
      <c r="Z8" s="3297"/>
      <c r="AA8" s="1570">
        <f t="shared" ref="AA8:AA46" si="3">D8/F8</f>
        <v>1</v>
      </c>
      <c r="AB8" s="1570">
        <f t="shared" ref="AB8:AB46" si="4">D8/H8</f>
        <v>1</v>
      </c>
      <c r="AC8" s="1570">
        <f t="shared" ref="AC8:AC46" si="5">D8/J8</f>
        <v>1</v>
      </c>
    </row>
    <row r="9" spans="1:29" s="1218" customFormat="1" ht="15">
      <c r="A9" s="2878"/>
      <c r="B9" s="2885" t="s">
        <v>2762</v>
      </c>
      <c r="C9" s="3114" t="s">
        <v>3070</v>
      </c>
      <c r="D9" s="254">
        <v>100</v>
      </c>
      <c r="E9" s="856" t="s">
        <v>924</v>
      </c>
      <c r="F9" s="857">
        <f>SUMIF(63:63,E9,64:64)-SUMIF(63:63,C9,64:64)+100</f>
        <v>100</v>
      </c>
      <c r="G9" s="858" t="s">
        <v>924</v>
      </c>
      <c r="H9" s="254">
        <f>SUMIF(63:63,G9,64:64)-SUMIF(63:63,C9,64:64)+100</f>
        <v>100</v>
      </c>
      <c r="I9" s="858" t="s">
        <v>924</v>
      </c>
      <c r="J9" s="254">
        <f>SUMIF(63:63,I9,64:64)-SUMIF(63:63,C9,64:64)+100</f>
        <v>100</v>
      </c>
      <c r="K9" s="853"/>
      <c r="L9" s="2133"/>
      <c r="M9" s="2134"/>
      <c r="N9" s="2134"/>
      <c r="O9" s="2135"/>
      <c r="P9" s="3304" t="s">
        <v>536</v>
      </c>
      <c r="Q9" s="1149" t="str">
        <f t="shared" ref="Q9:Q15" si="6">B9</f>
        <v>用途</v>
      </c>
      <c r="R9" s="1567" t="s">
        <v>8</v>
      </c>
      <c r="S9" s="1568">
        <f t="shared" si="0"/>
        <v>100</v>
      </c>
      <c r="T9" s="1567" t="s">
        <v>8</v>
      </c>
      <c r="U9" s="1568">
        <f t="shared" si="1"/>
        <v>100</v>
      </c>
      <c r="V9" s="1567" t="s">
        <v>8</v>
      </c>
      <c r="W9" s="1568">
        <f t="shared" si="2"/>
        <v>100</v>
      </c>
      <c r="X9" s="1569"/>
      <c r="Y9" s="3261" t="s">
        <v>537</v>
      </c>
      <c r="Z9" s="1148" t="str">
        <f t="shared" ref="Z9:Z15" si="7">Q9</f>
        <v>用途</v>
      </c>
      <c r="AA9" s="1570">
        <f t="shared" si="3"/>
        <v>1</v>
      </c>
      <c r="AB9" s="1570">
        <f t="shared" si="4"/>
        <v>1</v>
      </c>
      <c r="AC9" s="1570">
        <f t="shared" si="5"/>
        <v>1</v>
      </c>
    </row>
    <row r="10" spans="1:29" s="1336" customFormat="1" ht="27">
      <c r="A10" s="2879"/>
      <c r="B10" s="2884" t="s">
        <v>2763</v>
      </c>
      <c r="C10" s="859" t="s">
        <v>3071</v>
      </c>
      <c r="D10" s="255">
        <v>100</v>
      </c>
      <c r="E10" s="860" t="s">
        <v>3071</v>
      </c>
      <c r="F10" s="861">
        <f>SUMIF(65:65,E10,66:66)-SUMIF(65:65,C10,66:66)+100</f>
        <v>100</v>
      </c>
      <c r="G10" s="859" t="s">
        <v>3071</v>
      </c>
      <c r="H10" s="255">
        <f>SUMIF(65:65,G10,66:66)-SUMIF(65:65,C10,66:66)+100</f>
        <v>100</v>
      </c>
      <c r="I10" s="859" t="s">
        <v>3071</v>
      </c>
      <c r="J10" s="255">
        <f>SUMIF(65:65,I10,66:66)-SUMIF(65:65,C10,66:66)+100</f>
        <v>100</v>
      </c>
      <c r="K10" s="862"/>
      <c r="L10" s="2136"/>
      <c r="M10" s="2176"/>
      <c r="N10" s="2176"/>
      <c r="O10" s="2137"/>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75" thickBot="1">
      <c r="A11" s="2880"/>
      <c r="B11" s="2884" t="s">
        <v>2764</v>
      </c>
      <c r="C11" s="531">
        <v>2.2000000000000002</v>
      </c>
      <c r="D11" s="255">
        <v>100</v>
      </c>
      <c r="E11" s="532"/>
      <c r="F11" s="861">
        <f>LOOKUP(E11,68:68,69:69)-LOOKUP(C11,68:68,69:69)+100</f>
        <v>100</v>
      </c>
      <c r="G11" s="531"/>
      <c r="H11" s="255">
        <f>LOOKUP(G11,68:68,69:69)-LOOKUP(C11,68:68,69:69)+100</f>
        <v>100</v>
      </c>
      <c r="I11" s="531"/>
      <c r="J11" s="255">
        <f>LOOKUP(I11,68:68,69:69)-LOOKUP(C11,68:68,69:69)+100</f>
        <v>100</v>
      </c>
      <c r="K11" s="862"/>
      <c r="L11" s="2138"/>
      <c r="M11" s="2132"/>
      <c r="N11" s="2132"/>
      <c r="O11" s="2139"/>
      <c r="P11" s="3304"/>
      <c r="Q11" s="1149" t="str">
        <f t="shared" si="6"/>
        <v>容积率</v>
      </c>
      <c r="R11" s="1567" t="s">
        <v>11</v>
      </c>
      <c r="S11" s="1568">
        <f t="shared" si="0"/>
        <v>100</v>
      </c>
      <c r="T11" s="1567" t="s">
        <v>11</v>
      </c>
      <c r="U11" s="1568">
        <f t="shared" si="1"/>
        <v>100</v>
      </c>
      <c r="V11" s="1567" t="s">
        <v>11</v>
      </c>
      <c r="W11" s="1568">
        <f t="shared" si="2"/>
        <v>100</v>
      </c>
      <c r="X11" s="1569"/>
      <c r="Y11" s="3261"/>
      <c r="Z11" s="1148" t="str">
        <f t="shared" si="7"/>
        <v>容积率</v>
      </c>
      <c r="AA11" s="1570">
        <f t="shared" si="3"/>
        <v>1</v>
      </c>
      <c r="AB11" s="1570">
        <f t="shared" si="4"/>
        <v>1</v>
      </c>
      <c r="AC11" s="1570">
        <f t="shared" si="5"/>
        <v>1</v>
      </c>
    </row>
    <row r="12" spans="1:29" s="1218" customFormat="1" ht="15" hidden="1">
      <c r="A12" s="2881"/>
      <c r="B12" s="2887">
        <v>111</v>
      </c>
      <c r="C12" s="526"/>
      <c r="D12" s="536">
        <v>100</v>
      </c>
      <c r="E12" s="526"/>
      <c r="F12" s="861">
        <f>SUMIF(70:70,E12,71:71)-SUMIF(70:70,C12,71:71)+100</f>
        <v>100</v>
      </c>
      <c r="G12" s="526"/>
      <c r="H12" s="255">
        <f>SUMIF(70:70,G12,71:71)-SUMIF(70:70,C12,71:71)+100</f>
        <v>100</v>
      </c>
      <c r="I12" s="526"/>
      <c r="J12" s="255">
        <f>SUMIF(70:70,I12,71:71)-SUMIF(70:70,C12,71:71)+100</f>
        <v>100</v>
      </c>
      <c r="K12" s="863"/>
      <c r="L12" s="2133"/>
      <c r="M12" s="2134"/>
      <c r="N12" s="2134"/>
      <c r="O12" s="2135"/>
      <c r="P12" s="3304"/>
      <c r="Q12" s="1149">
        <f t="shared" si="6"/>
        <v>111</v>
      </c>
      <c r="R12" s="1567" t="s">
        <v>11</v>
      </c>
      <c r="S12" s="1568">
        <f t="shared" si="0"/>
        <v>100</v>
      </c>
      <c r="T12" s="1567" t="s">
        <v>11</v>
      </c>
      <c r="U12" s="1568">
        <f t="shared" si="1"/>
        <v>100</v>
      </c>
      <c r="V12" s="1567" t="s">
        <v>11</v>
      </c>
      <c r="W12" s="1568">
        <f t="shared" si="2"/>
        <v>100</v>
      </c>
      <c r="X12" s="1569"/>
      <c r="Y12" s="3261"/>
      <c r="Z12" s="1148">
        <f t="shared" si="7"/>
        <v>111</v>
      </c>
      <c r="AA12" s="1570">
        <f>D12/F12</f>
        <v>1</v>
      </c>
      <c r="AB12" s="1570">
        <f>D12/H12</f>
        <v>1</v>
      </c>
      <c r="AC12" s="1570">
        <f>D12/J12</f>
        <v>1</v>
      </c>
    </row>
    <row r="13" spans="1:29" ht="15" hidden="1">
      <c r="A13" s="2881"/>
      <c r="B13" s="2887">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04"/>
      <c r="Q13" s="1149">
        <f t="shared" si="6"/>
        <v>111</v>
      </c>
      <c r="R13" s="1567" t="s">
        <v>11</v>
      </c>
      <c r="S13" s="1568">
        <f t="shared" si="0"/>
        <v>100</v>
      </c>
      <c r="T13" s="1567" t="s">
        <v>11</v>
      </c>
      <c r="U13" s="1568">
        <f t="shared" si="1"/>
        <v>100</v>
      </c>
      <c r="V13" s="1567" t="s">
        <v>11</v>
      </c>
      <c r="W13" s="1568">
        <f t="shared" si="2"/>
        <v>100</v>
      </c>
      <c r="X13" s="1569"/>
      <c r="Y13" s="3261"/>
      <c r="Z13" s="1148">
        <f t="shared" si="7"/>
        <v>111</v>
      </c>
      <c r="AA13" s="1570">
        <f t="shared" si="3"/>
        <v>1</v>
      </c>
      <c r="AB13" s="1570">
        <f t="shared" si="4"/>
        <v>1</v>
      </c>
      <c r="AC13" s="1570">
        <f t="shared" si="5"/>
        <v>1</v>
      </c>
    </row>
    <row r="14" spans="1:29" ht="15.75" hidden="1" thickBot="1">
      <c r="A14" s="2882"/>
      <c r="B14" s="2888">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04"/>
      <c r="Q14" s="1149">
        <f t="shared" si="6"/>
        <v>111</v>
      </c>
      <c r="R14" s="1567" t="s">
        <v>11</v>
      </c>
      <c r="S14" s="1568">
        <f t="shared" si="0"/>
        <v>100</v>
      </c>
      <c r="T14" s="1567" t="s">
        <v>11</v>
      </c>
      <c r="U14" s="1568">
        <f t="shared" si="1"/>
        <v>100</v>
      </c>
      <c r="V14" s="1567" t="s">
        <v>11</v>
      </c>
      <c r="W14" s="1568">
        <f t="shared" si="2"/>
        <v>100</v>
      </c>
      <c r="X14" s="1569"/>
      <c r="Y14" s="3261"/>
      <c r="Z14" s="1148">
        <f t="shared" si="7"/>
        <v>111</v>
      </c>
      <c r="AA14" s="1570">
        <f t="shared" si="3"/>
        <v>1</v>
      </c>
      <c r="AB14" s="1570">
        <f t="shared" si="4"/>
        <v>1</v>
      </c>
      <c r="AC14" s="1570">
        <f t="shared" si="5"/>
        <v>1</v>
      </c>
    </row>
    <row r="15" spans="1:29" ht="99.75">
      <c r="A15" s="2874" t="s">
        <v>2760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306" t="s">
        <v>541</v>
      </c>
      <c r="Q15" s="1571" t="str">
        <f t="shared" si="6"/>
        <v>居住社区成熟度</v>
      </c>
      <c r="R15" s="1572" t="s">
        <v>11</v>
      </c>
      <c r="S15" s="1573">
        <f t="shared" si="0"/>
        <v>100</v>
      </c>
      <c r="T15" s="1572" t="s">
        <v>11</v>
      </c>
      <c r="U15" s="1573">
        <f t="shared" si="1"/>
        <v>100</v>
      </c>
      <c r="V15" s="1572" t="s">
        <v>11</v>
      </c>
      <c r="W15" s="1573">
        <f t="shared" si="2"/>
        <v>100</v>
      </c>
      <c r="X15" s="1566"/>
      <c r="Y15" s="3306" t="s">
        <v>541</v>
      </c>
      <c r="Z15" s="1574" t="str">
        <f t="shared" si="7"/>
        <v>居住社区成熟度</v>
      </c>
      <c r="AA15" s="1575">
        <f t="shared" si="3"/>
        <v>1</v>
      </c>
      <c r="AB15" s="1575">
        <f t="shared" si="4"/>
        <v>1</v>
      </c>
      <c r="AC15" s="1575">
        <f t="shared" si="5"/>
        <v>1</v>
      </c>
    </row>
    <row r="16" spans="1:29" ht="15">
      <c r="A16" s="530"/>
      <c r="B16" s="867"/>
      <c r="C16" s="574" t="s">
        <v>3017</v>
      </c>
      <c r="D16" s="553"/>
      <c r="E16" s="554" t="s">
        <v>3017</v>
      </c>
      <c r="F16" s="555"/>
      <c r="G16" s="556" t="s">
        <v>3017</v>
      </c>
      <c r="H16" s="557"/>
      <c r="I16" s="554" t="s">
        <v>3017</v>
      </c>
      <c r="J16" s="553"/>
      <c r="K16" s="868"/>
      <c r="L16" s="2140"/>
      <c r="M16" s="2132"/>
      <c r="N16" s="2132"/>
      <c r="O16" s="2139"/>
      <c r="P16" s="3307"/>
      <c r="Q16" s="1571"/>
      <c r="R16" s="1572"/>
      <c r="S16" s="1573"/>
      <c r="T16" s="1572"/>
      <c r="U16" s="1573"/>
      <c r="V16" s="1572"/>
      <c r="W16" s="1573"/>
      <c r="X16" s="1566"/>
      <c r="Y16" s="330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40"/>
      <c r="M17" s="2132"/>
      <c r="N17" s="2132"/>
      <c r="O17" s="2139"/>
      <c r="P17" s="3307"/>
      <c r="Q17" s="1571" t="str">
        <f>B17</f>
        <v>交通便捷度</v>
      </c>
      <c r="R17" s="1572" t="s">
        <v>11</v>
      </c>
      <c r="S17" s="1573">
        <f>F17</f>
        <v>100</v>
      </c>
      <c r="T17" s="1572" t="s">
        <v>11</v>
      </c>
      <c r="U17" s="1573">
        <f>H17</f>
        <v>100</v>
      </c>
      <c r="V17" s="1572" t="s">
        <v>11</v>
      </c>
      <c r="W17" s="1573">
        <f>J17</f>
        <v>102</v>
      </c>
      <c r="X17" s="1566"/>
      <c r="Y17" s="3307"/>
      <c r="Z17" s="1574" t="str">
        <f>Q17</f>
        <v>交通便捷度</v>
      </c>
      <c r="AA17" s="1575">
        <f t="shared" si="3"/>
        <v>1</v>
      </c>
      <c r="AB17" s="1575">
        <f t="shared" si="4"/>
        <v>1</v>
      </c>
      <c r="AC17" s="1575">
        <f t="shared" si="5"/>
        <v>0.98039215686274506</v>
      </c>
    </row>
    <row r="18" spans="1:29" ht="15">
      <c r="A18" s="530"/>
      <c r="B18" s="593"/>
      <c r="C18" s="871" t="s">
        <v>3017</v>
      </c>
      <c r="D18" s="557"/>
      <c r="E18" s="566" t="s">
        <v>3017</v>
      </c>
      <c r="F18" s="561"/>
      <c r="G18" s="567" t="s">
        <v>3017</v>
      </c>
      <c r="H18" s="553"/>
      <c r="I18" s="566" t="s">
        <v>3075</v>
      </c>
      <c r="J18" s="553"/>
      <c r="K18" s="868"/>
      <c r="L18" s="2140"/>
      <c r="M18" s="2132"/>
      <c r="N18" s="2132"/>
      <c r="O18" s="2139"/>
      <c r="P18" s="3307"/>
      <c r="Q18" s="1571"/>
      <c r="R18" s="1572"/>
      <c r="S18" s="1573"/>
      <c r="T18" s="1572"/>
      <c r="U18" s="1573"/>
      <c r="V18" s="1572"/>
      <c r="W18" s="1573"/>
      <c r="X18" s="1566"/>
      <c r="Y18" s="3307"/>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102</v>
      </c>
      <c r="K19" s="866">
        <v>2</v>
      </c>
      <c r="L19" s="2140"/>
      <c r="M19" s="2132"/>
      <c r="N19" s="2132"/>
      <c r="O19" s="2139"/>
      <c r="P19" s="3307"/>
      <c r="Q19" s="1571" t="str">
        <f>B19</f>
        <v>公共配套设施</v>
      </c>
      <c r="R19" s="1572" t="s">
        <v>11</v>
      </c>
      <c r="S19" s="1573">
        <f>F19</f>
        <v>100</v>
      </c>
      <c r="T19" s="1572" t="s">
        <v>11</v>
      </c>
      <c r="U19" s="1573">
        <f>H19</f>
        <v>100</v>
      </c>
      <c r="V19" s="1572" t="s">
        <v>11</v>
      </c>
      <c r="W19" s="1573">
        <f>J19</f>
        <v>102</v>
      </c>
      <c r="X19" s="1566"/>
      <c r="Y19" s="3307"/>
      <c r="Z19" s="1574" t="str">
        <f>Q19</f>
        <v>公共配套设施</v>
      </c>
      <c r="AA19" s="1575">
        <f t="shared" si="3"/>
        <v>1</v>
      </c>
      <c r="AB19" s="1575">
        <f t="shared" si="4"/>
        <v>1</v>
      </c>
      <c r="AC19" s="1575">
        <f t="shared" si="5"/>
        <v>0.98039215686274506</v>
      </c>
    </row>
    <row r="20" spans="1:29" ht="15">
      <c r="A20" s="530"/>
      <c r="B20" s="593"/>
      <c r="C20" s="574" t="s">
        <v>3019</v>
      </c>
      <c r="D20" s="553"/>
      <c r="E20" s="554" t="s">
        <v>3019</v>
      </c>
      <c r="F20" s="555"/>
      <c r="G20" s="556" t="s">
        <v>3019</v>
      </c>
      <c r="H20" s="553"/>
      <c r="I20" s="554" t="s">
        <v>3017</v>
      </c>
      <c r="J20" s="553"/>
      <c r="K20" s="868"/>
      <c r="L20" s="2140"/>
      <c r="M20" s="2132"/>
      <c r="N20" s="2132"/>
      <c r="O20" s="2139"/>
      <c r="P20" s="3307"/>
      <c r="Q20" s="1571"/>
      <c r="R20" s="1572"/>
      <c r="S20" s="1573"/>
      <c r="T20" s="1572"/>
      <c r="U20" s="1573"/>
      <c r="V20" s="1572"/>
      <c r="W20" s="1573"/>
      <c r="X20" s="1566"/>
      <c r="Y20" s="3307"/>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307"/>
      <c r="Q21" s="2598" t="str">
        <f>B21</f>
        <v>基础设施水平</v>
      </c>
      <c r="R21" s="1572" t="s">
        <v>11</v>
      </c>
      <c r="S21" s="1573">
        <f>F21</f>
        <v>100</v>
      </c>
      <c r="T21" s="1572" t="s">
        <v>11</v>
      </c>
      <c r="U21" s="1573">
        <f>H21</f>
        <v>100</v>
      </c>
      <c r="V21" s="1572" t="s">
        <v>11</v>
      </c>
      <c r="W21" s="1573">
        <f>J21</f>
        <v>100</v>
      </c>
      <c r="X21" s="2600"/>
      <c r="Y21" s="3307"/>
      <c r="Z21" s="2599" t="str">
        <f>Q21</f>
        <v>基础设施水平</v>
      </c>
      <c r="AA21" s="1575">
        <f t="shared" ref="AA21" si="8">D21/F21</f>
        <v>1</v>
      </c>
      <c r="AB21" s="1575">
        <f t="shared" ref="AB21" si="9">D21/H21</f>
        <v>1</v>
      </c>
      <c r="AC21" s="1575">
        <f t="shared" ref="AC21" si="10">D21/J21</f>
        <v>1</v>
      </c>
    </row>
    <row r="22" spans="1:29" ht="15">
      <c r="A22" s="530"/>
      <c r="B22" s="920"/>
      <c r="C22" s="871" t="s">
        <v>3024</v>
      </c>
      <c r="D22" s="553"/>
      <c r="E22" s="574" t="s">
        <v>3024</v>
      </c>
      <c r="F22" s="555"/>
      <c r="G22" s="574" t="s">
        <v>3024</v>
      </c>
      <c r="H22" s="553"/>
      <c r="I22" s="574" t="s">
        <v>3024</v>
      </c>
      <c r="J22" s="553"/>
      <c r="K22" s="2618"/>
      <c r="L22" s="2140"/>
      <c r="M22" s="2132"/>
      <c r="N22" s="2132"/>
      <c r="O22" s="2139"/>
      <c r="P22" s="3307"/>
      <c r="Q22" s="2598"/>
      <c r="R22" s="1572"/>
      <c r="S22" s="1573"/>
      <c r="T22" s="1572"/>
      <c r="U22" s="1573"/>
      <c r="V22" s="1572"/>
      <c r="W22" s="1573"/>
      <c r="X22" s="2600"/>
      <c r="Y22" s="3307"/>
      <c r="Z22" s="2599"/>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98</v>
      </c>
      <c r="G23" s="562"/>
      <c r="H23" s="557">
        <f>SUMIF(84:84,G24,85:85)-SUMIF(84:84,C24,85:85)+100</f>
        <v>98</v>
      </c>
      <c r="I23" s="560"/>
      <c r="J23" s="557">
        <f>SUMIF(84:84,I24,85:85)-SUMIF(84:84,C24,85:85)+100</f>
        <v>102</v>
      </c>
      <c r="K23" s="866">
        <v>2</v>
      </c>
      <c r="L23" s="2140"/>
      <c r="M23" s="2132"/>
      <c r="N23" s="2132"/>
      <c r="O23" s="2139"/>
      <c r="P23" s="3307"/>
      <c r="Q23" s="1571" t="str">
        <f>B23</f>
        <v>自然及人文环境</v>
      </c>
      <c r="R23" s="1572" t="s">
        <v>11</v>
      </c>
      <c r="S23" s="1573">
        <f>F23</f>
        <v>98</v>
      </c>
      <c r="T23" s="1572" t="s">
        <v>11</v>
      </c>
      <c r="U23" s="1573">
        <f>H23</f>
        <v>98</v>
      </c>
      <c r="V23" s="1572" t="s">
        <v>11</v>
      </c>
      <c r="W23" s="1573">
        <f>J23</f>
        <v>102</v>
      </c>
      <c r="X23" s="1566"/>
      <c r="Y23" s="3307"/>
      <c r="Z23" s="1574" t="str">
        <f>Q23</f>
        <v>自然及人文环境</v>
      </c>
      <c r="AA23" s="1575">
        <f t="shared" si="3"/>
        <v>1.0204081632653061</v>
      </c>
      <c r="AB23" s="1575">
        <f t="shared" si="4"/>
        <v>1.0204081632653061</v>
      </c>
      <c r="AC23" s="1575">
        <f t="shared" si="5"/>
        <v>0.98039215686274506</v>
      </c>
    </row>
    <row r="24" spans="1:29" ht="15.75" thickBot="1">
      <c r="A24" s="530"/>
      <c r="B24" s="593"/>
      <c r="C24" s="574" t="s">
        <v>3017</v>
      </c>
      <c r="D24" s="553"/>
      <c r="E24" s="554" t="s">
        <v>3019</v>
      </c>
      <c r="F24" s="555"/>
      <c r="G24" s="556" t="s">
        <v>3019</v>
      </c>
      <c r="H24" s="553"/>
      <c r="I24" s="554" t="s">
        <v>3075</v>
      </c>
      <c r="J24" s="553"/>
      <c r="K24" s="868"/>
      <c r="L24" s="2140"/>
      <c r="M24" s="2132"/>
      <c r="N24" s="2132"/>
      <c r="O24" s="2139"/>
      <c r="P24" s="3307"/>
      <c r="Q24" s="1571"/>
      <c r="R24" s="1572"/>
      <c r="S24" s="1573"/>
      <c r="T24" s="1572"/>
      <c r="U24" s="1573"/>
      <c r="V24" s="1572"/>
      <c r="W24" s="1573"/>
      <c r="X24" s="1566"/>
      <c r="Y24" s="3307"/>
      <c r="Z24" s="1574"/>
      <c r="AA24" s="1575">
        <v>1</v>
      </c>
      <c r="AB24" s="1575">
        <v>1</v>
      </c>
      <c r="AC24" s="1575">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07"/>
      <c r="Q25" s="1571" t="str">
        <f t="shared" ref="Q25:Q46" si="11">B25</f>
        <v>楼层-1</v>
      </c>
      <c r="R25" s="1572" t="s">
        <v>11</v>
      </c>
      <c r="S25" s="1573">
        <f>F25</f>
        <v>100</v>
      </c>
      <c r="T25" s="1572" t="s">
        <v>11</v>
      </c>
      <c r="U25" s="1573">
        <f>H25</f>
        <v>100</v>
      </c>
      <c r="V25" s="1572" t="s">
        <v>11</v>
      </c>
      <c r="W25" s="1573">
        <f>J25</f>
        <v>100</v>
      </c>
      <c r="X25" s="1566"/>
      <c r="Y25" s="3307"/>
      <c r="Z25" s="1574" t="str">
        <f>Q25</f>
        <v>楼层-1</v>
      </c>
      <c r="AA25" s="1575">
        <f t="shared" si="3"/>
        <v>1</v>
      </c>
      <c r="AB25" s="1575">
        <f t="shared" si="4"/>
        <v>1</v>
      </c>
      <c r="AC25" s="1575">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07"/>
      <c r="Q26" s="1571" t="str">
        <f t="shared" si="11"/>
        <v>朝向</v>
      </c>
      <c r="R26" s="1572" t="s">
        <v>11</v>
      </c>
      <c r="S26" s="1573">
        <f>F26</f>
        <v>100</v>
      </c>
      <c r="T26" s="1572" t="s">
        <v>11</v>
      </c>
      <c r="U26" s="1573">
        <f>H26</f>
        <v>100</v>
      </c>
      <c r="V26" s="1572" t="s">
        <v>11</v>
      </c>
      <c r="W26" s="1573">
        <f>J26</f>
        <v>100</v>
      </c>
      <c r="X26" s="1566"/>
      <c r="Y26" s="3307"/>
      <c r="Z26" s="1574" t="str">
        <f>Q26</f>
        <v>朝向</v>
      </c>
      <c r="AA26" s="1575">
        <f t="shared" si="3"/>
        <v>1</v>
      </c>
      <c r="AB26" s="1575">
        <f t="shared" si="4"/>
        <v>1</v>
      </c>
      <c r="AC26" s="1575">
        <f t="shared" si="5"/>
        <v>1</v>
      </c>
    </row>
    <row r="27" spans="1:29" s="1218" customFormat="1" ht="15" hidden="1">
      <c r="A27" s="534"/>
      <c r="B27" s="535" t="s">
        <v>725</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07"/>
      <c r="Q27" s="1149" t="str">
        <f t="shared" si="11"/>
        <v>道路级别</v>
      </c>
      <c r="R27" s="1567" t="s">
        <v>11</v>
      </c>
      <c r="S27" s="1568">
        <f>F27</f>
        <v>100</v>
      </c>
      <c r="T27" s="1567" t="s">
        <v>11</v>
      </c>
      <c r="U27" s="1568">
        <f>H27</f>
        <v>100</v>
      </c>
      <c r="V27" s="1567" t="s">
        <v>11</v>
      </c>
      <c r="W27" s="1568">
        <f>J27</f>
        <v>100</v>
      </c>
      <c r="X27" s="1569"/>
      <c r="Y27" s="3307"/>
      <c r="Z27" s="1148"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07"/>
      <c r="Q28" s="1571">
        <f t="shared" si="11"/>
        <v>111</v>
      </c>
      <c r="R28" s="1572" t="s">
        <v>11</v>
      </c>
      <c r="S28" s="1573">
        <f t="shared" ref="S28:S46" si="12">F28</f>
        <v>100</v>
      </c>
      <c r="T28" s="1572" t="s">
        <v>11</v>
      </c>
      <c r="U28" s="1573">
        <f t="shared" ref="U28:U46" si="13">H28</f>
        <v>100</v>
      </c>
      <c r="V28" s="1572" t="s">
        <v>11</v>
      </c>
      <c r="W28" s="1573">
        <f t="shared" ref="W28:W46" si="14">J28</f>
        <v>100</v>
      </c>
      <c r="X28" s="1566"/>
      <c r="Y28" s="3307"/>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07"/>
      <c r="Q29" s="1571">
        <f t="shared" si="11"/>
        <v>111</v>
      </c>
      <c r="R29" s="1572" t="s">
        <v>11</v>
      </c>
      <c r="S29" s="1573">
        <f t="shared" si="12"/>
        <v>100</v>
      </c>
      <c r="T29" s="1572" t="s">
        <v>11</v>
      </c>
      <c r="U29" s="1573">
        <f t="shared" si="13"/>
        <v>100</v>
      </c>
      <c r="V29" s="1572" t="s">
        <v>11</v>
      </c>
      <c r="W29" s="1573">
        <f t="shared" si="14"/>
        <v>100</v>
      </c>
      <c r="X29" s="1566"/>
      <c r="Y29" s="3307"/>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07"/>
      <c r="Q30" s="1571">
        <f t="shared" si="11"/>
        <v>111</v>
      </c>
      <c r="R30" s="1572" t="s">
        <v>11</v>
      </c>
      <c r="S30" s="1573">
        <f t="shared" si="12"/>
        <v>100</v>
      </c>
      <c r="T30" s="1572" t="s">
        <v>11</v>
      </c>
      <c r="U30" s="1573">
        <f t="shared" si="13"/>
        <v>100</v>
      </c>
      <c r="V30" s="1572" t="s">
        <v>11</v>
      </c>
      <c r="W30" s="1573">
        <f t="shared" si="14"/>
        <v>100</v>
      </c>
      <c r="X30" s="1566"/>
      <c r="Y30" s="3307"/>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07"/>
      <c r="Q31" s="1571">
        <f t="shared" si="11"/>
        <v>111</v>
      </c>
      <c r="R31" s="1572" t="s">
        <v>11</v>
      </c>
      <c r="S31" s="1573">
        <f t="shared" si="12"/>
        <v>100</v>
      </c>
      <c r="T31" s="1572" t="s">
        <v>11</v>
      </c>
      <c r="U31" s="1573">
        <f t="shared" si="13"/>
        <v>100</v>
      </c>
      <c r="V31" s="1572" t="s">
        <v>11</v>
      </c>
      <c r="W31" s="1573">
        <f t="shared" si="14"/>
        <v>100</v>
      </c>
      <c r="X31" s="1566"/>
      <c r="Y31" s="3307"/>
      <c r="Z31" s="1574">
        <f t="shared" si="15"/>
        <v>111</v>
      </c>
      <c r="AA31" s="1575">
        <f t="shared" si="3"/>
        <v>1</v>
      </c>
      <c r="AB31" s="1575">
        <f t="shared" si="4"/>
        <v>1</v>
      </c>
      <c r="AC31" s="1575">
        <f t="shared" si="5"/>
        <v>1</v>
      </c>
    </row>
    <row r="32" spans="1:29" ht="15">
      <c r="A32" s="2871" t="s">
        <v>2761</v>
      </c>
      <c r="B32" s="172" t="s">
        <v>726</v>
      </c>
      <c r="C32" s="876" t="s">
        <v>3001</v>
      </c>
      <c r="D32" s="595">
        <v>100</v>
      </c>
      <c r="E32" s="877" t="s">
        <v>3001</v>
      </c>
      <c r="F32" s="573">
        <f>SUMIF(100:100,E32,101:101)-SUMIF(100:100,C32,101:101)+100</f>
        <v>100</v>
      </c>
      <c r="G32" s="876" t="s">
        <v>3001</v>
      </c>
      <c r="H32" s="595">
        <f>SUMIF(100:100,G32,101:101)-SUMIF(100:100,C32,101:101)+100</f>
        <v>100</v>
      </c>
      <c r="I32" s="877" t="s">
        <v>3001</v>
      </c>
      <c r="J32" s="538">
        <f>SUMIF(100:100,I32,101:101)-SUMIF(100:100,C32,101:101)+100</f>
        <v>100</v>
      </c>
      <c r="K32" s="862"/>
      <c r="L32" s="2140"/>
      <c r="M32" s="2132"/>
      <c r="N32" s="2132"/>
      <c r="O32" s="2139"/>
      <c r="P32" s="3308" t="s">
        <v>551</v>
      </c>
      <c r="Q32" s="1571" t="str">
        <f t="shared" si="11"/>
        <v>建筑类型</v>
      </c>
      <c r="R32" s="1572" t="s">
        <v>11</v>
      </c>
      <c r="S32" s="1573">
        <f t="shared" si="12"/>
        <v>100</v>
      </c>
      <c r="T32" s="1572" t="s">
        <v>11</v>
      </c>
      <c r="U32" s="1573">
        <f t="shared" si="13"/>
        <v>100</v>
      </c>
      <c r="V32" s="1572" t="s">
        <v>11</v>
      </c>
      <c r="W32" s="1573">
        <f t="shared" si="14"/>
        <v>100</v>
      </c>
      <c r="X32" s="1566"/>
      <c r="Y32" s="3309" t="s">
        <v>551</v>
      </c>
      <c r="Z32" s="1574" t="str">
        <f t="shared" si="15"/>
        <v>建筑类型</v>
      </c>
      <c r="AA32" s="1575">
        <f t="shared" si="3"/>
        <v>1</v>
      </c>
      <c r="AB32" s="1575">
        <f t="shared" si="4"/>
        <v>1</v>
      </c>
      <c r="AC32" s="1575">
        <f t="shared" si="5"/>
        <v>1</v>
      </c>
    </row>
    <row r="33" spans="1:29" s="1337" customFormat="1" ht="15">
      <c r="A33" s="601"/>
      <c r="B33" s="525" t="s">
        <v>727</v>
      </c>
      <c r="C33" s="878"/>
      <c r="D33" s="255">
        <v>100</v>
      </c>
      <c r="E33" s="532"/>
      <c r="F33" s="861">
        <f>LOOKUP(E33,103:103,104:104)-LOOKUP(C33,103:103,104:104)+100</f>
        <v>100</v>
      </c>
      <c r="G33" s="531"/>
      <c r="H33" s="255">
        <f>LOOKUP(G33,103:103,104:104)-LOOKUP(C33,103:103,104:104)+100</f>
        <v>100</v>
      </c>
      <c r="I33" s="532"/>
      <c r="J33" s="255">
        <f>LOOKUP(I33,103:103,104:104)-LOOKUP(C33,103:103,104:104)+100</f>
        <v>100</v>
      </c>
      <c r="K33" s="863"/>
      <c r="L33" s="2138"/>
      <c r="M33" s="2169"/>
      <c r="N33" s="2169"/>
      <c r="O33" s="2141"/>
      <c r="P33" s="3309"/>
      <c r="Q33" s="1604" t="str">
        <f t="shared" si="11"/>
        <v>项目建筑规模</v>
      </c>
      <c r="R33" s="1576" t="s">
        <v>11</v>
      </c>
      <c r="S33" s="1577">
        <f t="shared" si="12"/>
        <v>100</v>
      </c>
      <c r="T33" s="1576" t="s">
        <v>11</v>
      </c>
      <c r="U33" s="1577">
        <f t="shared" si="13"/>
        <v>100</v>
      </c>
      <c r="V33" s="1576" t="s">
        <v>11</v>
      </c>
      <c r="W33" s="1577">
        <f t="shared" si="14"/>
        <v>100</v>
      </c>
      <c r="X33" s="1578"/>
      <c r="Y33" s="3309"/>
      <c r="Z33" s="1579" t="str">
        <f t="shared" si="15"/>
        <v>项目建筑规模</v>
      </c>
      <c r="AA33" s="1575">
        <f t="shared" si="3"/>
        <v>1</v>
      </c>
      <c r="AB33" s="1575">
        <f t="shared" si="4"/>
        <v>1</v>
      </c>
      <c r="AC33" s="1575">
        <f t="shared" si="5"/>
        <v>1</v>
      </c>
    </row>
    <row r="34" spans="1:29" ht="15">
      <c r="A34" s="592"/>
      <c r="B34" s="525" t="s">
        <v>728</v>
      </c>
      <c r="C34" s="879" t="s">
        <v>3045</v>
      </c>
      <c r="D34" s="538">
        <v>100</v>
      </c>
      <c r="E34" s="880" t="s">
        <v>3045</v>
      </c>
      <c r="F34" s="573">
        <f>SUMIF(105:105,E34,106:106)-SUMIF(105:105,C34,106:106)+100</f>
        <v>100</v>
      </c>
      <c r="G34" s="879" t="s">
        <v>3045</v>
      </c>
      <c r="H34" s="538">
        <f>SUMIF(105:105,G34,106:106)-SUMIF(105:105,C34,106:106)+100</f>
        <v>100</v>
      </c>
      <c r="I34" s="880" t="s">
        <v>3045</v>
      </c>
      <c r="J34" s="538">
        <f>SUMIF(105:105,I34,106:106)-SUMIF(105:105,C34,106:106)+100</f>
        <v>100</v>
      </c>
      <c r="K34" s="862"/>
      <c r="L34" s="2140"/>
      <c r="M34" s="2132"/>
      <c r="N34" s="2132"/>
      <c r="O34" s="2139"/>
      <c r="P34" s="3309"/>
      <c r="Q34" s="1571" t="str">
        <f t="shared" si="11"/>
        <v>建筑结构</v>
      </c>
      <c r="R34" s="1572" t="s">
        <v>11</v>
      </c>
      <c r="S34" s="1573">
        <f t="shared" si="12"/>
        <v>100</v>
      </c>
      <c r="T34" s="1572" t="s">
        <v>11</v>
      </c>
      <c r="U34" s="1573">
        <f t="shared" si="13"/>
        <v>100</v>
      </c>
      <c r="V34" s="1572" t="s">
        <v>11</v>
      </c>
      <c r="W34" s="1573">
        <f t="shared" si="14"/>
        <v>100</v>
      </c>
      <c r="X34" s="1566"/>
      <c r="Y34" s="3309"/>
      <c r="Z34" s="1574" t="str">
        <f t="shared" si="15"/>
        <v>建筑结构</v>
      </c>
      <c r="AA34" s="1575">
        <f t="shared" si="3"/>
        <v>1</v>
      </c>
      <c r="AB34" s="1575">
        <f t="shared" si="4"/>
        <v>1</v>
      </c>
      <c r="AC34" s="1575">
        <f t="shared" si="5"/>
        <v>1</v>
      </c>
    </row>
    <row r="35" spans="1:29" ht="15">
      <c r="A35" s="592"/>
      <c r="B35" s="525" t="s">
        <v>729</v>
      </c>
      <c r="C35" s="597" t="s">
        <v>3050</v>
      </c>
      <c r="D35" s="538">
        <v>100</v>
      </c>
      <c r="E35" s="872" t="s">
        <v>3050</v>
      </c>
      <c r="F35" s="573">
        <f>SUMIF(107:107,E35,108:108)-SUMIF(107:107,C35,108:108)+100</f>
        <v>100</v>
      </c>
      <c r="G35" s="597" t="s">
        <v>3050</v>
      </c>
      <c r="H35" s="538">
        <f>SUMIF(107:107,G35,108:108)-SUMIF(107:107,C35,108:108)+100</f>
        <v>100</v>
      </c>
      <c r="I35" s="872" t="s">
        <v>3050</v>
      </c>
      <c r="J35" s="538">
        <f>SUMIF(107:107,I35,108:108)-SUMIF(107:107,C35,108:108)+100</f>
        <v>100</v>
      </c>
      <c r="K35" s="862"/>
      <c r="L35" s="2140"/>
      <c r="M35" s="2132"/>
      <c r="N35" s="2132"/>
      <c r="O35" s="2139"/>
      <c r="P35" s="3309"/>
      <c r="Q35" s="1571" t="str">
        <f t="shared" si="11"/>
        <v>建筑品质</v>
      </c>
      <c r="R35" s="1572" t="s">
        <v>11</v>
      </c>
      <c r="S35" s="1573">
        <f t="shared" si="12"/>
        <v>100</v>
      </c>
      <c r="T35" s="1572" t="s">
        <v>11</v>
      </c>
      <c r="U35" s="1573">
        <f t="shared" si="13"/>
        <v>100</v>
      </c>
      <c r="V35" s="1572" t="s">
        <v>11</v>
      </c>
      <c r="W35" s="1573">
        <f t="shared" si="14"/>
        <v>100</v>
      </c>
      <c r="X35" s="1566"/>
      <c r="Y35" s="3309"/>
      <c r="Z35" s="1574" t="str">
        <f t="shared" si="15"/>
        <v>建筑品质</v>
      </c>
      <c r="AA35" s="1575">
        <f t="shared" si="3"/>
        <v>1</v>
      </c>
      <c r="AB35" s="1575">
        <f t="shared" si="4"/>
        <v>1</v>
      </c>
      <c r="AC35" s="1575">
        <f t="shared" si="5"/>
        <v>1</v>
      </c>
    </row>
    <row r="36" spans="1:29" ht="15">
      <c r="A36" s="592"/>
      <c r="B36" s="525" t="s">
        <v>730</v>
      </c>
      <c r="C36" s="597" t="s">
        <v>3054</v>
      </c>
      <c r="D36" s="538">
        <v>100</v>
      </c>
      <c r="E36" s="872" t="s">
        <v>3054</v>
      </c>
      <c r="F36" s="573">
        <f>SUMIF(109:109,E36,110:110)-SUMIF(109:109,C36,110:110)+100</f>
        <v>100</v>
      </c>
      <c r="G36" s="597" t="s">
        <v>3054</v>
      </c>
      <c r="H36" s="538">
        <f>SUMIF(109:109,G36,110:110)-SUMIF(109:109,C36,110:110)+100</f>
        <v>100</v>
      </c>
      <c r="I36" s="872" t="s">
        <v>3054</v>
      </c>
      <c r="J36" s="538">
        <f>SUMIF(109:109,I36,110:110)-SUMIF(109:109,C36,110:110)+100</f>
        <v>100</v>
      </c>
      <c r="K36" s="862"/>
      <c r="L36" s="2140"/>
      <c r="M36" s="2132"/>
      <c r="N36" s="2132"/>
      <c r="O36" s="2139"/>
      <c r="P36" s="3309"/>
      <c r="Q36" s="1571" t="str">
        <f t="shared" si="11"/>
        <v>公共部分装修</v>
      </c>
      <c r="R36" s="1572" t="s">
        <v>11</v>
      </c>
      <c r="S36" s="1573">
        <f t="shared" si="12"/>
        <v>100</v>
      </c>
      <c r="T36" s="1572" t="s">
        <v>11</v>
      </c>
      <c r="U36" s="1573">
        <f t="shared" si="13"/>
        <v>100</v>
      </c>
      <c r="V36" s="1572" t="s">
        <v>11</v>
      </c>
      <c r="W36" s="1573">
        <f t="shared" si="14"/>
        <v>100</v>
      </c>
      <c r="X36" s="1566"/>
      <c r="Y36" s="3309"/>
      <c r="Z36" s="1574" t="str">
        <f t="shared" si="15"/>
        <v>公共部分装修</v>
      </c>
      <c r="AA36" s="1575">
        <f t="shared" si="3"/>
        <v>1</v>
      </c>
      <c r="AB36" s="1575">
        <f t="shared" si="4"/>
        <v>1</v>
      </c>
      <c r="AC36" s="1575">
        <f t="shared" si="5"/>
        <v>1</v>
      </c>
    </row>
    <row r="37" spans="1:29" s="1218" customFormat="1" ht="15" hidden="1">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3"/>
      <c r="M37" s="2134"/>
      <c r="N37" s="2134"/>
      <c r="O37" s="2135"/>
      <c r="P37" s="3309"/>
      <c r="Q37" s="1149" t="str">
        <f t="shared" si="11"/>
        <v>成新度</v>
      </c>
      <c r="R37" s="1567" t="s">
        <v>11</v>
      </c>
      <c r="S37" s="1568">
        <f t="shared" si="12"/>
        <v>100</v>
      </c>
      <c r="T37" s="1567" t="s">
        <v>11</v>
      </c>
      <c r="U37" s="1568">
        <f t="shared" si="13"/>
        <v>100</v>
      </c>
      <c r="V37" s="1567" t="s">
        <v>11</v>
      </c>
      <c r="W37" s="1568">
        <f t="shared" si="14"/>
        <v>100</v>
      </c>
      <c r="X37" s="1569"/>
      <c r="Y37" s="3309"/>
      <c r="Z37" s="1148" t="str">
        <f t="shared" si="15"/>
        <v>成新度</v>
      </c>
      <c r="AA37" s="1570">
        <f t="shared" si="3"/>
        <v>1</v>
      </c>
      <c r="AB37" s="1570">
        <f t="shared" si="4"/>
        <v>1</v>
      </c>
      <c r="AC37" s="1570">
        <f t="shared" si="5"/>
        <v>1</v>
      </c>
    </row>
    <row r="38" spans="1:29" ht="15">
      <c r="A38" s="592"/>
      <c r="B38" s="525" t="s">
        <v>732</v>
      </c>
      <c r="C38" s="597" t="s">
        <v>3058</v>
      </c>
      <c r="D38" s="538">
        <v>100</v>
      </c>
      <c r="E38" s="872" t="s">
        <v>3058</v>
      </c>
      <c r="F38" s="573">
        <f>SUMIF(114:114,E38,115:115)-SUMIF(114:114,C38,115:115)+100</f>
        <v>100</v>
      </c>
      <c r="G38" s="597" t="s">
        <v>3058</v>
      </c>
      <c r="H38" s="538">
        <f>SUMIF(114:114,G38,115:115)-SUMIF(114:114,C38,115:115)+100</f>
        <v>100</v>
      </c>
      <c r="I38" s="872" t="s">
        <v>3058</v>
      </c>
      <c r="J38" s="538">
        <f>SUMIF(114:114,I38,115:115)-SUMIF(114:114,C38,115:115)+100</f>
        <v>100</v>
      </c>
      <c r="K38" s="862"/>
      <c r="L38" s="2140"/>
      <c r="M38" s="2132"/>
      <c r="N38" s="2132"/>
      <c r="O38" s="2139"/>
      <c r="P38" s="3309" t="s">
        <v>551</v>
      </c>
      <c r="Q38" s="1571" t="str">
        <f t="shared" si="11"/>
        <v>物业管理</v>
      </c>
      <c r="R38" s="1572" t="s">
        <v>11</v>
      </c>
      <c r="S38" s="1573">
        <f t="shared" si="12"/>
        <v>100</v>
      </c>
      <c r="T38" s="1572" t="s">
        <v>11</v>
      </c>
      <c r="U38" s="1573">
        <f t="shared" si="13"/>
        <v>100</v>
      </c>
      <c r="V38" s="1572" t="s">
        <v>11</v>
      </c>
      <c r="W38" s="1573">
        <f t="shared" si="14"/>
        <v>100</v>
      </c>
      <c r="X38" s="1566"/>
      <c r="Y38" s="3309" t="s">
        <v>551</v>
      </c>
      <c r="Z38" s="1574" t="str">
        <f t="shared" si="15"/>
        <v>物业管理</v>
      </c>
      <c r="AA38" s="1575">
        <f t="shared" si="3"/>
        <v>1</v>
      </c>
      <c r="AB38" s="1575">
        <f t="shared" si="4"/>
        <v>1</v>
      </c>
      <c r="AC38" s="1575">
        <f t="shared" si="5"/>
        <v>1</v>
      </c>
    </row>
    <row r="39" spans="1:29" ht="15">
      <c r="A39" s="592"/>
      <c r="B39" s="1893" t="s">
        <v>2568</v>
      </c>
      <c r="C39" s="597" t="s">
        <v>3024</v>
      </c>
      <c r="D39" s="538">
        <v>100</v>
      </c>
      <c r="E39" s="872" t="s">
        <v>3024</v>
      </c>
      <c r="F39" s="573">
        <f>SUMIF(116:116,E39,117:117)-SUMIF(116:116,C39,117:117)+100</f>
        <v>100</v>
      </c>
      <c r="G39" s="597" t="s">
        <v>3024</v>
      </c>
      <c r="H39" s="538">
        <f>SUMIF(116:116,G39,117:117)-SUMIF(116:116,C39,117:117)+100</f>
        <v>100</v>
      </c>
      <c r="I39" s="872" t="s">
        <v>3024</v>
      </c>
      <c r="J39" s="538">
        <f>SUMIF(116:116,I39,117:117)-SUMIF(116:116,C39,117:117)+100</f>
        <v>100</v>
      </c>
      <c r="K39" s="862"/>
      <c r="L39" s="2140"/>
      <c r="M39" s="2132"/>
      <c r="N39" s="2132"/>
      <c r="O39" s="2139"/>
      <c r="P39" s="3309"/>
      <c r="Q39" s="1571" t="str">
        <f t="shared" si="11"/>
        <v>市政基础设施</v>
      </c>
      <c r="R39" s="1572" t="s">
        <v>11</v>
      </c>
      <c r="S39" s="1573">
        <f t="shared" si="12"/>
        <v>100</v>
      </c>
      <c r="T39" s="1572" t="s">
        <v>11</v>
      </c>
      <c r="U39" s="1573">
        <f t="shared" si="13"/>
        <v>100</v>
      </c>
      <c r="V39" s="1572" t="s">
        <v>11</v>
      </c>
      <c r="W39" s="1573">
        <f t="shared" si="14"/>
        <v>100</v>
      </c>
      <c r="X39" s="1566"/>
      <c r="Y39" s="3309"/>
      <c r="Z39" s="1574" t="str">
        <f t="shared" si="15"/>
        <v>市政基础设施</v>
      </c>
      <c r="AA39" s="1575">
        <f t="shared" si="3"/>
        <v>1</v>
      </c>
      <c r="AB39" s="1575">
        <f t="shared" si="4"/>
        <v>1</v>
      </c>
      <c r="AC39" s="1575">
        <f t="shared" si="5"/>
        <v>1</v>
      </c>
    </row>
    <row r="40" spans="1:29" ht="15" hidden="1">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09"/>
      <c r="Q40" s="1571" t="str">
        <f t="shared" si="11"/>
        <v>房型</v>
      </c>
      <c r="R40" s="1572" t="s">
        <v>11</v>
      </c>
      <c r="S40" s="1573">
        <f t="shared" si="12"/>
        <v>100</v>
      </c>
      <c r="T40" s="1572" t="s">
        <v>11</v>
      </c>
      <c r="U40" s="1573">
        <f t="shared" si="13"/>
        <v>100</v>
      </c>
      <c r="V40" s="1572" t="s">
        <v>11</v>
      </c>
      <c r="W40" s="1573">
        <f t="shared" si="14"/>
        <v>100</v>
      </c>
      <c r="X40" s="1566"/>
      <c r="Y40" s="3309"/>
      <c r="Z40" s="1574" t="str">
        <f t="shared" si="15"/>
        <v>房型</v>
      </c>
      <c r="AA40" s="1575">
        <f t="shared" si="3"/>
        <v>1</v>
      </c>
      <c r="AB40" s="1575">
        <f t="shared" si="4"/>
        <v>1</v>
      </c>
      <c r="AC40" s="1575">
        <f t="shared" si="5"/>
        <v>1</v>
      </c>
    </row>
    <row r="41" spans="1:29" s="1337" customFormat="1" ht="28.5">
      <c r="A41" s="601"/>
      <c r="B41" s="525" t="s">
        <v>734</v>
      </c>
      <c r="C41" s="878" t="s">
        <v>3067</v>
      </c>
      <c r="D41" s="255">
        <v>100</v>
      </c>
      <c r="E41" s="532" t="s">
        <v>3067</v>
      </c>
      <c r="F41" s="861">
        <f>SUMIF(120:120,E41,121:121)-SUMIF(120:120,C41,121:121)+100</f>
        <v>100</v>
      </c>
      <c r="G41" s="531" t="s">
        <v>3072</v>
      </c>
      <c r="H41" s="255">
        <f>SUMIF(120:120,G41,121:121)-SUMIF(120:120,C41,121:121)+100</f>
        <v>100</v>
      </c>
      <c r="I41" s="584" t="s">
        <v>3072</v>
      </c>
      <c r="J41" s="538">
        <f>SUMIF(120:120,I41,121:121)-SUMIF(120:120,C41,121:121)+100</f>
        <v>100</v>
      </c>
      <c r="K41" s="863"/>
      <c r="L41" s="2138"/>
      <c r="M41" s="2169"/>
      <c r="N41" s="2169"/>
      <c r="O41" s="2141"/>
      <c r="P41" s="3309"/>
      <c r="Q41" s="1604" t="str">
        <f t="shared" si="11"/>
        <v>单套/主力户型建筑面积</v>
      </c>
      <c r="R41" s="1576" t="s">
        <v>11</v>
      </c>
      <c r="S41" s="1577">
        <f t="shared" si="12"/>
        <v>100</v>
      </c>
      <c r="T41" s="1576" t="s">
        <v>11</v>
      </c>
      <c r="U41" s="1577">
        <f t="shared" si="13"/>
        <v>100</v>
      </c>
      <c r="V41" s="1576" t="s">
        <v>11</v>
      </c>
      <c r="W41" s="1577">
        <f t="shared" si="14"/>
        <v>100</v>
      </c>
      <c r="X41" s="1578"/>
      <c r="Y41" s="3309"/>
      <c r="Z41" s="1579" t="str">
        <f t="shared" si="15"/>
        <v>单套/主力户型建筑面积</v>
      </c>
      <c r="AA41" s="1575">
        <f t="shared" si="3"/>
        <v>1</v>
      </c>
      <c r="AB41" s="1575">
        <f t="shared" si="4"/>
        <v>1</v>
      </c>
      <c r="AC41" s="1575">
        <f t="shared" si="5"/>
        <v>1</v>
      </c>
    </row>
    <row r="42" spans="1:29" ht="15">
      <c r="A42" s="592"/>
      <c r="B42" s="525" t="s">
        <v>735</v>
      </c>
      <c r="C42" s="597" t="s">
        <v>3056</v>
      </c>
      <c r="D42" s="538">
        <v>100</v>
      </c>
      <c r="E42" s="872" t="s">
        <v>3056</v>
      </c>
      <c r="F42" s="573">
        <f>SUMIF(122:122,E42,123:123)-SUMIF(122:122,C42,123:123)+100</f>
        <v>100</v>
      </c>
      <c r="G42" s="597" t="s">
        <v>3056</v>
      </c>
      <c r="H42" s="538">
        <f>SUMIF(122:122,G42,123:123)-SUMIF(122:122,C42,123:123)+100</f>
        <v>100</v>
      </c>
      <c r="I42" s="872" t="s">
        <v>3056</v>
      </c>
      <c r="J42" s="538">
        <f>SUMIF(122:122,I42,123:123)-SUMIF(122:122,C42,123:123)+100</f>
        <v>100</v>
      </c>
      <c r="K42" s="862"/>
      <c r="L42" s="2140"/>
      <c r="M42" s="2132"/>
      <c r="N42" s="2132"/>
      <c r="O42" s="2139"/>
      <c r="P42" s="3309"/>
      <c r="Q42" s="1571" t="str">
        <f t="shared" si="11"/>
        <v>内部装修</v>
      </c>
      <c r="R42" s="1572" t="s">
        <v>11</v>
      </c>
      <c r="S42" s="1573">
        <f t="shared" si="12"/>
        <v>100</v>
      </c>
      <c r="T42" s="1572" t="s">
        <v>11</v>
      </c>
      <c r="U42" s="1573">
        <f t="shared" si="13"/>
        <v>100</v>
      </c>
      <c r="V42" s="1572" t="s">
        <v>11</v>
      </c>
      <c r="W42" s="1573">
        <f t="shared" si="14"/>
        <v>100</v>
      </c>
      <c r="X42" s="1566"/>
      <c r="Y42" s="3309"/>
      <c r="Z42" s="1574" t="str">
        <f t="shared" si="15"/>
        <v>内部装修</v>
      </c>
      <c r="AA42" s="1575">
        <f t="shared" si="3"/>
        <v>1</v>
      </c>
      <c r="AB42" s="1575">
        <f t="shared" si="4"/>
        <v>1</v>
      </c>
      <c r="AC42" s="1575">
        <f t="shared" si="5"/>
        <v>1</v>
      </c>
    </row>
    <row r="43" spans="1:29" ht="27.75" thickBot="1">
      <c r="A43" s="592"/>
      <c r="B43" s="525" t="s">
        <v>736</v>
      </c>
      <c r="C43" s="597" t="s">
        <v>3017</v>
      </c>
      <c r="D43" s="538">
        <v>100</v>
      </c>
      <c r="E43" s="872" t="s">
        <v>3017</v>
      </c>
      <c r="F43" s="573">
        <f>SUMIF(124:124,E43,125:125)-SUMIF(124:124,C43,125:125)+100</f>
        <v>100</v>
      </c>
      <c r="G43" s="597" t="s">
        <v>3017</v>
      </c>
      <c r="H43" s="538">
        <f>SUMIF(124:124,G43,125:125)-SUMIF(124:124,C43,125:125)+100</f>
        <v>100</v>
      </c>
      <c r="I43" s="872" t="s">
        <v>3017</v>
      </c>
      <c r="J43" s="538">
        <f>SUMIF(124:124,I43,125:125)-SUMIF(124:124,C43,125:125)+100</f>
        <v>100</v>
      </c>
      <c r="K43" s="862"/>
      <c r="L43" s="2140"/>
      <c r="M43" s="2132"/>
      <c r="N43" s="2132"/>
      <c r="O43" s="2139"/>
      <c r="P43" s="3309"/>
      <c r="Q43" s="1571" t="str">
        <f t="shared" si="11"/>
        <v>内部装修维护情况</v>
      </c>
      <c r="R43" s="1572" t="s">
        <v>11</v>
      </c>
      <c r="S43" s="1573">
        <f t="shared" si="12"/>
        <v>100</v>
      </c>
      <c r="T43" s="1572" t="s">
        <v>11</v>
      </c>
      <c r="U43" s="1573">
        <f t="shared" si="13"/>
        <v>100</v>
      </c>
      <c r="V43" s="1572" t="s">
        <v>11</v>
      </c>
      <c r="W43" s="1573">
        <f t="shared" si="14"/>
        <v>100</v>
      </c>
      <c r="X43" s="1566"/>
      <c r="Y43" s="3309"/>
      <c r="Z43" s="1574" t="str">
        <f t="shared" si="15"/>
        <v>内部装修维护情况</v>
      </c>
      <c r="AA43" s="1575">
        <f t="shared" si="3"/>
        <v>1</v>
      </c>
      <c r="AB43" s="1575">
        <f t="shared" si="4"/>
        <v>1</v>
      </c>
      <c r="AC43" s="1575">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309"/>
      <c r="Q44" s="1149">
        <f t="shared" si="11"/>
        <v>111</v>
      </c>
      <c r="R44" s="1567" t="s">
        <v>11</v>
      </c>
      <c r="S44" s="1568">
        <f t="shared" si="12"/>
        <v>100</v>
      </c>
      <c r="T44" s="1567" t="s">
        <v>11</v>
      </c>
      <c r="U44" s="1568">
        <f t="shared" si="13"/>
        <v>100</v>
      </c>
      <c r="V44" s="1567" t="s">
        <v>11</v>
      </c>
      <c r="W44" s="1568">
        <f t="shared" si="14"/>
        <v>100</v>
      </c>
      <c r="X44" s="1569"/>
      <c r="Y44" s="3309"/>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09"/>
      <c r="Q45" s="1571">
        <f t="shared" si="11"/>
        <v>111</v>
      </c>
      <c r="R45" s="1572" t="s">
        <v>11</v>
      </c>
      <c r="S45" s="1573">
        <f t="shared" si="12"/>
        <v>100</v>
      </c>
      <c r="T45" s="1572" t="s">
        <v>11</v>
      </c>
      <c r="U45" s="1573">
        <f t="shared" si="13"/>
        <v>100</v>
      </c>
      <c r="V45" s="1572" t="s">
        <v>11</v>
      </c>
      <c r="W45" s="1573">
        <f t="shared" si="14"/>
        <v>100</v>
      </c>
      <c r="X45" s="1566"/>
      <c r="Y45" s="3309"/>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07"/>
      <c r="Q46" s="1571">
        <f t="shared" si="11"/>
        <v>111</v>
      </c>
      <c r="R46" s="1572" t="s">
        <v>10</v>
      </c>
      <c r="S46" s="1573">
        <f t="shared" si="12"/>
        <v>100</v>
      </c>
      <c r="T46" s="1572" t="s">
        <v>10</v>
      </c>
      <c r="U46" s="1573">
        <f t="shared" si="13"/>
        <v>100</v>
      </c>
      <c r="V46" s="1572" t="s">
        <v>10</v>
      </c>
      <c r="W46" s="1573">
        <f t="shared" si="14"/>
        <v>100</v>
      </c>
      <c r="X46" s="1566"/>
      <c r="Y46" s="3407"/>
      <c r="Z46" s="1574">
        <f t="shared" si="15"/>
        <v>111</v>
      </c>
      <c r="AA46" s="1575">
        <f t="shared" si="3"/>
        <v>1</v>
      </c>
      <c r="AB46" s="1575">
        <f t="shared" si="4"/>
        <v>1</v>
      </c>
      <c r="AC46" s="1575">
        <f t="shared" si="5"/>
        <v>1</v>
      </c>
    </row>
    <row r="47" spans="1:29" ht="15">
      <c r="A47" s="605" t="s">
        <v>737</v>
      </c>
      <c r="B47" s="885"/>
      <c r="C47" s="2646" t="s">
        <v>9</v>
      </c>
      <c r="D47" s="2647"/>
      <c r="E47" s="2648">
        <f>ROUND(4200*0.98,0)</f>
        <v>4116</v>
      </c>
      <c r="F47" s="2649"/>
      <c r="G47" s="2650">
        <v>4100</v>
      </c>
      <c r="H47" s="2651"/>
      <c r="I47" s="2648">
        <v>4800</v>
      </c>
      <c r="J47" s="2651"/>
      <c r="K47" s="1605"/>
      <c r="L47" s="2142"/>
      <c r="M47" s="2143"/>
      <c r="N47" s="2132"/>
      <c r="O47" s="2143"/>
      <c r="P47" s="3304" t="str">
        <f>A47</f>
        <v>成交单价（元/平方米）</v>
      </c>
      <c r="Q47" s="3304"/>
      <c r="R47" s="3406">
        <f>E47</f>
        <v>4116</v>
      </c>
      <c r="S47" s="3406"/>
      <c r="T47" s="3406">
        <f>G47</f>
        <v>4100</v>
      </c>
      <c r="U47" s="3406"/>
      <c r="V47" s="3406">
        <f>I47</f>
        <v>4800</v>
      </c>
      <c r="W47" s="3406"/>
      <c r="X47" s="1558"/>
      <c r="Y47" s="1580"/>
      <c r="Z47" s="1558"/>
      <c r="AA47" s="1558"/>
      <c r="AB47" s="1558"/>
      <c r="AC47" s="1558"/>
    </row>
    <row r="48" spans="1:29" ht="15.75" thickBot="1">
      <c r="A48" s="613" t="s">
        <v>2766</v>
      </c>
      <c r="B48" s="886"/>
      <c r="C48" s="2652">
        <f>R49</f>
        <v>4302.3</v>
      </c>
      <c r="D48" s="2653"/>
      <c r="E48" s="2654">
        <f>R48</f>
        <v>4200</v>
      </c>
      <c r="F48" s="2654"/>
      <c r="G48" s="2652">
        <f>T48</f>
        <v>4183.7</v>
      </c>
      <c r="H48" s="2653"/>
      <c r="I48" s="2654">
        <f>V48</f>
        <v>4523.1000000000004</v>
      </c>
      <c r="J48" s="2653"/>
      <c r="K48" s="1606"/>
      <c r="L48" s="2142"/>
      <c r="M48" s="2143"/>
      <c r="N48" s="2143"/>
      <c r="O48" s="2143"/>
      <c r="P48" s="3304" t="str">
        <f>A48</f>
        <v>比较价格（元/平方米）</v>
      </c>
      <c r="Q48" s="3304"/>
      <c r="R48" s="3406">
        <f>IF(F1="售价",ROUND(PRODUCT(R47,AA7:AA46),0),ROUND(PRODUCT(R47,AA7:AA46),1))</f>
        <v>4200</v>
      </c>
      <c r="S48" s="3406"/>
      <c r="T48" s="3406">
        <f>IF(F1="售价",ROUND(PRODUCT(T47,AB7:AB46),0),ROUND(PRODUCT(T47,AB7:AB46),1))</f>
        <v>4183.7</v>
      </c>
      <c r="U48" s="3406"/>
      <c r="V48" s="3406">
        <f>IF(F1="售价",ROUND(PRODUCT(V47,AC7:AC46),0),ROUND(PRODUCT(V47,AC7:AC46),1))</f>
        <v>4523.1000000000004</v>
      </c>
      <c r="W48" s="3406"/>
      <c r="X48" s="1558"/>
      <c r="Y48" s="1558"/>
      <c r="Z48" s="1558"/>
      <c r="AA48" s="1558"/>
      <c r="AB48" s="1558"/>
      <c r="AC48" s="1558"/>
    </row>
    <row r="49" spans="1:29" ht="15.75" thickBot="1">
      <c r="A49" s="619" t="s">
        <v>2938</v>
      </c>
      <c r="B49" s="620"/>
      <c r="C49" s="2655">
        <f>R49</f>
        <v>4302.3</v>
      </c>
      <c r="D49" s="2655"/>
      <c r="E49" s="2655"/>
      <c r="F49" s="2655"/>
      <c r="G49" s="2655"/>
      <c r="H49" s="2655"/>
      <c r="I49" s="2655"/>
      <c r="J49" s="2655"/>
      <c r="K49" s="1607"/>
      <c r="L49" s="2142"/>
      <c r="M49" s="2143"/>
      <c r="N49" s="2143"/>
      <c r="O49" s="2143"/>
      <c r="P49" s="3327" t="str">
        <f>A49</f>
        <v>估价对象XX用房的比较价格（楼面单价，元/平方米）</v>
      </c>
      <c r="Q49" s="3328"/>
      <c r="R49" s="3405">
        <f>IF(F1="售价",ROUND(AVERAGE(R48:V48),0),ROUND(AVERAGE(R48:V48),1))</f>
        <v>4302.3</v>
      </c>
      <c r="S49" s="3405"/>
      <c r="T49" s="3405"/>
      <c r="U49" s="3405"/>
      <c r="V49" s="3405"/>
      <c r="W49" s="340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f>IF(E47&lt;E48,E48/E47-1,E47/E48-1)</f>
        <v>2.0408163265306145E-2</v>
      </c>
      <c r="F52" s="625" t="str">
        <f>IF(OR(E52&gt;=0.3,E52&lt;=-0.3),"超过30%","")</f>
        <v/>
      </c>
      <c r="G52" s="624">
        <f>IF(G47&lt;G48,G48/G47-1,G47/G48-1)</f>
        <v>2.0414634146341371E-2</v>
      </c>
      <c r="H52" s="625" t="str">
        <f>IF(OR(G52&gt;=0.3,G52&lt;=-0.3),"超过30%","")</f>
        <v/>
      </c>
      <c r="I52" s="624">
        <f>IF(I47&lt;I48,I48/I47-1,I47/I48-1)</f>
        <v>6.1219075412880519E-2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f>IF(E48&lt;G48,G48/E48-1,E48/G48-1)</f>
        <v>3.8960728541721501E-3</v>
      </c>
      <c r="F53" s="625" t="str">
        <f>IF(OR(E53&gt;=0.2,E53&lt;=-0.2),"超过20%","")</f>
        <v/>
      </c>
      <c r="G53" s="624">
        <f>IF(G48&lt;I48,I48/G48-1,G48/I48-1)</f>
        <v>8.1124363601596805E-2</v>
      </c>
      <c r="H53" s="625" t="str">
        <f>IF(OR(G53&gt;=0.2,G53&lt;=-0.2),"超过20%","")</f>
        <v/>
      </c>
      <c r="I53" s="624">
        <f>IF(I48&lt;E48,E48/I48-1,I48/E48-1)</f>
        <v>7.6928571428571457E-2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f>IF(E47&lt;G47,G47/E47-1,E47/G47-1)</f>
        <v>3.9024390243902474E-3</v>
      </c>
      <c r="F54" s="625" t="str">
        <f>IF(OR(E54&gt;=0.3,E54&lt;=-0.3),"超过30%","")</f>
        <v/>
      </c>
      <c r="G54" s="624">
        <f>IF(G47&lt;I47,I47/G47-1,G47/I47-1)</f>
        <v>0.1707317073170731</v>
      </c>
      <c r="H54" s="625" t="str">
        <f>IF(OR(G54&gt;=0.3,G54&lt;=-0.3),"超过30%","")</f>
        <v/>
      </c>
      <c r="I54" s="624">
        <f>IF(I47&lt;E47,E47/I47-1,I47/E47-1)</f>
        <v>0.16618075801749277</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5"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578</v>
      </c>
      <c r="B63" s="663" t="s">
        <v>535</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2</v>
      </c>
      <c r="E68" s="539">
        <v>4</v>
      </c>
      <c r="F68" s="539">
        <v>6</v>
      </c>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8" hidden="1" customHeight="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747</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3100" t="s">
        <v>3041</v>
      </c>
      <c r="D90" s="3100" t="s">
        <v>3040</v>
      </c>
      <c r="E90" s="3100" t="s">
        <v>3042</v>
      </c>
      <c r="F90" s="3100" t="s">
        <v>3043</v>
      </c>
      <c r="G90" s="3100" t="s">
        <v>3044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v>100</v>
      </c>
      <c r="D91" s="690">
        <v>99</v>
      </c>
      <c r="E91" s="690">
        <v>98</v>
      </c>
      <c r="F91" s="690">
        <v>97</v>
      </c>
      <c r="G91" s="690">
        <v>96</v>
      </c>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552</v>
      </c>
      <c r="B100" s="663" t="s">
        <v>748</v>
      </c>
      <c r="C100" s="3099" t="s">
        <v>3039</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749</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100000</v>
      </c>
      <c r="E103" s="728">
        <v>200000</v>
      </c>
      <c r="F103" s="728">
        <v>300000</v>
      </c>
      <c r="G103" s="728">
        <v>400000</v>
      </c>
      <c r="H103" s="728">
        <v>500000</v>
      </c>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3100" t="s">
        <v>3046</v>
      </c>
      <c r="D105" s="3100" t="s">
        <v>3047</v>
      </c>
      <c r="E105" s="3101" t="s">
        <v>3048</v>
      </c>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3101" t="s">
        <v>3049</v>
      </c>
      <c r="D107" s="3101" t="s">
        <v>3051</v>
      </c>
      <c r="E107" s="3101" t="s">
        <v>3052</v>
      </c>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3100" t="s">
        <v>3053</v>
      </c>
      <c r="D109" s="3100" t="s">
        <v>3055</v>
      </c>
      <c r="E109" s="3100" t="s">
        <v>3057</v>
      </c>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754</v>
      </c>
      <c r="C114" s="3100" t="s">
        <v>3059</v>
      </c>
      <c r="D114" s="3100" t="s">
        <v>3060</v>
      </c>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2560</v>
      </c>
      <c r="C116" s="3100" t="s">
        <v>3061</v>
      </c>
      <c r="D116" s="3100" t="s">
        <v>3062</v>
      </c>
      <c r="E116" s="3100" t="s">
        <v>3063</v>
      </c>
      <c r="F116" s="3100" t="s">
        <v>3064</v>
      </c>
      <c r="G116" s="3100" t="s">
        <v>3065</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hidden="1" thickTop="1">
      <c r="A118" s="733"/>
      <c r="B118" s="671" t="s">
        <v>755</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734</v>
      </c>
      <c r="C120" s="686" t="s">
        <v>3066</v>
      </c>
      <c r="D120" s="686" t="s">
        <v>3067</v>
      </c>
      <c r="E120" s="686" t="s">
        <v>3068</v>
      </c>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v>100</v>
      </c>
      <c r="D121" s="669">
        <v>102</v>
      </c>
      <c r="E121" s="669">
        <v>104</v>
      </c>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3100" t="s">
        <v>3053</v>
      </c>
      <c r="D122" s="3100" t="s">
        <v>3069</v>
      </c>
      <c r="E122" s="3100" t="s">
        <v>3057</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8"/>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520</v>
      </c>
      <c r="B3" s="508" t="e">
        <f>C49</f>
        <v>#DIV/0!</v>
      </c>
      <c r="C3" s="850" t="s">
        <v>723</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0" t="s">
        <v>522</v>
      </c>
      <c r="B4" s="511"/>
      <c r="C4" s="3310" t="s">
        <v>523</v>
      </c>
      <c r="D4" s="3311"/>
      <c r="E4" s="3336" t="s">
        <v>524</v>
      </c>
      <c r="F4" s="3337"/>
      <c r="G4" s="3310" t="s">
        <v>525</v>
      </c>
      <c r="H4" s="3311"/>
      <c r="I4" s="3310" t="s">
        <v>526</v>
      </c>
      <c r="J4" s="3311"/>
      <c r="K4" s="512" t="s">
        <v>527</v>
      </c>
      <c r="L4" s="2131"/>
      <c r="M4" s="2132"/>
      <c r="N4" s="2132"/>
      <c r="O4" s="2132"/>
      <c r="P4" s="3312" t="s">
        <v>528</v>
      </c>
      <c r="Q4" s="3313"/>
      <c r="R4" s="3298" t="s">
        <v>524</v>
      </c>
      <c r="S4" s="3299"/>
      <c r="T4" s="3298" t="s">
        <v>525</v>
      </c>
      <c r="U4" s="3299"/>
      <c r="V4" s="3318" t="s">
        <v>526</v>
      </c>
      <c r="W4" s="3318"/>
      <c r="X4" s="1566"/>
      <c r="Y4" s="3298" t="s">
        <v>528</v>
      </c>
      <c r="Z4" s="3299"/>
      <c r="AA4" s="3293" t="s">
        <v>524</v>
      </c>
      <c r="AB4" s="3318" t="s">
        <v>525</v>
      </c>
      <c r="AC4" s="3293" t="s">
        <v>526</v>
      </c>
    </row>
    <row r="5" spans="1:29" ht="15">
      <c r="A5" s="513"/>
      <c r="B5" s="514"/>
      <c r="C5" s="3323" t="s">
        <v>2932</v>
      </c>
      <c r="D5" s="3322"/>
      <c r="E5" s="3338" t="s">
        <v>2933</v>
      </c>
      <c r="F5" s="3339"/>
      <c r="G5" s="3323" t="s">
        <v>2934</v>
      </c>
      <c r="H5" s="3322"/>
      <c r="I5" s="3323" t="s">
        <v>2935</v>
      </c>
      <c r="J5" s="3322"/>
      <c r="K5" s="512"/>
      <c r="L5" s="2131"/>
      <c r="M5" s="2132"/>
      <c r="N5" s="2132"/>
      <c r="O5" s="2132"/>
      <c r="P5" s="3314"/>
      <c r="Q5" s="3315"/>
      <c r="R5" s="3300"/>
      <c r="S5" s="3301"/>
      <c r="T5" s="3300"/>
      <c r="U5" s="3301"/>
      <c r="V5" s="3318"/>
      <c r="W5" s="3318"/>
      <c r="X5" s="1566"/>
      <c r="Y5" s="3300"/>
      <c r="Z5" s="3301"/>
      <c r="AA5" s="3294"/>
      <c r="AB5" s="3318"/>
      <c r="AC5" s="3294"/>
    </row>
    <row r="6" spans="1:29" ht="15.75" thickBot="1">
      <c r="A6" s="515"/>
      <c r="B6" s="516"/>
      <c r="C6" s="3340" t="s">
        <v>2936</v>
      </c>
      <c r="D6" s="3320"/>
      <c r="E6" s="3341" t="s">
        <v>2936</v>
      </c>
      <c r="F6" s="3342"/>
      <c r="G6" s="3340" t="s">
        <v>2936</v>
      </c>
      <c r="H6" s="3320"/>
      <c r="I6" s="3340" t="s">
        <v>2936</v>
      </c>
      <c r="J6" s="3320"/>
      <c r="K6" s="512" t="s">
        <v>529</v>
      </c>
      <c r="L6" s="2131"/>
      <c r="M6" s="2132"/>
      <c r="N6" s="2132"/>
      <c r="O6" s="2132"/>
      <c r="P6" s="3316"/>
      <c r="Q6" s="3317"/>
      <c r="R6" s="3300"/>
      <c r="S6" s="3301"/>
      <c r="T6" s="3302"/>
      <c r="U6" s="3303"/>
      <c r="V6" s="3318"/>
      <c r="W6" s="3318"/>
      <c r="X6" s="1566"/>
      <c r="Y6" s="3302"/>
      <c r="Z6" s="3303"/>
      <c r="AA6" s="3295"/>
      <c r="AB6" s="3318"/>
      <c r="AC6" s="3295"/>
    </row>
    <row r="7" spans="1:29" s="1218" customFormat="1" ht="15.75" thickBot="1">
      <c r="A7" s="2876"/>
      <c r="B7" s="2883" t="s">
        <v>530</v>
      </c>
      <c r="C7" s="517">
        <f>'数据-取费表'!B2</f>
        <v>43061</v>
      </c>
      <c r="D7" s="518">
        <v>100</v>
      </c>
      <c r="E7" s="519"/>
      <c r="F7" s="520">
        <f>SUMIF(58:58,YEAR(E7)&amp;"-"&amp;MONTH(E7),59:59)</f>
        <v>0</v>
      </c>
      <c r="G7" s="519"/>
      <c r="H7" s="518">
        <f>SUMIF(58:58,YEAR(G7)&amp;"-"&amp;MONTH(G7),59:59)</f>
        <v>0</v>
      </c>
      <c r="I7" s="519"/>
      <c r="J7" s="518">
        <f>SUMIF(58:58,YEAR(I7)&amp;"-"&amp;MONTH(I7),59:59)</f>
        <v>0</v>
      </c>
      <c r="K7" s="522"/>
      <c r="L7" s="2133"/>
      <c r="M7" s="2134"/>
      <c r="N7" s="2134"/>
      <c r="O7" s="2134"/>
      <c r="P7" s="3296" t="s">
        <v>531</v>
      </c>
      <c r="Q7" s="3305"/>
      <c r="R7" s="1567" t="s">
        <v>8</v>
      </c>
      <c r="S7" s="1568">
        <f t="shared" ref="S7:S15" si="0">F7</f>
        <v>0</v>
      </c>
      <c r="T7" s="1567" t="s">
        <v>8</v>
      </c>
      <c r="U7" s="1568">
        <f t="shared" ref="U7:U15" si="1">H7</f>
        <v>0</v>
      </c>
      <c r="V7" s="1567" t="s">
        <v>8</v>
      </c>
      <c r="W7" s="1568">
        <f t="shared" ref="W7:W15" si="2">J7</f>
        <v>0</v>
      </c>
      <c r="X7" s="1569"/>
      <c r="Y7" s="3296" t="s">
        <v>531</v>
      </c>
      <c r="Z7" s="3297"/>
      <c r="AA7" s="1570" t="e">
        <f>D7/F7</f>
        <v>#DIV/0!</v>
      </c>
      <c r="AB7" s="1570" t="e">
        <f>D7/H7</f>
        <v>#DIV/0!</v>
      </c>
      <c r="AC7" s="1570" t="e">
        <f>D7/J7</f>
        <v>#DIV/0!</v>
      </c>
    </row>
    <row r="8" spans="1:29" s="1218" customFormat="1" ht="15.75" thickBot="1">
      <c r="A8" s="2877"/>
      <c r="B8" s="2884" t="s">
        <v>532</v>
      </c>
      <c r="C8" s="523" t="s">
        <v>577</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296" t="s">
        <v>534</v>
      </c>
      <c r="Q8" s="3297"/>
      <c r="R8" s="1567" t="s">
        <v>8</v>
      </c>
      <c r="S8" s="1568">
        <f t="shared" si="0"/>
        <v>0</v>
      </c>
      <c r="T8" s="1567" t="s">
        <v>8</v>
      </c>
      <c r="U8" s="1568">
        <f t="shared" si="1"/>
        <v>0</v>
      </c>
      <c r="V8" s="1567" t="s">
        <v>8</v>
      </c>
      <c r="W8" s="1568">
        <f t="shared" si="2"/>
        <v>0</v>
      </c>
      <c r="X8" s="1569"/>
      <c r="Y8" s="3296" t="s">
        <v>534</v>
      </c>
      <c r="Z8" s="3297"/>
      <c r="AA8" s="1570" t="e">
        <f t="shared" ref="AA8:AA46" si="3">D8/F8</f>
        <v>#DIV/0!</v>
      </c>
      <c r="AB8" s="1570" t="e">
        <f t="shared" ref="AB8:AB46" si="4">D8/H8</f>
        <v>#DIV/0!</v>
      </c>
      <c r="AC8" s="1570" t="e">
        <f t="shared" ref="AC8:AC46" si="5">D8/J8</f>
        <v>#DIV/0!</v>
      </c>
    </row>
    <row r="9" spans="1:29" s="1218" customFormat="1" ht="15">
      <c r="A9" s="2878"/>
      <c r="B9" s="2885" t="s">
        <v>2762</v>
      </c>
      <c r="C9" s="855"/>
      <c r="D9" s="254">
        <v>100</v>
      </c>
      <c r="E9" s="858"/>
      <c r="F9" s="254">
        <f>SUMIF(63:63,E9,64:64)-SUMIF(63:63,C9,64:64)+100</f>
        <v>100</v>
      </c>
      <c r="G9" s="856"/>
      <c r="H9" s="254">
        <f>SUMIF(63:63,G9,64:64)-SUMIF(63:63,C9,64:64)+100</f>
        <v>100</v>
      </c>
      <c r="I9" s="856"/>
      <c r="J9" s="254">
        <f>SUMIF(63:63,I9,64:64)-SUMIF(63:63,C9,64:64)+100</f>
        <v>100</v>
      </c>
      <c r="K9" s="522"/>
      <c r="L9" s="2133"/>
      <c r="M9" s="2134"/>
      <c r="N9" s="2134"/>
      <c r="O9" s="2135"/>
      <c r="P9" s="3304" t="s">
        <v>536</v>
      </c>
      <c r="Q9" s="1149" t="str">
        <f t="shared" ref="Q9:Q15" si="6">B9</f>
        <v>用途</v>
      </c>
      <c r="R9" s="1567" t="s">
        <v>8</v>
      </c>
      <c r="S9" s="1568">
        <f t="shared" si="0"/>
        <v>100</v>
      </c>
      <c r="T9" s="1567" t="s">
        <v>8</v>
      </c>
      <c r="U9" s="1568">
        <f t="shared" si="1"/>
        <v>100</v>
      </c>
      <c r="V9" s="1567" t="s">
        <v>8</v>
      </c>
      <c r="W9" s="1568">
        <f t="shared" si="2"/>
        <v>100</v>
      </c>
      <c r="X9" s="1569"/>
      <c r="Y9" s="3261"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304"/>
      <c r="Q11" s="1149" t="str">
        <f t="shared" si="6"/>
        <v>容积率</v>
      </c>
      <c r="R11" s="1567" t="s">
        <v>8</v>
      </c>
      <c r="S11" s="1568" t="e">
        <f t="shared" si="0"/>
        <v>#N/A</v>
      </c>
      <c r="T11" s="1567" t="s">
        <v>8</v>
      </c>
      <c r="U11" s="1568" t="e">
        <f t="shared" si="1"/>
        <v>#N/A</v>
      </c>
      <c r="V11" s="1567" t="s">
        <v>8</v>
      </c>
      <c r="W11" s="1568" t="e">
        <f t="shared" si="2"/>
        <v>#N/A</v>
      </c>
      <c r="X11" s="1569"/>
      <c r="Y11" s="3261"/>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304"/>
      <c r="Q12" s="1149">
        <f t="shared" si="6"/>
        <v>111</v>
      </c>
      <c r="R12" s="1567" t="s">
        <v>8</v>
      </c>
      <c r="S12" s="1568">
        <f t="shared" si="0"/>
        <v>100</v>
      </c>
      <c r="T12" s="1567" t="s">
        <v>8</v>
      </c>
      <c r="U12" s="1568">
        <f t="shared" si="1"/>
        <v>100</v>
      </c>
      <c r="V12" s="1567" t="s">
        <v>8</v>
      </c>
      <c r="W12" s="1568">
        <f t="shared" si="2"/>
        <v>100</v>
      </c>
      <c r="X12" s="1569"/>
      <c r="Y12" s="3261"/>
      <c r="Z12" s="1148">
        <f t="shared" si="7"/>
        <v>111</v>
      </c>
      <c r="AA12" s="1570">
        <f>D12/F12</f>
        <v>1</v>
      </c>
      <c r="AB12" s="1570">
        <f>D12/H12</f>
        <v>1</v>
      </c>
      <c r="AC12" s="1570">
        <f>D12/J12</f>
        <v>1</v>
      </c>
    </row>
    <row r="13" spans="1:29" ht="15">
      <c r="A13" s="2881"/>
      <c r="B13" s="2887">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304"/>
      <c r="Q13" s="1149">
        <f t="shared" si="6"/>
        <v>111</v>
      </c>
      <c r="R13" s="1567" t="s">
        <v>8</v>
      </c>
      <c r="S13" s="1568">
        <f t="shared" si="0"/>
        <v>100</v>
      </c>
      <c r="T13" s="1567" t="s">
        <v>8</v>
      </c>
      <c r="U13" s="1568">
        <f t="shared" si="1"/>
        <v>100</v>
      </c>
      <c r="V13" s="1567" t="s">
        <v>8</v>
      </c>
      <c r="W13" s="1568">
        <f t="shared" si="2"/>
        <v>100</v>
      </c>
      <c r="X13" s="1569"/>
      <c r="Y13" s="3261"/>
      <c r="Z13" s="1148">
        <f t="shared" si="7"/>
        <v>111</v>
      </c>
      <c r="AA13" s="1570">
        <f t="shared" si="3"/>
        <v>1</v>
      </c>
      <c r="AB13" s="1570">
        <f t="shared" si="4"/>
        <v>1</v>
      </c>
      <c r="AC13" s="1570">
        <f t="shared" si="5"/>
        <v>1</v>
      </c>
    </row>
    <row r="14" spans="1:29" ht="15.75" thickBot="1">
      <c r="A14" s="2882"/>
      <c r="B14" s="2888">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04"/>
      <c r="Q14" s="1149">
        <f t="shared" si="6"/>
        <v>111</v>
      </c>
      <c r="R14" s="1567" t="s">
        <v>8</v>
      </c>
      <c r="S14" s="1568">
        <f t="shared" si="0"/>
        <v>100</v>
      </c>
      <c r="T14" s="1567" t="s">
        <v>8</v>
      </c>
      <c r="U14" s="1568">
        <f t="shared" si="1"/>
        <v>100</v>
      </c>
      <c r="V14" s="1567" t="s">
        <v>8</v>
      </c>
      <c r="W14" s="1568">
        <f t="shared" si="2"/>
        <v>100</v>
      </c>
      <c r="X14" s="1569"/>
      <c r="Y14" s="3261"/>
      <c r="Z14" s="1148">
        <f t="shared" si="7"/>
        <v>111</v>
      </c>
      <c r="AA14" s="1570">
        <f t="shared" si="3"/>
        <v>1</v>
      </c>
      <c r="AB14" s="1570">
        <f t="shared" si="4"/>
        <v>1</v>
      </c>
      <c r="AC14" s="1570">
        <f t="shared" si="5"/>
        <v>1</v>
      </c>
    </row>
    <row r="15" spans="1:29" ht="71.25">
      <c r="A15" s="2874" t="s">
        <v>2760</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06" t="s">
        <v>541</v>
      </c>
      <c r="Q15" s="1571" t="str">
        <f t="shared" si="6"/>
        <v>商业繁华度</v>
      </c>
      <c r="R15" s="1572" t="s">
        <v>8</v>
      </c>
      <c r="S15" s="1573">
        <f t="shared" si="0"/>
        <v>100</v>
      </c>
      <c r="T15" s="1572" t="s">
        <v>8</v>
      </c>
      <c r="U15" s="1573">
        <f t="shared" si="1"/>
        <v>100</v>
      </c>
      <c r="V15" s="1572" t="s">
        <v>8</v>
      </c>
      <c r="W15" s="1573">
        <f t="shared" si="2"/>
        <v>100</v>
      </c>
      <c r="X15" s="1566"/>
      <c r="Y15" s="3306" t="s">
        <v>541</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07"/>
      <c r="Q16" s="1571"/>
      <c r="R16" s="1572"/>
      <c r="S16" s="1573"/>
      <c r="T16" s="1572"/>
      <c r="U16" s="1573"/>
      <c r="V16" s="1572"/>
      <c r="W16" s="1573"/>
      <c r="X16" s="1566"/>
      <c r="Y16" s="3307"/>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07"/>
      <c r="Q17" s="1571" t="str">
        <f>B17</f>
        <v>交通便捷度</v>
      </c>
      <c r="R17" s="1572" t="s">
        <v>8</v>
      </c>
      <c r="S17" s="1573">
        <f>F17</f>
        <v>100</v>
      </c>
      <c r="T17" s="1572" t="s">
        <v>8</v>
      </c>
      <c r="U17" s="1573">
        <f>H17</f>
        <v>100</v>
      </c>
      <c r="V17" s="1572" t="s">
        <v>8</v>
      </c>
      <c r="W17" s="1573">
        <f>J17</f>
        <v>100</v>
      </c>
      <c r="X17" s="1566"/>
      <c r="Y17" s="330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07"/>
      <c r="Q18" s="1571"/>
      <c r="R18" s="1572"/>
      <c r="S18" s="1573"/>
      <c r="T18" s="1572"/>
      <c r="U18" s="1573"/>
      <c r="V18" s="1572"/>
      <c r="W18" s="1573"/>
      <c r="X18" s="1566"/>
      <c r="Y18" s="3307"/>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07"/>
      <c r="Q19" s="1571" t="str">
        <f>B19</f>
        <v>公共配套设施</v>
      </c>
      <c r="R19" s="1572" t="s">
        <v>8</v>
      </c>
      <c r="S19" s="1573">
        <f>F19</f>
        <v>100</v>
      </c>
      <c r="T19" s="1572" t="s">
        <v>8</v>
      </c>
      <c r="U19" s="1573">
        <f>H19</f>
        <v>100</v>
      </c>
      <c r="V19" s="1572" t="s">
        <v>8</v>
      </c>
      <c r="W19" s="1573">
        <f>J19</f>
        <v>100</v>
      </c>
      <c r="X19" s="1566"/>
      <c r="Y19" s="3307"/>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307"/>
      <c r="Q20" s="1571"/>
      <c r="R20" s="1572"/>
      <c r="S20" s="1573"/>
      <c r="T20" s="1572"/>
      <c r="U20" s="1573"/>
      <c r="V20" s="1572"/>
      <c r="W20" s="1573"/>
      <c r="X20" s="1566"/>
      <c r="Y20" s="3307"/>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07"/>
      <c r="Q21" s="2598" t="str">
        <f>B21</f>
        <v>基础设施水平</v>
      </c>
      <c r="R21" s="1572" t="s">
        <v>8</v>
      </c>
      <c r="S21" s="1573">
        <f>F21</f>
        <v>100</v>
      </c>
      <c r="T21" s="1572" t="s">
        <v>8</v>
      </c>
      <c r="U21" s="1573">
        <f>H21</f>
        <v>100</v>
      </c>
      <c r="V21" s="1572" t="s">
        <v>8</v>
      </c>
      <c r="W21" s="1573">
        <f>J21</f>
        <v>100</v>
      </c>
      <c r="X21" s="2600"/>
      <c r="Y21" s="3307"/>
      <c r="Z21" s="2599"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0"/>
      <c r="M22" s="2132"/>
      <c r="N22" s="2132"/>
      <c r="O22" s="2139"/>
      <c r="P22" s="3307"/>
      <c r="Q22" s="2598"/>
      <c r="R22" s="1572"/>
      <c r="S22" s="1573"/>
      <c r="T22" s="1572"/>
      <c r="U22" s="1573"/>
      <c r="V22" s="1572"/>
      <c r="W22" s="1573"/>
      <c r="X22" s="2600"/>
      <c r="Y22" s="3307"/>
      <c r="Z22" s="2599"/>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07"/>
      <c r="Q23" s="1571" t="str">
        <f>B23</f>
        <v>自然及人文环境</v>
      </c>
      <c r="R23" s="1572" t="s">
        <v>8</v>
      </c>
      <c r="S23" s="1573">
        <f>F23</f>
        <v>100</v>
      </c>
      <c r="T23" s="1572" t="s">
        <v>8</v>
      </c>
      <c r="U23" s="1573">
        <f>H23</f>
        <v>100</v>
      </c>
      <c r="V23" s="1572" t="s">
        <v>8</v>
      </c>
      <c r="W23" s="1573">
        <f>J23</f>
        <v>100</v>
      </c>
      <c r="X23" s="1566"/>
      <c r="Y23" s="3307"/>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307"/>
      <c r="Q24" s="1571"/>
      <c r="R24" s="1572"/>
      <c r="S24" s="1573"/>
      <c r="T24" s="1572"/>
      <c r="U24" s="1573"/>
      <c r="V24" s="1572"/>
      <c r="W24" s="1573"/>
      <c r="X24" s="1566"/>
      <c r="Y24" s="3307"/>
      <c r="Z24" s="1574"/>
      <c r="AA24" s="1575">
        <v>1</v>
      </c>
      <c r="AB24" s="1575">
        <v>1</v>
      </c>
      <c r="AC24" s="1575">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07"/>
      <c r="Q25" s="1571" t="str">
        <f t="shared" ref="Q25:Q46" si="11">B25</f>
        <v>临街状况</v>
      </c>
      <c r="R25" s="1572" t="s">
        <v>8</v>
      </c>
      <c r="S25" s="1573">
        <f>F25</f>
        <v>100</v>
      </c>
      <c r="T25" s="1572" t="s">
        <v>8</v>
      </c>
      <c r="U25" s="1573">
        <f>H25</f>
        <v>100</v>
      </c>
      <c r="V25" s="1572" t="s">
        <v>8</v>
      </c>
      <c r="W25" s="1573">
        <f>J25</f>
        <v>100</v>
      </c>
      <c r="X25" s="1566"/>
      <c r="Y25" s="3307"/>
      <c r="Z25" s="1574" t="str">
        <f>Q25</f>
        <v>临街状况</v>
      </c>
      <c r="AA25" s="1575">
        <f t="shared" si="3"/>
        <v>1</v>
      </c>
      <c r="AB25" s="1575">
        <f t="shared" si="4"/>
        <v>1</v>
      </c>
      <c r="AC25" s="1575">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07"/>
      <c r="Q26" s="1571" t="str">
        <f t="shared" si="11"/>
        <v>平面位置/可视性</v>
      </c>
      <c r="R26" s="1572" t="s">
        <v>8</v>
      </c>
      <c r="S26" s="1573">
        <f>F26</f>
        <v>100</v>
      </c>
      <c r="T26" s="1572" t="s">
        <v>8</v>
      </c>
      <c r="U26" s="1573">
        <f>H26</f>
        <v>100</v>
      </c>
      <c r="V26" s="1572" t="s">
        <v>8</v>
      </c>
      <c r="W26" s="1573">
        <f>J26</f>
        <v>100</v>
      </c>
      <c r="X26" s="1566"/>
      <c r="Y26" s="3307"/>
      <c r="Z26" s="1574" t="str">
        <f>Q26</f>
        <v>平面位置/可视性</v>
      </c>
      <c r="AA26" s="1575">
        <f t="shared" si="3"/>
        <v>1</v>
      </c>
      <c r="AB26" s="1575">
        <f t="shared" si="4"/>
        <v>1</v>
      </c>
      <c r="AC26" s="1575">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07"/>
      <c r="Q27" s="1149" t="str">
        <f t="shared" si="11"/>
        <v>人流量</v>
      </c>
      <c r="R27" s="1567" t="s">
        <v>8</v>
      </c>
      <c r="S27" s="1568">
        <f>F27</f>
        <v>100</v>
      </c>
      <c r="T27" s="1567" t="s">
        <v>8</v>
      </c>
      <c r="U27" s="1568">
        <f>H27</f>
        <v>100</v>
      </c>
      <c r="V27" s="1567" t="s">
        <v>8</v>
      </c>
      <c r="W27" s="1568">
        <f>J27</f>
        <v>100</v>
      </c>
      <c r="X27" s="1569"/>
      <c r="Y27" s="3307"/>
      <c r="Z27" s="1148" t="str">
        <f>Q27</f>
        <v>人流量</v>
      </c>
      <c r="AA27" s="1575">
        <f>D27/F27</f>
        <v>1</v>
      </c>
      <c r="AB27" s="1575">
        <f>D27/H27</f>
        <v>1</v>
      </c>
      <c r="AC27" s="1575">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07"/>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07"/>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07"/>
      <c r="Q29" s="1571">
        <f t="shared" si="11"/>
        <v>111</v>
      </c>
      <c r="R29" s="1572" t="s">
        <v>8</v>
      </c>
      <c r="S29" s="1573">
        <f t="shared" si="12"/>
        <v>100</v>
      </c>
      <c r="T29" s="1572" t="s">
        <v>8</v>
      </c>
      <c r="U29" s="1573">
        <f t="shared" si="13"/>
        <v>100</v>
      </c>
      <c r="V29" s="1572" t="s">
        <v>8</v>
      </c>
      <c r="W29" s="1573">
        <f t="shared" si="14"/>
        <v>100</v>
      </c>
      <c r="X29" s="1566"/>
      <c r="Y29" s="3307"/>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07"/>
      <c r="Q30" s="1571">
        <f t="shared" si="11"/>
        <v>111</v>
      </c>
      <c r="R30" s="1572" t="s">
        <v>8</v>
      </c>
      <c r="S30" s="1573">
        <f t="shared" si="12"/>
        <v>100</v>
      </c>
      <c r="T30" s="1572" t="s">
        <v>8</v>
      </c>
      <c r="U30" s="1573">
        <f t="shared" si="13"/>
        <v>100</v>
      </c>
      <c r="V30" s="1572" t="s">
        <v>8</v>
      </c>
      <c r="W30" s="1573">
        <f t="shared" si="14"/>
        <v>100</v>
      </c>
      <c r="X30" s="1566"/>
      <c r="Y30" s="3307"/>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07"/>
      <c r="Q31" s="1571">
        <f t="shared" si="11"/>
        <v>111</v>
      </c>
      <c r="R31" s="1572" t="s">
        <v>8</v>
      </c>
      <c r="S31" s="1573">
        <f t="shared" si="12"/>
        <v>100</v>
      </c>
      <c r="T31" s="1572" t="s">
        <v>8</v>
      </c>
      <c r="U31" s="1573">
        <f t="shared" si="13"/>
        <v>100</v>
      </c>
      <c r="V31" s="1572" t="s">
        <v>8</v>
      </c>
      <c r="W31" s="1573">
        <f t="shared" si="14"/>
        <v>100</v>
      </c>
      <c r="X31" s="1566"/>
      <c r="Y31" s="3307"/>
      <c r="Z31" s="1574">
        <f t="shared" si="15"/>
        <v>111</v>
      </c>
      <c r="AA31" s="1575">
        <f t="shared" si="3"/>
        <v>1</v>
      </c>
      <c r="AB31" s="1575">
        <f t="shared" si="4"/>
        <v>1</v>
      </c>
      <c r="AC31" s="1575">
        <f t="shared" si="5"/>
        <v>1</v>
      </c>
    </row>
    <row r="32" spans="1:29" ht="15">
      <c r="A32" s="2871" t="s">
        <v>2761</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08" t="s">
        <v>551</v>
      </c>
      <c r="Q32" s="1571" t="str">
        <f t="shared" si="11"/>
        <v>商业类型</v>
      </c>
      <c r="R32" s="1572" t="s">
        <v>8</v>
      </c>
      <c r="S32" s="1573">
        <f t="shared" si="12"/>
        <v>100</v>
      </c>
      <c r="T32" s="1572" t="s">
        <v>8</v>
      </c>
      <c r="U32" s="1573">
        <f t="shared" si="13"/>
        <v>100</v>
      </c>
      <c r="V32" s="1572" t="s">
        <v>8</v>
      </c>
      <c r="W32" s="1573">
        <f t="shared" si="14"/>
        <v>100</v>
      </c>
      <c r="X32" s="1566"/>
      <c r="Y32" s="3309" t="s">
        <v>551</v>
      </c>
      <c r="Z32" s="1574" t="str">
        <f t="shared" si="15"/>
        <v>商业类型</v>
      </c>
      <c r="AA32" s="1575">
        <f t="shared" si="3"/>
        <v>1</v>
      </c>
      <c r="AB32" s="1575">
        <f t="shared" si="4"/>
        <v>1</v>
      </c>
      <c r="AC32" s="1575">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309"/>
      <c r="Q33" s="1604" t="str">
        <f t="shared" si="11"/>
        <v>项目建筑规模</v>
      </c>
      <c r="R33" s="1576" t="s">
        <v>8</v>
      </c>
      <c r="S33" s="1577" t="e">
        <f t="shared" si="12"/>
        <v>#N/A</v>
      </c>
      <c r="T33" s="1576" t="s">
        <v>8</v>
      </c>
      <c r="U33" s="1577" t="e">
        <f t="shared" si="13"/>
        <v>#N/A</v>
      </c>
      <c r="V33" s="1576" t="s">
        <v>8</v>
      </c>
      <c r="W33" s="1577" t="e">
        <f t="shared" si="14"/>
        <v>#N/A</v>
      </c>
      <c r="X33" s="1578"/>
      <c r="Y33" s="3309"/>
      <c r="Z33" s="1579" t="str">
        <f t="shared" si="15"/>
        <v>项目建筑规模</v>
      </c>
      <c r="AA33" s="1575" t="e">
        <f t="shared" si="3"/>
        <v>#N/A</v>
      </c>
      <c r="AB33" s="1575" t="e">
        <f t="shared" si="4"/>
        <v>#N/A</v>
      </c>
      <c r="AC33" s="1575"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09"/>
      <c r="Q34" s="1571" t="str">
        <f t="shared" si="11"/>
        <v>建筑结构</v>
      </c>
      <c r="R34" s="1572" t="s">
        <v>8</v>
      </c>
      <c r="S34" s="1573">
        <f t="shared" si="12"/>
        <v>100</v>
      </c>
      <c r="T34" s="1572" t="s">
        <v>8</v>
      </c>
      <c r="U34" s="1573">
        <f t="shared" si="13"/>
        <v>100</v>
      </c>
      <c r="V34" s="1572" t="s">
        <v>8</v>
      </c>
      <c r="W34" s="1573">
        <f t="shared" si="14"/>
        <v>100</v>
      </c>
      <c r="X34" s="1566"/>
      <c r="Y34" s="3309"/>
      <c r="Z34" s="1574" t="str">
        <f t="shared" si="15"/>
        <v>建筑结构</v>
      </c>
      <c r="AA34" s="1575">
        <f t="shared" si="3"/>
        <v>1</v>
      </c>
      <c r="AB34" s="1575">
        <f t="shared" si="4"/>
        <v>1</v>
      </c>
      <c r="AC34" s="1575">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09"/>
      <c r="Q35" s="1571" t="str">
        <f t="shared" si="11"/>
        <v>公共部分装修</v>
      </c>
      <c r="R35" s="1572" t="s">
        <v>8</v>
      </c>
      <c r="S35" s="1573">
        <f t="shared" si="12"/>
        <v>100</v>
      </c>
      <c r="T35" s="1572" t="s">
        <v>8</v>
      </c>
      <c r="U35" s="1573">
        <f t="shared" si="13"/>
        <v>100</v>
      </c>
      <c r="V35" s="1572" t="s">
        <v>8</v>
      </c>
      <c r="W35" s="1573">
        <f t="shared" si="14"/>
        <v>100</v>
      </c>
      <c r="X35" s="1566"/>
      <c r="Y35" s="3309"/>
      <c r="Z35" s="1574" t="str">
        <f t="shared" si="15"/>
        <v>公共部分装修</v>
      </c>
      <c r="AA35" s="1575">
        <f t="shared" si="3"/>
        <v>1</v>
      </c>
      <c r="AB35" s="1575">
        <f t="shared" si="4"/>
        <v>1</v>
      </c>
      <c r="AC35" s="1575">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09"/>
      <c r="Q36" s="1571" t="str">
        <f t="shared" si="11"/>
        <v>成新度</v>
      </c>
      <c r="R36" s="1572" t="s">
        <v>8</v>
      </c>
      <c r="S36" s="1573" t="e">
        <f t="shared" si="12"/>
        <v>#N/A</v>
      </c>
      <c r="T36" s="1572" t="s">
        <v>8</v>
      </c>
      <c r="U36" s="1573" t="e">
        <f t="shared" si="13"/>
        <v>#N/A</v>
      </c>
      <c r="V36" s="1572" t="s">
        <v>8</v>
      </c>
      <c r="W36" s="1573" t="e">
        <f t="shared" si="14"/>
        <v>#N/A</v>
      </c>
      <c r="X36" s="1566"/>
      <c r="Y36" s="3309"/>
      <c r="Z36" s="1574" t="str">
        <f t="shared" si="15"/>
        <v>成新度</v>
      </c>
      <c r="AA36" s="1575" t="e">
        <f t="shared" si="3"/>
        <v>#N/A</v>
      </c>
      <c r="AB36" s="1575" t="e">
        <f t="shared" si="4"/>
        <v>#N/A</v>
      </c>
      <c r="AC36" s="1575" t="e">
        <f t="shared" si="5"/>
        <v>#N/A</v>
      </c>
    </row>
    <row r="37" spans="1:29" s="1218" customFormat="1" ht="15">
      <c r="A37" s="598"/>
      <c r="B37" s="1893" t="s">
        <v>2569</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09"/>
      <c r="Q37" s="1149" t="str">
        <f t="shared" si="11"/>
        <v>市政基础设施</v>
      </c>
      <c r="R37" s="1567" t="s">
        <v>8</v>
      </c>
      <c r="S37" s="1568">
        <f t="shared" si="12"/>
        <v>100</v>
      </c>
      <c r="T37" s="1567" t="s">
        <v>8</v>
      </c>
      <c r="U37" s="1568">
        <f t="shared" si="13"/>
        <v>100</v>
      </c>
      <c r="V37" s="1567" t="s">
        <v>8</v>
      </c>
      <c r="W37" s="1568">
        <f t="shared" si="14"/>
        <v>100</v>
      </c>
      <c r="X37" s="1569"/>
      <c r="Y37" s="3309"/>
      <c r="Z37" s="1148" t="str">
        <f t="shared" si="15"/>
        <v>市政基础设施</v>
      </c>
      <c r="AA37" s="1570">
        <f t="shared" si="3"/>
        <v>1</v>
      </c>
      <c r="AB37" s="1570">
        <f t="shared" si="4"/>
        <v>1</v>
      </c>
      <c r="AC37" s="1570">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09" t="s">
        <v>767</v>
      </c>
      <c r="Q38" s="1571" t="str">
        <f t="shared" si="11"/>
        <v>业态</v>
      </c>
      <c r="R38" s="1572" t="s">
        <v>8</v>
      </c>
      <c r="S38" s="1573">
        <f t="shared" si="12"/>
        <v>100</v>
      </c>
      <c r="T38" s="1572" t="s">
        <v>8</v>
      </c>
      <c r="U38" s="1573">
        <f t="shared" si="13"/>
        <v>100</v>
      </c>
      <c r="V38" s="1572" t="s">
        <v>8</v>
      </c>
      <c r="W38" s="1573">
        <f t="shared" si="14"/>
        <v>100</v>
      </c>
      <c r="X38" s="1566"/>
      <c r="Y38" s="3309" t="s">
        <v>767</v>
      </c>
      <c r="Z38" s="1574" t="str">
        <f t="shared" si="15"/>
        <v>业态</v>
      </c>
      <c r="AA38" s="1575">
        <f t="shared" si="3"/>
        <v>1</v>
      </c>
      <c r="AB38" s="1575">
        <f t="shared" si="4"/>
        <v>1</v>
      </c>
      <c r="AC38" s="1575">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09"/>
      <c r="Q39" s="1571" t="str">
        <f t="shared" si="11"/>
        <v>层高</v>
      </c>
      <c r="R39" s="1572" t="s">
        <v>8</v>
      </c>
      <c r="S39" s="1573">
        <f t="shared" si="12"/>
        <v>100</v>
      </c>
      <c r="T39" s="1572" t="s">
        <v>8</v>
      </c>
      <c r="U39" s="1573">
        <f t="shared" si="13"/>
        <v>100</v>
      </c>
      <c r="V39" s="1572" t="s">
        <v>8</v>
      </c>
      <c r="W39" s="1573">
        <f t="shared" si="14"/>
        <v>100</v>
      </c>
      <c r="X39" s="1566"/>
      <c r="Y39" s="3309"/>
      <c r="Z39" s="1574" t="str">
        <f t="shared" si="15"/>
        <v>层高</v>
      </c>
      <c r="AA39" s="1575">
        <f t="shared" si="3"/>
        <v>1</v>
      </c>
      <c r="AB39" s="1575">
        <f t="shared" si="4"/>
        <v>1</v>
      </c>
      <c r="AC39" s="1575">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09"/>
      <c r="Q40" s="1571" t="str">
        <f t="shared" si="11"/>
        <v>单套建筑面积</v>
      </c>
      <c r="R40" s="1572" t="s">
        <v>8</v>
      </c>
      <c r="S40" s="1573">
        <f t="shared" si="12"/>
        <v>100</v>
      </c>
      <c r="T40" s="1572" t="s">
        <v>8</v>
      </c>
      <c r="U40" s="1573">
        <f t="shared" si="13"/>
        <v>100</v>
      </c>
      <c r="V40" s="1572" t="s">
        <v>8</v>
      </c>
      <c r="W40" s="1573">
        <f t="shared" si="14"/>
        <v>100</v>
      </c>
      <c r="X40" s="1566"/>
      <c r="Y40" s="3309"/>
      <c r="Z40" s="1574" t="str">
        <f t="shared" si="15"/>
        <v>单套建筑面积</v>
      </c>
      <c r="AA40" s="1575">
        <f t="shared" si="3"/>
        <v>1</v>
      </c>
      <c r="AB40" s="1575">
        <f t="shared" si="4"/>
        <v>1</v>
      </c>
      <c r="AC40" s="1575">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09"/>
      <c r="Q41" s="1604" t="str">
        <f t="shared" si="11"/>
        <v>进深比</v>
      </c>
      <c r="R41" s="1576" t="s">
        <v>8</v>
      </c>
      <c r="S41" s="1577">
        <f t="shared" si="12"/>
        <v>100</v>
      </c>
      <c r="T41" s="1576" t="s">
        <v>8</v>
      </c>
      <c r="U41" s="1577">
        <f t="shared" si="13"/>
        <v>100</v>
      </c>
      <c r="V41" s="1576" t="s">
        <v>8</v>
      </c>
      <c r="W41" s="1577">
        <f t="shared" si="14"/>
        <v>100</v>
      </c>
      <c r="X41" s="1578"/>
      <c r="Y41" s="3309"/>
      <c r="Z41" s="1579" t="str">
        <f t="shared" si="15"/>
        <v>进深比</v>
      </c>
      <c r="AA41" s="1575">
        <f t="shared" si="3"/>
        <v>1</v>
      </c>
      <c r="AB41" s="1575">
        <f t="shared" si="4"/>
        <v>1</v>
      </c>
      <c r="AC41" s="1575">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09"/>
      <c r="Q42" s="1571" t="str">
        <f t="shared" si="11"/>
        <v>内部装修</v>
      </c>
      <c r="R42" s="1572" t="s">
        <v>8</v>
      </c>
      <c r="S42" s="1573">
        <f t="shared" si="12"/>
        <v>100</v>
      </c>
      <c r="T42" s="1572" t="s">
        <v>8</v>
      </c>
      <c r="U42" s="1573">
        <f t="shared" si="13"/>
        <v>100</v>
      </c>
      <c r="V42" s="1572" t="s">
        <v>8</v>
      </c>
      <c r="W42" s="1573">
        <f t="shared" si="14"/>
        <v>100</v>
      </c>
      <c r="X42" s="1566"/>
      <c r="Y42" s="3309"/>
      <c r="Z42" s="1574" t="str">
        <f t="shared" si="15"/>
        <v>内部装修</v>
      </c>
      <c r="AA42" s="1575">
        <f t="shared" si="3"/>
        <v>1</v>
      </c>
      <c r="AB42" s="1575">
        <f t="shared" si="4"/>
        <v>1</v>
      </c>
      <c r="AC42" s="1575">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09"/>
      <c r="Q43" s="1571" t="str">
        <f t="shared" si="11"/>
        <v>内部装修维护情况</v>
      </c>
      <c r="R43" s="1572" t="s">
        <v>8</v>
      </c>
      <c r="S43" s="1573">
        <f t="shared" si="12"/>
        <v>100</v>
      </c>
      <c r="T43" s="1572" t="s">
        <v>8</v>
      </c>
      <c r="U43" s="1573">
        <f t="shared" si="13"/>
        <v>100</v>
      </c>
      <c r="V43" s="1572" t="s">
        <v>8</v>
      </c>
      <c r="W43" s="1573">
        <f t="shared" si="14"/>
        <v>100</v>
      </c>
      <c r="X43" s="1566"/>
      <c r="Y43" s="3309"/>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309"/>
      <c r="Q44" s="1149">
        <f t="shared" si="11"/>
        <v>111</v>
      </c>
      <c r="R44" s="1567" t="s">
        <v>8</v>
      </c>
      <c r="S44" s="1568">
        <f t="shared" si="12"/>
        <v>100</v>
      </c>
      <c r="T44" s="1567" t="s">
        <v>8</v>
      </c>
      <c r="U44" s="1568">
        <f t="shared" si="13"/>
        <v>100</v>
      </c>
      <c r="V44" s="1567" t="s">
        <v>8</v>
      </c>
      <c r="W44" s="1568">
        <f t="shared" si="14"/>
        <v>100</v>
      </c>
      <c r="X44" s="1569"/>
      <c r="Y44" s="3309"/>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09"/>
      <c r="Q45" s="1571">
        <f t="shared" si="11"/>
        <v>111</v>
      </c>
      <c r="R45" s="1572" t="s">
        <v>8</v>
      </c>
      <c r="S45" s="1573">
        <f t="shared" si="12"/>
        <v>100</v>
      </c>
      <c r="T45" s="1572" t="s">
        <v>8</v>
      </c>
      <c r="U45" s="1573">
        <f t="shared" si="13"/>
        <v>100</v>
      </c>
      <c r="V45" s="1572" t="s">
        <v>8</v>
      </c>
      <c r="W45" s="1573">
        <f t="shared" si="14"/>
        <v>100</v>
      </c>
      <c r="X45" s="1566"/>
      <c r="Y45" s="3309"/>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07"/>
      <c r="Q46" s="1571">
        <f t="shared" si="11"/>
        <v>111</v>
      </c>
      <c r="R46" s="1572" t="s">
        <v>8</v>
      </c>
      <c r="S46" s="1573">
        <f t="shared" si="12"/>
        <v>100</v>
      </c>
      <c r="T46" s="1572" t="s">
        <v>8</v>
      </c>
      <c r="U46" s="1573">
        <f t="shared" si="13"/>
        <v>100</v>
      </c>
      <c r="V46" s="1572" t="s">
        <v>8</v>
      </c>
      <c r="W46" s="1573">
        <f t="shared" si="14"/>
        <v>100</v>
      </c>
      <c r="X46" s="1566"/>
      <c r="Y46" s="3407"/>
      <c r="Z46" s="1574">
        <f t="shared" si="15"/>
        <v>111</v>
      </c>
      <c r="AA46" s="1575">
        <f t="shared" si="3"/>
        <v>1</v>
      </c>
      <c r="AB46" s="1575">
        <f t="shared" si="4"/>
        <v>1</v>
      </c>
      <c r="AC46" s="1575">
        <f t="shared" si="5"/>
        <v>1</v>
      </c>
    </row>
    <row r="47" spans="1:29" ht="15">
      <c r="A47" s="605" t="s">
        <v>737</v>
      </c>
      <c r="B47" s="885"/>
      <c r="C47" s="2646" t="s">
        <v>1</v>
      </c>
      <c r="D47" s="2647"/>
      <c r="E47" s="2648"/>
      <c r="F47" s="2649"/>
      <c r="G47" s="2650"/>
      <c r="H47" s="2651"/>
      <c r="I47" s="2648"/>
      <c r="J47" s="2651"/>
      <c r="K47" s="1610"/>
      <c r="L47" s="2142"/>
      <c r="M47" s="2143"/>
      <c r="N47" s="2132"/>
      <c r="O47" s="2143"/>
      <c r="P47" s="3304" t="str">
        <f>A47</f>
        <v>成交单价（元/平方米）</v>
      </c>
      <c r="Q47" s="3304"/>
      <c r="R47" s="3406">
        <f>E47</f>
        <v>0</v>
      </c>
      <c r="S47" s="3406"/>
      <c r="T47" s="3406">
        <f>G47</f>
        <v>0</v>
      </c>
      <c r="U47" s="3406"/>
      <c r="V47" s="3406">
        <f>I47</f>
        <v>0</v>
      </c>
      <c r="W47" s="3406"/>
      <c r="X47" s="1558"/>
      <c r="Y47" s="1580"/>
      <c r="Z47" s="1558"/>
      <c r="AA47" s="1558"/>
      <c r="AB47" s="1558"/>
      <c r="AC47" s="1558"/>
    </row>
    <row r="48" spans="1:29" ht="15.75" thickBot="1">
      <c r="A48" s="613" t="s">
        <v>2766</v>
      </c>
      <c r="B48" s="886"/>
      <c r="C48" s="2652" t="e">
        <f>R49</f>
        <v>#DIV/0!</v>
      </c>
      <c r="D48" s="2653"/>
      <c r="E48" s="2654" t="e">
        <f>R48</f>
        <v>#DIV/0!</v>
      </c>
      <c r="F48" s="2654"/>
      <c r="G48" s="2652" t="e">
        <f>T48</f>
        <v>#DIV/0!</v>
      </c>
      <c r="H48" s="2653"/>
      <c r="I48" s="2654" t="e">
        <f>V48</f>
        <v>#DIV/0!</v>
      </c>
      <c r="J48" s="2653"/>
      <c r="K48" s="1611"/>
      <c r="L48" s="2142"/>
      <c r="M48" s="2143"/>
      <c r="N48" s="2132"/>
      <c r="O48" s="2143"/>
      <c r="P48" s="3304" t="str">
        <f>A48</f>
        <v>比较价格（元/平方米）</v>
      </c>
      <c r="Q48" s="3304"/>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1558"/>
      <c r="Y48" s="1558"/>
      <c r="Z48" s="1558"/>
      <c r="AA48" s="1558"/>
      <c r="AB48" s="1558"/>
      <c r="AC48" s="1558"/>
    </row>
    <row r="49" spans="1:29" ht="15.75" thickBot="1">
      <c r="A49" s="619" t="s">
        <v>2938</v>
      </c>
      <c r="B49" s="620"/>
      <c r="C49" s="2655" t="e">
        <f>R49</f>
        <v>#DIV/0!</v>
      </c>
      <c r="D49" s="2655"/>
      <c r="E49" s="2655"/>
      <c r="F49" s="2655"/>
      <c r="G49" s="2655"/>
      <c r="H49" s="2655"/>
      <c r="I49" s="2655"/>
      <c r="J49" s="2655"/>
      <c r="K49" s="1612"/>
      <c r="L49" s="2142"/>
      <c r="M49" s="2143"/>
      <c r="N49" s="2132"/>
      <c r="O49" s="2143"/>
      <c r="P49" s="3327" t="str">
        <f>A49</f>
        <v>估价对象XX用房的比较价格（楼面单价，元/平方米）</v>
      </c>
      <c r="Q49" s="3328"/>
      <c r="R49" s="3405" t="e">
        <f>IF(F1="售价",ROUND(AVERAGE(R48:V48),0),ROUND(AVERAGE(R48:V48),1))</f>
        <v>#DIV/0!</v>
      </c>
      <c r="S49" s="3405"/>
      <c r="T49" s="3405"/>
      <c r="U49" s="3405"/>
      <c r="V49" s="3405"/>
      <c r="W49" s="3405"/>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3"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578</v>
      </c>
      <c r="B63" s="663" t="s">
        <v>535</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772</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552</v>
      </c>
      <c r="B100" s="663" t="s">
        <v>773</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752</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2560</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774</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776</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777</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8"/>
      <c r="G1" s="1600" t="s">
        <v>722</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520</v>
      </c>
      <c r="B3" s="508" t="e">
        <f>C50</f>
        <v>#DIV/0!</v>
      </c>
      <c r="C3" s="850" t="s">
        <v>723</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522</v>
      </c>
      <c r="B4" s="511"/>
      <c r="C4" s="3310" t="s">
        <v>523</v>
      </c>
      <c r="D4" s="3311"/>
      <c r="E4" s="3336" t="s">
        <v>524</v>
      </c>
      <c r="F4" s="3337"/>
      <c r="G4" s="3310" t="s">
        <v>525</v>
      </c>
      <c r="H4" s="3311"/>
      <c r="I4" s="3310" t="s">
        <v>526</v>
      </c>
      <c r="J4" s="3311"/>
      <c r="K4" s="512" t="s">
        <v>527</v>
      </c>
      <c r="L4" s="2131"/>
      <c r="M4" s="2132"/>
      <c r="N4" s="2132"/>
      <c r="O4" s="2132"/>
      <c r="P4" s="3408" t="s">
        <v>528</v>
      </c>
      <c r="Q4" s="3313"/>
      <c r="R4" s="3298" t="s">
        <v>524</v>
      </c>
      <c r="S4" s="3299"/>
      <c r="T4" s="3298" t="s">
        <v>525</v>
      </c>
      <c r="U4" s="3299"/>
      <c r="V4" s="3318" t="s">
        <v>526</v>
      </c>
      <c r="W4" s="3318"/>
      <c r="X4" s="1566"/>
      <c r="Y4" s="3298" t="s">
        <v>528</v>
      </c>
      <c r="Z4" s="3299"/>
      <c r="AA4" s="3293" t="s">
        <v>524</v>
      </c>
      <c r="AB4" s="3293" t="s">
        <v>525</v>
      </c>
      <c r="AC4" s="3293" t="s">
        <v>526</v>
      </c>
    </row>
    <row r="5" spans="1:29" ht="15">
      <c r="A5" s="513"/>
      <c r="B5" s="514"/>
      <c r="C5" s="3323" t="s">
        <v>2932</v>
      </c>
      <c r="D5" s="3322"/>
      <c r="E5" s="3338" t="s">
        <v>2933</v>
      </c>
      <c r="F5" s="3339"/>
      <c r="G5" s="3323" t="s">
        <v>2934</v>
      </c>
      <c r="H5" s="3322"/>
      <c r="I5" s="3323" t="s">
        <v>2935</v>
      </c>
      <c r="J5" s="3322"/>
      <c r="K5" s="512"/>
      <c r="L5" s="2131"/>
      <c r="M5" s="2132"/>
      <c r="N5" s="2132"/>
      <c r="O5" s="2132"/>
      <c r="P5" s="3409"/>
      <c r="Q5" s="3315"/>
      <c r="R5" s="3300"/>
      <c r="S5" s="3301"/>
      <c r="T5" s="3300"/>
      <c r="U5" s="3301"/>
      <c r="V5" s="3318"/>
      <c r="W5" s="3318"/>
      <c r="X5" s="1566"/>
      <c r="Y5" s="3300"/>
      <c r="Z5" s="3301"/>
      <c r="AA5" s="3294"/>
      <c r="AB5" s="3294"/>
      <c r="AC5" s="3294"/>
    </row>
    <row r="6" spans="1:29" ht="15.75" thickBot="1">
      <c r="A6" s="515"/>
      <c r="B6" s="516"/>
      <c r="C6" s="3340" t="s">
        <v>2936</v>
      </c>
      <c r="D6" s="3320"/>
      <c r="E6" s="3341" t="s">
        <v>2936</v>
      </c>
      <c r="F6" s="3342"/>
      <c r="G6" s="3340" t="s">
        <v>2936</v>
      </c>
      <c r="H6" s="3320"/>
      <c r="I6" s="3340" t="s">
        <v>2936</v>
      </c>
      <c r="J6" s="3320"/>
      <c r="K6" s="512" t="s">
        <v>529</v>
      </c>
      <c r="L6" s="2131"/>
      <c r="M6" s="2132"/>
      <c r="N6" s="2132"/>
      <c r="O6" s="2132"/>
      <c r="P6" s="3410"/>
      <c r="Q6" s="3317"/>
      <c r="R6" s="3300"/>
      <c r="S6" s="3301"/>
      <c r="T6" s="3302"/>
      <c r="U6" s="3303"/>
      <c r="V6" s="3318"/>
      <c r="W6" s="3318"/>
      <c r="X6" s="1566"/>
      <c r="Y6" s="3302"/>
      <c r="Z6" s="3303"/>
      <c r="AA6" s="3295"/>
      <c r="AB6" s="3295"/>
      <c r="AC6" s="3295"/>
    </row>
    <row r="7" spans="1:29" s="1218" customFormat="1" ht="15.75" thickBot="1">
      <c r="A7" s="2876"/>
      <c r="B7" s="2883" t="s">
        <v>530</v>
      </c>
      <c r="C7" s="517">
        <f>'数据-取费表'!B2</f>
        <v>43061</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05" t="s">
        <v>531</v>
      </c>
      <c r="Q7" s="3305"/>
      <c r="R7" s="1567" t="s">
        <v>8</v>
      </c>
      <c r="S7" s="1568">
        <f t="shared" ref="S7:S15" si="0">F7</f>
        <v>0</v>
      </c>
      <c r="T7" s="1567" t="s">
        <v>8</v>
      </c>
      <c r="U7" s="1568">
        <f t="shared" ref="U7:U15" si="1">H7</f>
        <v>0</v>
      </c>
      <c r="V7" s="1567" t="s">
        <v>8</v>
      </c>
      <c r="W7" s="1568">
        <f t="shared" ref="W7:W15" si="2">J7</f>
        <v>0</v>
      </c>
      <c r="X7" s="1569"/>
      <c r="Y7" s="3296" t="s">
        <v>531</v>
      </c>
      <c r="Z7" s="3297"/>
      <c r="AA7" s="1570" t="e">
        <f>D7/F7</f>
        <v>#DIV/0!</v>
      </c>
      <c r="AB7" s="1570" t="e">
        <f>D7/H7</f>
        <v>#DIV/0!</v>
      </c>
      <c r="AC7" s="1570" t="e">
        <f>D7/J7</f>
        <v>#DIV/0!</v>
      </c>
    </row>
    <row r="8" spans="1:29" s="1218" customFormat="1" ht="15.75" thickBot="1">
      <c r="A8" s="2877"/>
      <c r="B8" s="2884" t="s">
        <v>532</v>
      </c>
      <c r="C8" s="523" t="s">
        <v>577</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05" t="s">
        <v>534</v>
      </c>
      <c r="Q8" s="3297"/>
      <c r="R8" s="1567" t="s">
        <v>8</v>
      </c>
      <c r="S8" s="1568">
        <f t="shared" si="0"/>
        <v>0</v>
      </c>
      <c r="T8" s="1567" t="s">
        <v>8</v>
      </c>
      <c r="U8" s="1568">
        <f t="shared" si="1"/>
        <v>0</v>
      </c>
      <c r="V8" s="1567" t="s">
        <v>8</v>
      </c>
      <c r="W8" s="1568">
        <f t="shared" si="2"/>
        <v>0</v>
      </c>
      <c r="X8" s="1569"/>
      <c r="Y8" s="3296" t="s">
        <v>534</v>
      </c>
      <c r="Z8" s="3297"/>
      <c r="AA8" s="1570" t="e">
        <f t="shared" ref="AA8:AA47" si="3">D8/F8</f>
        <v>#DIV/0!</v>
      </c>
      <c r="AB8" s="1570" t="e">
        <f t="shared" ref="AB8:AB47" si="4">D8/H8</f>
        <v>#DIV/0!</v>
      </c>
      <c r="AC8" s="1570" t="e">
        <f t="shared" ref="AC8:AC47" si="5">D8/J8</f>
        <v>#DIV/0!</v>
      </c>
    </row>
    <row r="9" spans="1:29" s="1218" customFormat="1" ht="15">
      <c r="A9" s="2878"/>
      <c r="B9" s="2885" t="s">
        <v>2762</v>
      </c>
      <c r="C9" s="855"/>
      <c r="D9" s="254">
        <v>100</v>
      </c>
      <c r="E9" s="858"/>
      <c r="F9" s="254">
        <f>SUMIF(64:64,E9,65:65)-SUMIF(64:64,C9,65:65)+100</f>
        <v>100</v>
      </c>
      <c r="G9" s="856"/>
      <c r="H9" s="254">
        <f>SUMIF(64:64,G9,65:65)-SUMIF(64:64,C9,65:65)+100</f>
        <v>100</v>
      </c>
      <c r="I9" s="856"/>
      <c r="J9" s="254">
        <f>SUMIF(64:64,I9,65:65)-SUMIF(64:64,C9,65:65)+100</f>
        <v>100</v>
      </c>
      <c r="K9" s="522"/>
      <c r="L9" s="2133"/>
      <c r="M9" s="2134"/>
      <c r="N9" s="2134"/>
      <c r="O9" s="2134"/>
      <c r="P9" s="3304" t="s">
        <v>536</v>
      </c>
      <c r="Q9" s="1149" t="str">
        <f t="shared" ref="Q9:Q15" si="6">B9</f>
        <v>用途</v>
      </c>
      <c r="R9" s="1567" t="s">
        <v>8</v>
      </c>
      <c r="S9" s="1568">
        <f t="shared" si="0"/>
        <v>100</v>
      </c>
      <c r="T9" s="1567" t="s">
        <v>8</v>
      </c>
      <c r="U9" s="1568">
        <f t="shared" si="1"/>
        <v>100</v>
      </c>
      <c r="V9" s="1567" t="s">
        <v>8</v>
      </c>
      <c r="W9" s="1568">
        <f t="shared" si="2"/>
        <v>100</v>
      </c>
      <c r="X9" s="1569"/>
      <c r="Y9" s="3261"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304"/>
      <c r="Q11" s="1149" t="str">
        <f t="shared" si="6"/>
        <v>容积率</v>
      </c>
      <c r="R11" s="1567" t="s">
        <v>8</v>
      </c>
      <c r="S11" s="1568" t="e">
        <f t="shared" si="0"/>
        <v>#N/A</v>
      </c>
      <c r="T11" s="1567" t="s">
        <v>8</v>
      </c>
      <c r="U11" s="1568" t="e">
        <f t="shared" si="1"/>
        <v>#N/A</v>
      </c>
      <c r="V11" s="1567" t="s">
        <v>8</v>
      </c>
      <c r="W11" s="1568" t="e">
        <f t="shared" si="2"/>
        <v>#N/A</v>
      </c>
      <c r="X11" s="1569"/>
      <c r="Y11" s="3261"/>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26"/>
      <c r="F12" s="255">
        <f>SUMIF(71:71,E12,72:72)-SUMIF(71:71,C12,72:72)+100</f>
        <v>100</v>
      </c>
      <c r="G12" s="908"/>
      <c r="H12" s="255">
        <f>SUMIF(71:71,G12,72:72)-SUMIF(71:71,C12,72:72)+100</f>
        <v>100</v>
      </c>
      <c r="I12" s="526"/>
      <c r="J12" s="255">
        <f>SUMIF(71:71,I12,72:72)-SUMIF(71:71,C12,72:72)+100</f>
        <v>100</v>
      </c>
      <c r="K12" s="579"/>
      <c r="L12" s="2133"/>
      <c r="M12" s="2134"/>
      <c r="N12" s="2134"/>
      <c r="O12" s="2134"/>
      <c r="P12" s="3304"/>
      <c r="Q12" s="1149">
        <f t="shared" si="6"/>
        <v>111</v>
      </c>
      <c r="R12" s="1567" t="s">
        <v>8</v>
      </c>
      <c r="S12" s="1568">
        <f t="shared" si="0"/>
        <v>100</v>
      </c>
      <c r="T12" s="1567" t="s">
        <v>8</v>
      </c>
      <c r="U12" s="1568">
        <f t="shared" si="1"/>
        <v>100</v>
      </c>
      <c r="V12" s="1567" t="s">
        <v>8</v>
      </c>
      <c r="W12" s="1568">
        <f t="shared" si="2"/>
        <v>100</v>
      </c>
      <c r="X12" s="1569"/>
      <c r="Y12" s="3261"/>
      <c r="Z12" s="1148">
        <f t="shared" si="7"/>
        <v>111</v>
      </c>
      <c r="AA12" s="1570">
        <f>D12/F12</f>
        <v>1</v>
      </c>
      <c r="AB12" s="1570">
        <f>D12/H12</f>
        <v>1</v>
      </c>
      <c r="AC12" s="1570">
        <f>D12/J12</f>
        <v>1</v>
      </c>
    </row>
    <row r="13" spans="1:29" ht="15">
      <c r="A13" s="2881"/>
      <c r="B13" s="2887">
        <v>111</v>
      </c>
      <c r="C13" s="537"/>
      <c r="D13" s="538">
        <v>100</v>
      </c>
      <c r="E13" s="526"/>
      <c r="F13" s="255">
        <f>SUMIF(73:73,E13,74:74)-SUMIF(73:73,C13,74:74)+100</f>
        <v>100</v>
      </c>
      <c r="G13" s="908"/>
      <c r="H13" s="538">
        <f>SUMIF(73:73,G13,74:74)-SUMIF(73:73,C13,74:74)+100</f>
        <v>100</v>
      </c>
      <c r="I13" s="526"/>
      <c r="J13" s="538">
        <f>SUMIF(73:73,I13,74:74)-SUMIF(73:73,C13,74:74)+100</f>
        <v>100</v>
      </c>
      <c r="K13" s="579"/>
      <c r="L13" s="2140"/>
      <c r="M13" s="2132"/>
      <c r="N13" s="2132"/>
      <c r="O13" s="2132"/>
      <c r="P13" s="3304"/>
      <c r="Q13" s="1149">
        <f t="shared" si="6"/>
        <v>111</v>
      </c>
      <c r="R13" s="1567" t="s">
        <v>8</v>
      </c>
      <c r="S13" s="1568">
        <f t="shared" si="0"/>
        <v>100</v>
      </c>
      <c r="T13" s="1567" t="s">
        <v>8</v>
      </c>
      <c r="U13" s="1568">
        <f t="shared" si="1"/>
        <v>100</v>
      </c>
      <c r="V13" s="1567" t="s">
        <v>8</v>
      </c>
      <c r="W13" s="1568">
        <f t="shared" si="2"/>
        <v>100</v>
      </c>
      <c r="X13" s="1569"/>
      <c r="Y13" s="3261"/>
      <c r="Z13" s="1148">
        <f t="shared" si="7"/>
        <v>111</v>
      </c>
      <c r="AA13" s="1570">
        <f t="shared" si="3"/>
        <v>1</v>
      </c>
      <c r="AB13" s="1570">
        <f t="shared" si="4"/>
        <v>1</v>
      </c>
      <c r="AC13" s="1570">
        <f t="shared" si="5"/>
        <v>1</v>
      </c>
    </row>
    <row r="14" spans="1:29" ht="15.75" thickBot="1">
      <c r="A14" s="2882"/>
      <c r="B14" s="2888">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04"/>
      <c r="Q14" s="1149">
        <f t="shared" si="6"/>
        <v>111</v>
      </c>
      <c r="R14" s="1567" t="s">
        <v>8</v>
      </c>
      <c r="S14" s="1568">
        <f t="shared" si="0"/>
        <v>100</v>
      </c>
      <c r="T14" s="1567" t="s">
        <v>8</v>
      </c>
      <c r="U14" s="1568">
        <f t="shared" si="1"/>
        <v>100</v>
      </c>
      <c r="V14" s="1567" t="s">
        <v>8</v>
      </c>
      <c r="W14" s="1568">
        <f t="shared" si="2"/>
        <v>100</v>
      </c>
      <c r="X14" s="1569"/>
      <c r="Y14" s="3261"/>
      <c r="Z14" s="1148">
        <f t="shared" si="7"/>
        <v>111</v>
      </c>
      <c r="AA14" s="1570">
        <f t="shared" si="3"/>
        <v>1</v>
      </c>
      <c r="AB14" s="1570">
        <f t="shared" si="4"/>
        <v>1</v>
      </c>
      <c r="AC14" s="1570">
        <f t="shared" si="5"/>
        <v>1</v>
      </c>
    </row>
    <row r="15" spans="1:29" ht="71.25">
      <c r="A15" s="2874" t="s">
        <v>2760</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06" t="s">
        <v>541</v>
      </c>
      <c r="Q15" s="1571" t="str">
        <f t="shared" si="6"/>
        <v>办公集聚程度</v>
      </c>
      <c r="R15" s="1572" t="s">
        <v>8</v>
      </c>
      <c r="S15" s="1573">
        <f t="shared" si="0"/>
        <v>100</v>
      </c>
      <c r="T15" s="1572" t="s">
        <v>8</v>
      </c>
      <c r="U15" s="1573">
        <f t="shared" si="1"/>
        <v>100</v>
      </c>
      <c r="V15" s="1572" t="s">
        <v>8</v>
      </c>
      <c r="W15" s="1573">
        <f t="shared" si="2"/>
        <v>100</v>
      </c>
      <c r="X15" s="1566"/>
      <c r="Y15" s="3306" t="s">
        <v>541</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307"/>
      <c r="Q16" s="1571"/>
      <c r="R16" s="1572"/>
      <c r="S16" s="1573"/>
      <c r="T16" s="1572"/>
      <c r="U16" s="1573"/>
      <c r="V16" s="1572"/>
      <c r="W16" s="1573"/>
      <c r="X16" s="1566"/>
      <c r="Y16" s="3307"/>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07"/>
      <c r="Q17" s="1571" t="str">
        <f>B17</f>
        <v>交通便捷度</v>
      </c>
      <c r="R17" s="1572" t="s">
        <v>8</v>
      </c>
      <c r="S17" s="1573">
        <f>F17</f>
        <v>100</v>
      </c>
      <c r="T17" s="1572" t="s">
        <v>8</v>
      </c>
      <c r="U17" s="1573">
        <f>H17</f>
        <v>100</v>
      </c>
      <c r="V17" s="1572" t="s">
        <v>8</v>
      </c>
      <c r="W17" s="1573">
        <f>J17</f>
        <v>100</v>
      </c>
      <c r="X17" s="1566"/>
      <c r="Y17" s="3307"/>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307"/>
      <c r="Q18" s="1571"/>
      <c r="R18" s="1572"/>
      <c r="S18" s="1573"/>
      <c r="T18" s="1572"/>
      <c r="U18" s="1573"/>
      <c r="V18" s="1572"/>
      <c r="W18" s="1573"/>
      <c r="X18" s="1566"/>
      <c r="Y18" s="3307"/>
      <c r="Z18" s="1574"/>
      <c r="AA18" s="1575">
        <v>1</v>
      </c>
      <c r="AB18" s="1575">
        <v>1</v>
      </c>
      <c r="AC18" s="1575">
        <v>1</v>
      </c>
    </row>
    <row r="19" spans="1:29" ht="42.75">
      <c r="A19" s="530"/>
      <c r="B19" s="2622" t="s">
        <v>2550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07"/>
      <c r="Q19" s="1571" t="str">
        <f>B19</f>
        <v>公共配套设施</v>
      </c>
      <c r="R19" s="1572" t="s">
        <v>8</v>
      </c>
      <c r="S19" s="1573">
        <f>F19</f>
        <v>100</v>
      </c>
      <c r="T19" s="1572" t="s">
        <v>8</v>
      </c>
      <c r="U19" s="1573">
        <f>H19</f>
        <v>100</v>
      </c>
      <c r="V19" s="1572" t="s">
        <v>8</v>
      </c>
      <c r="W19" s="1573">
        <f>J19</f>
        <v>100</v>
      </c>
      <c r="X19" s="1566"/>
      <c r="Y19" s="3307"/>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307"/>
      <c r="Q20" s="1571"/>
      <c r="R20" s="1572"/>
      <c r="S20" s="1573"/>
      <c r="T20" s="1572"/>
      <c r="U20" s="1573"/>
      <c r="V20" s="1572"/>
      <c r="W20" s="1573"/>
      <c r="X20" s="1566"/>
      <c r="Y20" s="3307"/>
      <c r="Z20" s="1574"/>
      <c r="AA20" s="1575">
        <v>1</v>
      </c>
      <c r="AB20" s="1575">
        <v>1</v>
      </c>
      <c r="AC20" s="1575">
        <v>1</v>
      </c>
    </row>
    <row r="21" spans="1:29" ht="28.5">
      <c r="A21" s="530"/>
      <c r="B21" s="2610" t="s">
        <v>2562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07"/>
      <c r="Q21" s="2598" t="str">
        <f>B21</f>
        <v>基础设施水平</v>
      </c>
      <c r="R21" s="1572" t="s">
        <v>8</v>
      </c>
      <c r="S21" s="1573">
        <f>F21</f>
        <v>100</v>
      </c>
      <c r="T21" s="1572" t="s">
        <v>8</v>
      </c>
      <c r="U21" s="1573">
        <f>H21</f>
        <v>100</v>
      </c>
      <c r="V21" s="1572" t="s">
        <v>8</v>
      </c>
      <c r="W21" s="1573">
        <f>J21</f>
        <v>100</v>
      </c>
      <c r="X21" s="2600"/>
      <c r="Y21" s="3307"/>
      <c r="Z21" s="2599"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1"/>
      <c r="L22" s="2140"/>
      <c r="M22" s="2132"/>
      <c r="N22" s="2132"/>
      <c r="O22" s="2132"/>
      <c r="P22" s="3307"/>
      <c r="Q22" s="2598"/>
      <c r="R22" s="1572"/>
      <c r="S22" s="1573"/>
      <c r="T22" s="1572"/>
      <c r="U22" s="1573"/>
      <c r="V22" s="1572"/>
      <c r="W22" s="1573"/>
      <c r="X22" s="2600"/>
      <c r="Y22" s="3307"/>
      <c r="Z22" s="2599"/>
      <c r="AA22" s="1575">
        <v>1</v>
      </c>
      <c r="AB22" s="1575">
        <v>1</v>
      </c>
      <c r="AC22" s="1575">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07"/>
      <c r="Q23" s="1571" t="str">
        <f>B23</f>
        <v>环境质量</v>
      </c>
      <c r="R23" s="1572" t="s">
        <v>8</v>
      </c>
      <c r="S23" s="1573">
        <f>F23</f>
        <v>100</v>
      </c>
      <c r="T23" s="1572" t="s">
        <v>8</v>
      </c>
      <c r="U23" s="1573">
        <f>H23</f>
        <v>100</v>
      </c>
      <c r="V23" s="1572" t="s">
        <v>8</v>
      </c>
      <c r="W23" s="1573">
        <f>J23</f>
        <v>100</v>
      </c>
      <c r="X23" s="1566"/>
      <c r="Y23" s="3307"/>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307"/>
      <c r="Q24" s="1571"/>
      <c r="R24" s="1572"/>
      <c r="S24" s="1573"/>
      <c r="T24" s="1572"/>
      <c r="U24" s="1573"/>
      <c r="V24" s="1572"/>
      <c r="W24" s="1573"/>
      <c r="X24" s="1566"/>
      <c r="Y24" s="3307"/>
      <c r="Z24" s="1574"/>
      <c r="AA24" s="1575">
        <v>1</v>
      </c>
      <c r="AB24" s="1575">
        <v>1</v>
      </c>
      <c r="AC24" s="1575">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07"/>
      <c r="Q25" s="1571" t="str">
        <f>B25</f>
        <v>毗邻道路的类型与等级</v>
      </c>
      <c r="R25" s="1572" t="s">
        <v>8</v>
      </c>
      <c r="S25" s="1573">
        <f>F25</f>
        <v>100</v>
      </c>
      <c r="T25" s="1572" t="s">
        <v>8</v>
      </c>
      <c r="U25" s="1573">
        <f>H25</f>
        <v>100</v>
      </c>
      <c r="V25" s="1572" t="s">
        <v>8</v>
      </c>
      <c r="W25" s="1573">
        <f>J25</f>
        <v>100</v>
      </c>
      <c r="X25" s="1566"/>
      <c r="Y25" s="3307"/>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307"/>
      <c r="Q26" s="1571"/>
      <c r="R26" s="1572"/>
      <c r="S26" s="1573"/>
      <c r="T26" s="1572"/>
      <c r="U26" s="1573"/>
      <c r="V26" s="1572"/>
      <c r="W26" s="1573"/>
      <c r="X26" s="1566"/>
      <c r="Y26" s="3307"/>
      <c r="Z26" s="1574"/>
      <c r="AA26" s="1575">
        <v>1</v>
      </c>
      <c r="AB26" s="1575">
        <v>1</v>
      </c>
      <c r="AC26" s="1575">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07"/>
      <c r="Q27" s="1571" t="str">
        <f t="shared" ref="Q27:Q47" si="11">B27</f>
        <v>楼层</v>
      </c>
      <c r="R27" s="1572" t="s">
        <v>8</v>
      </c>
      <c r="S27" s="1573">
        <f>F27</f>
        <v>100</v>
      </c>
      <c r="T27" s="1572" t="s">
        <v>8</v>
      </c>
      <c r="U27" s="1573">
        <f>H27</f>
        <v>100</v>
      </c>
      <c r="V27" s="1572" t="s">
        <v>8</v>
      </c>
      <c r="W27" s="1573">
        <f>J27</f>
        <v>100</v>
      </c>
      <c r="X27" s="1566"/>
      <c r="Y27" s="3307"/>
      <c r="Z27" s="1574" t="str">
        <f>Q27</f>
        <v>楼层</v>
      </c>
      <c r="AA27" s="1575">
        <f t="shared" si="3"/>
        <v>1</v>
      </c>
      <c r="AB27" s="1575">
        <f t="shared" si="4"/>
        <v>1</v>
      </c>
      <c r="AC27" s="1575">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07"/>
      <c r="Q28" s="1149" t="str">
        <f t="shared" si="11"/>
        <v>朝向</v>
      </c>
      <c r="R28" s="1567" t="s">
        <v>8</v>
      </c>
      <c r="S28" s="1568">
        <f>F28</f>
        <v>100</v>
      </c>
      <c r="T28" s="1567" t="s">
        <v>8</v>
      </c>
      <c r="U28" s="1568">
        <f>H28</f>
        <v>100</v>
      </c>
      <c r="V28" s="1567" t="s">
        <v>8</v>
      </c>
      <c r="W28" s="1568">
        <f>J28</f>
        <v>100</v>
      </c>
      <c r="X28" s="1569"/>
      <c r="Y28" s="3307"/>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07"/>
      <c r="Q29" s="1571">
        <f t="shared" si="11"/>
        <v>111</v>
      </c>
      <c r="R29" s="1572" t="s">
        <v>8</v>
      </c>
      <c r="S29" s="1573">
        <f t="shared" ref="S29:S47" si="12">F29</f>
        <v>100</v>
      </c>
      <c r="T29" s="1572" t="s">
        <v>8</v>
      </c>
      <c r="U29" s="1573">
        <f t="shared" ref="U29:U47" si="13">H29</f>
        <v>100</v>
      </c>
      <c r="V29" s="1572" t="s">
        <v>8</v>
      </c>
      <c r="W29" s="1573">
        <f t="shared" ref="W29:W47" si="14">J29</f>
        <v>100</v>
      </c>
      <c r="X29" s="1566"/>
      <c r="Y29" s="3307"/>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07"/>
      <c r="Q30" s="1571">
        <f t="shared" si="11"/>
        <v>111</v>
      </c>
      <c r="R30" s="1572" t="s">
        <v>8</v>
      </c>
      <c r="S30" s="1573">
        <f t="shared" si="12"/>
        <v>100</v>
      </c>
      <c r="T30" s="1572" t="s">
        <v>8</v>
      </c>
      <c r="U30" s="1573">
        <f t="shared" si="13"/>
        <v>100</v>
      </c>
      <c r="V30" s="1572" t="s">
        <v>8</v>
      </c>
      <c r="W30" s="1573">
        <f t="shared" si="14"/>
        <v>100</v>
      </c>
      <c r="X30" s="1566"/>
      <c r="Y30" s="3307"/>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07"/>
      <c r="Q31" s="1571">
        <f t="shared" si="11"/>
        <v>111</v>
      </c>
      <c r="R31" s="1572" t="s">
        <v>8</v>
      </c>
      <c r="S31" s="1573">
        <f t="shared" si="12"/>
        <v>100</v>
      </c>
      <c r="T31" s="1572" t="s">
        <v>8</v>
      </c>
      <c r="U31" s="1573">
        <f t="shared" si="13"/>
        <v>100</v>
      </c>
      <c r="V31" s="1572" t="s">
        <v>8</v>
      </c>
      <c r="W31" s="1573">
        <f t="shared" si="14"/>
        <v>100</v>
      </c>
      <c r="X31" s="1566"/>
      <c r="Y31" s="3307"/>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07"/>
      <c r="Q32" s="1571">
        <f t="shared" si="11"/>
        <v>111</v>
      </c>
      <c r="R32" s="1572" t="s">
        <v>8</v>
      </c>
      <c r="S32" s="1573">
        <f t="shared" si="12"/>
        <v>100</v>
      </c>
      <c r="T32" s="1572" t="s">
        <v>8</v>
      </c>
      <c r="U32" s="1573">
        <f t="shared" si="13"/>
        <v>100</v>
      </c>
      <c r="V32" s="1572" t="s">
        <v>8</v>
      </c>
      <c r="W32" s="1573">
        <f t="shared" si="14"/>
        <v>100</v>
      </c>
      <c r="X32" s="1566"/>
      <c r="Y32" s="3307"/>
      <c r="Z32" s="1574">
        <f t="shared" si="15"/>
        <v>111</v>
      </c>
      <c r="AA32" s="1575">
        <f t="shared" si="3"/>
        <v>1</v>
      </c>
      <c r="AB32" s="1575">
        <f t="shared" si="4"/>
        <v>1</v>
      </c>
      <c r="AC32" s="1575">
        <f t="shared" si="5"/>
        <v>1</v>
      </c>
    </row>
    <row r="33" spans="1:29" ht="15">
      <c r="A33" s="2871" t="s">
        <v>2761</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08" t="s">
        <v>551</v>
      </c>
      <c r="Q33" s="1571" t="str">
        <f t="shared" si="11"/>
        <v>建筑类型</v>
      </c>
      <c r="R33" s="1572" t="s">
        <v>8</v>
      </c>
      <c r="S33" s="1573">
        <f t="shared" si="12"/>
        <v>100</v>
      </c>
      <c r="T33" s="1572" t="s">
        <v>8</v>
      </c>
      <c r="U33" s="1573">
        <f t="shared" si="13"/>
        <v>100</v>
      </c>
      <c r="V33" s="1572" t="s">
        <v>8</v>
      </c>
      <c r="W33" s="1573">
        <f t="shared" si="14"/>
        <v>100</v>
      </c>
      <c r="X33" s="1566"/>
      <c r="Y33" s="3309" t="s">
        <v>551</v>
      </c>
      <c r="Z33" s="1574" t="str">
        <f t="shared" si="15"/>
        <v>建筑类型</v>
      </c>
      <c r="AA33" s="1575">
        <f t="shared" si="3"/>
        <v>1</v>
      </c>
      <c r="AB33" s="1575">
        <f t="shared" si="4"/>
        <v>1</v>
      </c>
      <c r="AC33" s="1575">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309"/>
      <c r="Q34" s="1604" t="str">
        <f t="shared" si="11"/>
        <v>项目建筑规模</v>
      </c>
      <c r="R34" s="1576" t="s">
        <v>8</v>
      </c>
      <c r="S34" s="1577" t="e">
        <f t="shared" si="12"/>
        <v>#N/A</v>
      </c>
      <c r="T34" s="1576" t="s">
        <v>8</v>
      </c>
      <c r="U34" s="1577" t="e">
        <f t="shared" si="13"/>
        <v>#N/A</v>
      </c>
      <c r="V34" s="1576" t="s">
        <v>8</v>
      </c>
      <c r="W34" s="1577" t="e">
        <f t="shared" si="14"/>
        <v>#N/A</v>
      </c>
      <c r="X34" s="1578"/>
      <c r="Y34" s="3309"/>
      <c r="Z34" s="1579" t="str">
        <f t="shared" si="15"/>
        <v>项目建筑规模</v>
      </c>
      <c r="AA34" s="1575" t="e">
        <f t="shared" si="3"/>
        <v>#N/A</v>
      </c>
      <c r="AB34" s="1575" t="e">
        <f t="shared" si="4"/>
        <v>#N/A</v>
      </c>
      <c r="AC34" s="1575"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09"/>
      <c r="Q35" s="1571" t="str">
        <f t="shared" si="11"/>
        <v>建筑结构</v>
      </c>
      <c r="R35" s="1572" t="s">
        <v>8</v>
      </c>
      <c r="S35" s="1573">
        <f t="shared" si="12"/>
        <v>100</v>
      </c>
      <c r="T35" s="1572" t="s">
        <v>8</v>
      </c>
      <c r="U35" s="1573">
        <f t="shared" si="13"/>
        <v>100</v>
      </c>
      <c r="V35" s="1572" t="s">
        <v>8</v>
      </c>
      <c r="W35" s="1573">
        <f t="shared" si="14"/>
        <v>100</v>
      </c>
      <c r="X35" s="1566"/>
      <c r="Y35" s="3309"/>
      <c r="Z35" s="1574" t="str">
        <f t="shared" si="15"/>
        <v>建筑结构</v>
      </c>
      <c r="AA35" s="1575">
        <f t="shared" si="3"/>
        <v>1</v>
      </c>
      <c r="AB35" s="1575">
        <f t="shared" si="4"/>
        <v>1</v>
      </c>
      <c r="AC35" s="1575">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09"/>
      <c r="Q36" s="1571" t="str">
        <f t="shared" si="11"/>
        <v>公共部分装修</v>
      </c>
      <c r="R36" s="1572" t="s">
        <v>8</v>
      </c>
      <c r="S36" s="1573">
        <f t="shared" si="12"/>
        <v>100</v>
      </c>
      <c r="T36" s="1572" t="s">
        <v>8</v>
      </c>
      <c r="U36" s="1573">
        <f t="shared" si="13"/>
        <v>100</v>
      </c>
      <c r="V36" s="1572" t="s">
        <v>8</v>
      </c>
      <c r="W36" s="1573">
        <f t="shared" si="14"/>
        <v>100</v>
      </c>
      <c r="X36" s="1566"/>
      <c r="Y36" s="3309"/>
      <c r="Z36" s="1574" t="str">
        <f t="shared" si="15"/>
        <v>公共部分装修</v>
      </c>
      <c r="AA36" s="1575">
        <f t="shared" si="3"/>
        <v>1</v>
      </c>
      <c r="AB36" s="1575">
        <f t="shared" si="4"/>
        <v>1</v>
      </c>
      <c r="AC36" s="1575">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09"/>
      <c r="Q37" s="1571" t="str">
        <f t="shared" si="11"/>
        <v>成新度</v>
      </c>
      <c r="R37" s="1572" t="s">
        <v>8</v>
      </c>
      <c r="S37" s="1573" t="e">
        <f t="shared" si="12"/>
        <v>#N/A</v>
      </c>
      <c r="T37" s="1572" t="s">
        <v>8</v>
      </c>
      <c r="U37" s="1573" t="e">
        <f t="shared" si="13"/>
        <v>#N/A</v>
      </c>
      <c r="V37" s="1572" t="s">
        <v>8</v>
      </c>
      <c r="W37" s="1573" t="e">
        <f t="shared" si="14"/>
        <v>#N/A</v>
      </c>
      <c r="X37" s="1566"/>
      <c r="Y37" s="3309"/>
      <c r="Z37" s="1574" t="str">
        <f t="shared" si="15"/>
        <v>成新度</v>
      </c>
      <c r="AA37" s="1575" t="e">
        <f t="shared" si="3"/>
        <v>#N/A</v>
      </c>
      <c r="AB37" s="1575" t="e">
        <f t="shared" si="4"/>
        <v>#N/A</v>
      </c>
      <c r="AC37" s="1575"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09"/>
      <c r="Q38" s="1149" t="str">
        <f t="shared" si="11"/>
        <v>写字楼等级</v>
      </c>
      <c r="R38" s="1567" t="s">
        <v>8</v>
      </c>
      <c r="S38" s="1568">
        <f t="shared" si="12"/>
        <v>100</v>
      </c>
      <c r="T38" s="1567" t="s">
        <v>8</v>
      </c>
      <c r="U38" s="1568">
        <f t="shared" si="13"/>
        <v>100</v>
      </c>
      <c r="V38" s="1567" t="s">
        <v>8</v>
      </c>
      <c r="W38" s="1568">
        <f t="shared" si="14"/>
        <v>100</v>
      </c>
      <c r="X38" s="1569"/>
      <c r="Y38" s="3309"/>
      <c r="Z38" s="1148" t="str">
        <f t="shared" si="15"/>
        <v>写字楼等级</v>
      </c>
      <c r="AA38" s="1570">
        <f t="shared" si="3"/>
        <v>1</v>
      </c>
      <c r="AB38" s="1570">
        <f t="shared" si="4"/>
        <v>1</v>
      </c>
      <c r="AC38" s="1570">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09" t="s">
        <v>551</v>
      </c>
      <c r="Q39" s="1571" t="str">
        <f t="shared" si="11"/>
        <v>物业管理</v>
      </c>
      <c r="R39" s="1572" t="s">
        <v>8</v>
      </c>
      <c r="S39" s="1573">
        <f t="shared" si="12"/>
        <v>100</v>
      </c>
      <c r="T39" s="1572" t="s">
        <v>8</v>
      </c>
      <c r="U39" s="1573">
        <f t="shared" si="13"/>
        <v>100</v>
      </c>
      <c r="V39" s="1572" t="s">
        <v>8</v>
      </c>
      <c r="W39" s="1573">
        <f t="shared" si="14"/>
        <v>100</v>
      </c>
      <c r="X39" s="1566"/>
      <c r="Y39" s="3309" t="s">
        <v>551</v>
      </c>
      <c r="Z39" s="1574" t="str">
        <f t="shared" si="15"/>
        <v>物业管理</v>
      </c>
      <c r="AA39" s="1575">
        <f t="shared" si="3"/>
        <v>1</v>
      </c>
      <c r="AB39" s="1575">
        <f t="shared" si="4"/>
        <v>1</v>
      </c>
      <c r="AC39" s="1575">
        <f t="shared" si="5"/>
        <v>1</v>
      </c>
    </row>
    <row r="40" spans="1:29" ht="15">
      <c r="A40" s="592"/>
      <c r="B40" s="1893" t="s">
        <v>2569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09"/>
      <c r="Q40" s="1571" t="str">
        <f t="shared" si="11"/>
        <v>市政基础设施</v>
      </c>
      <c r="R40" s="1572" t="s">
        <v>8</v>
      </c>
      <c r="S40" s="1573">
        <f t="shared" si="12"/>
        <v>100</v>
      </c>
      <c r="T40" s="1572" t="s">
        <v>8</v>
      </c>
      <c r="U40" s="1573">
        <f t="shared" si="13"/>
        <v>100</v>
      </c>
      <c r="V40" s="1572" t="s">
        <v>8</v>
      </c>
      <c r="W40" s="1573">
        <f t="shared" si="14"/>
        <v>100</v>
      </c>
      <c r="X40" s="1566"/>
      <c r="Y40" s="3309"/>
      <c r="Z40" s="1574" t="str">
        <f t="shared" si="15"/>
        <v>市政基础设施</v>
      </c>
      <c r="AA40" s="1575">
        <f t="shared" si="3"/>
        <v>1</v>
      </c>
      <c r="AB40" s="1575">
        <f t="shared" si="4"/>
        <v>1</v>
      </c>
      <c r="AC40" s="1575">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09"/>
      <c r="Q41" s="1571" t="str">
        <f t="shared" si="11"/>
        <v>层高</v>
      </c>
      <c r="R41" s="1572" t="s">
        <v>8</v>
      </c>
      <c r="S41" s="1573">
        <f t="shared" si="12"/>
        <v>100</v>
      </c>
      <c r="T41" s="1572" t="s">
        <v>8</v>
      </c>
      <c r="U41" s="1573">
        <f t="shared" si="13"/>
        <v>100</v>
      </c>
      <c r="V41" s="1572" t="s">
        <v>8</v>
      </c>
      <c r="W41" s="1573">
        <f t="shared" si="14"/>
        <v>100</v>
      </c>
      <c r="X41" s="1566"/>
      <c r="Y41" s="3309"/>
      <c r="Z41" s="1574" t="str">
        <f t="shared" si="15"/>
        <v>层高</v>
      </c>
      <c r="AA41" s="1575">
        <f t="shared" si="3"/>
        <v>1</v>
      </c>
      <c r="AB41" s="1575">
        <f t="shared" si="4"/>
        <v>1</v>
      </c>
      <c r="AC41" s="1575">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09"/>
      <c r="Q42" s="1604" t="str">
        <f t="shared" si="11"/>
        <v>单套建筑面积</v>
      </c>
      <c r="R42" s="1576" t="s">
        <v>8</v>
      </c>
      <c r="S42" s="1577">
        <f t="shared" si="12"/>
        <v>100</v>
      </c>
      <c r="T42" s="1576" t="s">
        <v>8</v>
      </c>
      <c r="U42" s="1577">
        <f t="shared" si="13"/>
        <v>100</v>
      </c>
      <c r="V42" s="1576" t="s">
        <v>8</v>
      </c>
      <c r="W42" s="1577">
        <f t="shared" si="14"/>
        <v>100</v>
      </c>
      <c r="X42" s="1578"/>
      <c r="Y42" s="3309"/>
      <c r="Z42" s="1579" t="str">
        <f t="shared" si="15"/>
        <v>单套建筑面积</v>
      </c>
      <c r="AA42" s="1575">
        <f t="shared" si="3"/>
        <v>1</v>
      </c>
      <c r="AB42" s="1575">
        <f t="shared" si="4"/>
        <v>1</v>
      </c>
      <c r="AC42" s="1575">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09"/>
      <c r="Q43" s="1571" t="str">
        <f t="shared" si="11"/>
        <v>内部装修</v>
      </c>
      <c r="R43" s="1572" t="s">
        <v>8</v>
      </c>
      <c r="S43" s="1573">
        <f t="shared" si="12"/>
        <v>100</v>
      </c>
      <c r="T43" s="1572" t="s">
        <v>8</v>
      </c>
      <c r="U43" s="1573">
        <f t="shared" si="13"/>
        <v>100</v>
      </c>
      <c r="V43" s="1572" t="s">
        <v>8</v>
      </c>
      <c r="W43" s="1573">
        <f t="shared" si="14"/>
        <v>100</v>
      </c>
      <c r="X43" s="1566"/>
      <c r="Y43" s="3309"/>
      <c r="Z43" s="1574" t="str">
        <f t="shared" si="15"/>
        <v>内部装修</v>
      </c>
      <c r="AA43" s="1575">
        <f t="shared" si="3"/>
        <v>1</v>
      </c>
      <c r="AB43" s="1575">
        <f t="shared" si="4"/>
        <v>1</v>
      </c>
      <c r="AC43" s="1575">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09"/>
      <c r="Q44" s="1571" t="str">
        <f t="shared" si="11"/>
        <v>内部装修维护情况</v>
      </c>
      <c r="R44" s="1572" t="s">
        <v>8</v>
      </c>
      <c r="S44" s="1573">
        <f t="shared" si="12"/>
        <v>100</v>
      </c>
      <c r="T44" s="1572" t="s">
        <v>8</v>
      </c>
      <c r="U44" s="1573">
        <f t="shared" si="13"/>
        <v>100</v>
      </c>
      <c r="V44" s="1572" t="s">
        <v>8</v>
      </c>
      <c r="W44" s="1573">
        <f t="shared" si="14"/>
        <v>100</v>
      </c>
      <c r="X44" s="1566"/>
      <c r="Y44" s="3309"/>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3"/>
      <c r="M45" s="2134"/>
      <c r="N45" s="2134"/>
      <c r="O45" s="2134"/>
      <c r="P45" s="3309"/>
      <c r="Q45" s="1149">
        <f t="shared" si="11"/>
        <v>111</v>
      </c>
      <c r="R45" s="1567" t="s">
        <v>8</v>
      </c>
      <c r="S45" s="1568">
        <f t="shared" si="12"/>
        <v>100</v>
      </c>
      <c r="T45" s="1567" t="s">
        <v>8</v>
      </c>
      <c r="U45" s="1568">
        <f t="shared" si="13"/>
        <v>100</v>
      </c>
      <c r="V45" s="1567" t="s">
        <v>8</v>
      </c>
      <c r="W45" s="1568">
        <f t="shared" si="14"/>
        <v>100</v>
      </c>
      <c r="X45" s="1569"/>
      <c r="Y45" s="3309"/>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09"/>
      <c r="Q46" s="1571">
        <f t="shared" si="11"/>
        <v>111</v>
      </c>
      <c r="R46" s="1572" t="s">
        <v>8</v>
      </c>
      <c r="S46" s="1573">
        <f t="shared" si="12"/>
        <v>100</v>
      </c>
      <c r="T46" s="1572" t="s">
        <v>8</v>
      </c>
      <c r="U46" s="1573">
        <f t="shared" si="13"/>
        <v>100</v>
      </c>
      <c r="V46" s="1572" t="s">
        <v>8</v>
      </c>
      <c r="W46" s="1573">
        <f t="shared" si="14"/>
        <v>100</v>
      </c>
      <c r="X46" s="1566"/>
      <c r="Y46" s="3309"/>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07"/>
      <c r="Q47" s="1571">
        <f t="shared" si="11"/>
        <v>111</v>
      </c>
      <c r="R47" s="1572" t="s">
        <v>8</v>
      </c>
      <c r="S47" s="1573">
        <f t="shared" si="12"/>
        <v>100</v>
      </c>
      <c r="T47" s="1572" t="s">
        <v>8</v>
      </c>
      <c r="U47" s="1573">
        <f t="shared" si="13"/>
        <v>100</v>
      </c>
      <c r="V47" s="1572" t="s">
        <v>8</v>
      </c>
      <c r="W47" s="1573">
        <f t="shared" si="14"/>
        <v>100</v>
      </c>
      <c r="X47" s="1566"/>
      <c r="Y47" s="3407"/>
      <c r="Z47" s="1574">
        <f t="shared" si="15"/>
        <v>111</v>
      </c>
      <c r="AA47" s="1575">
        <f t="shared" si="3"/>
        <v>1</v>
      </c>
      <c r="AB47" s="1575">
        <f t="shared" si="4"/>
        <v>1</v>
      </c>
      <c r="AC47" s="1575">
        <f t="shared" si="5"/>
        <v>1</v>
      </c>
    </row>
    <row r="48" spans="1:29" ht="15">
      <c r="A48" s="605" t="s">
        <v>737</v>
      </c>
      <c r="B48" s="885"/>
      <c r="C48" s="2646" t="s">
        <v>1</v>
      </c>
      <c r="D48" s="2647"/>
      <c r="E48" s="2648"/>
      <c r="F48" s="2649"/>
      <c r="G48" s="2650"/>
      <c r="H48" s="2651"/>
      <c r="I48" s="2648"/>
      <c r="J48" s="2651"/>
      <c r="K48" s="1610"/>
      <c r="L48" s="2142"/>
      <c r="M48" s="2132"/>
      <c r="N48" s="2132"/>
      <c r="O48" s="2132"/>
      <c r="P48" s="3328" t="str">
        <f>A48</f>
        <v>成交单价（元/平方米）</v>
      </c>
      <c r="Q48" s="3304"/>
      <c r="R48" s="3406">
        <f>E48</f>
        <v>0</v>
      </c>
      <c r="S48" s="3406"/>
      <c r="T48" s="3406">
        <f>G48</f>
        <v>0</v>
      </c>
      <c r="U48" s="3406"/>
      <c r="V48" s="3406">
        <f>I48</f>
        <v>0</v>
      </c>
      <c r="W48" s="3406"/>
      <c r="X48" s="1558"/>
      <c r="Y48" s="1580"/>
      <c r="Z48" s="1558"/>
      <c r="AA48" s="1558"/>
      <c r="AB48" s="1558"/>
      <c r="AC48" s="1558"/>
    </row>
    <row r="49" spans="1:29" ht="15.75" thickBot="1">
      <c r="A49" s="613" t="s">
        <v>2766</v>
      </c>
      <c r="B49" s="886"/>
      <c r="C49" s="2652" t="e">
        <f>R50</f>
        <v>#DIV/0!</v>
      </c>
      <c r="D49" s="2653"/>
      <c r="E49" s="2654" t="e">
        <f>R49</f>
        <v>#DIV/0!</v>
      </c>
      <c r="F49" s="2654"/>
      <c r="G49" s="2652" t="e">
        <f>T49</f>
        <v>#DIV/0!</v>
      </c>
      <c r="H49" s="2653"/>
      <c r="I49" s="2654" t="e">
        <f>V49</f>
        <v>#DIV/0!</v>
      </c>
      <c r="J49" s="2653"/>
      <c r="K49" s="1611"/>
      <c r="L49" s="2142"/>
      <c r="M49" s="2132"/>
      <c r="N49" s="2132"/>
      <c r="O49" s="2132"/>
      <c r="P49" s="3328" t="str">
        <f>A49</f>
        <v>比较价格（元/平方米）</v>
      </c>
      <c r="Q49" s="3304"/>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1558"/>
      <c r="Y49" s="1558"/>
      <c r="Z49" s="1558"/>
      <c r="AA49" s="1558"/>
      <c r="AB49" s="1558"/>
      <c r="AC49" s="1558"/>
    </row>
    <row r="50" spans="1:29" ht="15.75" thickBot="1">
      <c r="A50" s="619" t="s">
        <v>2938</v>
      </c>
      <c r="B50" s="620"/>
      <c r="C50" s="2655" t="e">
        <f>R50</f>
        <v>#DIV/0!</v>
      </c>
      <c r="D50" s="2655"/>
      <c r="E50" s="2655"/>
      <c r="F50" s="2655"/>
      <c r="G50" s="2655"/>
      <c r="H50" s="2655"/>
      <c r="I50" s="2655"/>
      <c r="J50" s="2655"/>
      <c r="K50" s="1612"/>
      <c r="L50" s="2142"/>
      <c r="M50" s="2132"/>
      <c r="N50" s="2132"/>
      <c r="O50" s="2132"/>
      <c r="P50" s="3411" t="str">
        <f>A50</f>
        <v>估价对象XX用房的比较价格（楼面单价，元/平方米）</v>
      </c>
      <c r="Q50" s="3328"/>
      <c r="R50" s="3405" t="e">
        <f>IF(F1="售价",ROUND(AVERAGE(R49:V49),0),ROUND(AVERAGE(R49:V49),1))</f>
        <v>#DIV/0!</v>
      </c>
      <c r="S50" s="3405"/>
      <c r="T50" s="3405"/>
      <c r="U50" s="3405"/>
      <c r="V50" s="3405"/>
      <c r="W50" s="3405"/>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575</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530</v>
      </c>
      <c r="B59" s="644"/>
      <c r="C59" s="2823" t="str">
        <f>YEAR(C7)&amp;"-"&amp;MONTH(C7)</f>
        <v>2017-11</v>
      </c>
      <c r="D59" s="2825">
        <f>EDATE(C59,-1)</f>
        <v>43009</v>
      </c>
      <c r="E59" s="2825">
        <f t="shared" ref="E59:O59" si="16">EDATE(D59,-1)</f>
        <v>42979</v>
      </c>
      <c r="F59" s="2825">
        <f t="shared" si="16"/>
        <v>42948</v>
      </c>
      <c r="G59" s="2825">
        <f t="shared" si="16"/>
        <v>42917</v>
      </c>
      <c r="H59" s="2825">
        <f t="shared" si="16"/>
        <v>42887</v>
      </c>
      <c r="I59" s="2825">
        <f t="shared" si="16"/>
        <v>42856</v>
      </c>
      <c r="J59" s="2825">
        <f t="shared" si="16"/>
        <v>42826</v>
      </c>
      <c r="K59" s="2825">
        <f t="shared" si="16"/>
        <v>42795</v>
      </c>
      <c r="L59" s="2825">
        <f t="shared" si="16"/>
        <v>42767</v>
      </c>
      <c r="M59" s="2825">
        <f t="shared" si="16"/>
        <v>42736</v>
      </c>
      <c r="N59" s="2825">
        <f t="shared" si="16"/>
        <v>42705</v>
      </c>
      <c r="O59" s="2825">
        <f t="shared" si="16"/>
        <v>42675</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576</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532</v>
      </c>
      <c r="B62" s="646"/>
      <c r="C62" s="658" t="s">
        <v>577</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578</v>
      </c>
      <c r="B64" s="663" t="s">
        <v>535</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540</v>
      </c>
      <c r="B77" s="663" t="s">
        <v>586</v>
      </c>
      <c r="C77" s="701" t="s">
        <v>580</v>
      </c>
      <c r="D77" s="701" t="s">
        <v>581</v>
      </c>
      <c r="E77" s="701" t="s">
        <v>582</v>
      </c>
      <c r="F77" s="701" t="s">
        <v>583</v>
      </c>
      <c r="G77" s="701" t="s">
        <v>584</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587</v>
      </c>
      <c r="C79" s="706" t="s">
        <v>580</v>
      </c>
      <c r="D79" s="706" t="s">
        <v>581</v>
      </c>
      <c r="E79" s="706" t="s">
        <v>582</v>
      </c>
      <c r="F79" s="706" t="s">
        <v>583</v>
      </c>
      <c r="G79" s="706" t="s">
        <v>584</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2561</v>
      </c>
      <c r="C81" s="706" t="s">
        <v>580</v>
      </c>
      <c r="D81" s="706" t="s">
        <v>581</v>
      </c>
      <c r="E81" s="706" t="s">
        <v>582</v>
      </c>
      <c r="F81" s="706" t="s">
        <v>583</v>
      </c>
      <c r="G81" s="706" t="s">
        <v>584</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6" t="s">
        <v>2562</v>
      </c>
      <c r="C83" s="2617" t="s">
        <v>2563</v>
      </c>
      <c r="D83" s="2617" t="s">
        <v>2564</v>
      </c>
      <c r="E83" s="2617" t="s">
        <v>2565</v>
      </c>
      <c r="F83" s="2617" t="s">
        <v>2566</v>
      </c>
      <c r="G83" s="2617" t="s">
        <v>2567</v>
      </c>
      <c r="H83" s="672"/>
      <c r="I83" s="672"/>
      <c r="J83" s="672"/>
      <c r="K83" s="672"/>
      <c r="L83" s="672"/>
      <c r="M83" s="2620"/>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785</v>
      </c>
      <c r="C85" s="706" t="s">
        <v>580</v>
      </c>
      <c r="D85" s="706" t="s">
        <v>581</v>
      </c>
      <c r="E85" s="706" t="s">
        <v>582</v>
      </c>
      <c r="F85" s="706" t="s">
        <v>583</v>
      </c>
      <c r="G85" s="706" t="s">
        <v>584</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786</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552</v>
      </c>
      <c r="B101" s="663" t="s">
        <v>748</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750</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752</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787</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754</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2560</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788</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776</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756</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7" t="s">
        <v>520</v>
      </c>
      <c r="B3" s="508" t="e">
        <f>C43</f>
        <v>#DIV/0!</v>
      </c>
      <c r="C3" s="850" t="s">
        <v>723</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522</v>
      </c>
      <c r="B4" s="511"/>
      <c r="C4" s="3310" t="s">
        <v>523</v>
      </c>
      <c r="D4" s="3311"/>
      <c r="E4" s="3336" t="s">
        <v>524</v>
      </c>
      <c r="F4" s="3337"/>
      <c r="G4" s="3310" t="s">
        <v>525</v>
      </c>
      <c r="H4" s="3311"/>
      <c r="I4" s="3310" t="s">
        <v>526</v>
      </c>
      <c r="J4" s="3311"/>
      <c r="K4" s="512" t="s">
        <v>527</v>
      </c>
      <c r="L4" s="2131"/>
      <c r="M4" s="2132"/>
      <c r="N4" s="2132"/>
      <c r="O4" s="2132"/>
      <c r="P4" s="3312" t="s">
        <v>528</v>
      </c>
      <c r="Q4" s="3313"/>
      <c r="R4" s="3298" t="s">
        <v>524</v>
      </c>
      <c r="S4" s="3299"/>
      <c r="T4" s="3298" t="s">
        <v>525</v>
      </c>
      <c r="U4" s="3299"/>
      <c r="V4" s="3318" t="s">
        <v>526</v>
      </c>
      <c r="W4" s="3318"/>
      <c r="X4" s="1566"/>
      <c r="Y4" s="3298" t="s">
        <v>528</v>
      </c>
      <c r="Z4" s="3299"/>
      <c r="AA4" s="3293" t="s">
        <v>524</v>
      </c>
      <c r="AB4" s="3294" t="s">
        <v>525</v>
      </c>
      <c r="AC4" s="3293" t="s">
        <v>526</v>
      </c>
    </row>
    <row r="5" spans="1:29" ht="15">
      <c r="A5" s="513"/>
      <c r="B5" s="514"/>
      <c r="C5" s="3323" t="s">
        <v>2932</v>
      </c>
      <c r="D5" s="3322"/>
      <c r="E5" s="3338" t="s">
        <v>2933</v>
      </c>
      <c r="F5" s="3339"/>
      <c r="G5" s="3323" t="s">
        <v>2934</v>
      </c>
      <c r="H5" s="3322"/>
      <c r="I5" s="3323" t="s">
        <v>2935</v>
      </c>
      <c r="J5" s="3322"/>
      <c r="K5" s="512"/>
      <c r="L5" s="2131"/>
      <c r="M5" s="2132"/>
      <c r="N5" s="2132"/>
      <c r="O5" s="2132"/>
      <c r="P5" s="3314"/>
      <c r="Q5" s="3315"/>
      <c r="R5" s="3300"/>
      <c r="S5" s="3301"/>
      <c r="T5" s="3300"/>
      <c r="U5" s="3301"/>
      <c r="V5" s="3318"/>
      <c r="W5" s="3318"/>
      <c r="X5" s="1566"/>
      <c r="Y5" s="3300"/>
      <c r="Z5" s="3301"/>
      <c r="AA5" s="3294"/>
      <c r="AB5" s="3294"/>
      <c r="AC5" s="3294"/>
    </row>
    <row r="6" spans="1:29" ht="15.75" thickBot="1">
      <c r="A6" s="515"/>
      <c r="B6" s="516"/>
      <c r="C6" s="3340" t="s">
        <v>2936</v>
      </c>
      <c r="D6" s="3320"/>
      <c r="E6" s="3341" t="s">
        <v>2936</v>
      </c>
      <c r="F6" s="3342"/>
      <c r="G6" s="3340" t="s">
        <v>2936</v>
      </c>
      <c r="H6" s="3320"/>
      <c r="I6" s="3340" t="s">
        <v>2936</v>
      </c>
      <c r="J6" s="3320"/>
      <c r="K6" s="512" t="s">
        <v>529</v>
      </c>
      <c r="L6" s="2131"/>
      <c r="M6" s="2132"/>
      <c r="N6" s="2132"/>
      <c r="O6" s="2132"/>
      <c r="P6" s="3316"/>
      <c r="Q6" s="3317"/>
      <c r="R6" s="3300"/>
      <c r="S6" s="3301"/>
      <c r="T6" s="3302"/>
      <c r="U6" s="3303"/>
      <c r="V6" s="3318"/>
      <c r="W6" s="3318"/>
      <c r="X6" s="1566"/>
      <c r="Y6" s="3302"/>
      <c r="Z6" s="3303"/>
      <c r="AA6" s="3295"/>
      <c r="AB6" s="3295"/>
      <c r="AC6" s="3295"/>
    </row>
    <row r="7" spans="1:29" s="1218" customFormat="1" ht="15.75" thickBot="1">
      <c r="A7" s="2876"/>
      <c r="B7" s="2883" t="s">
        <v>530</v>
      </c>
      <c r="C7" s="517">
        <f>'数据-取费表'!B2</f>
        <v>43061</v>
      </c>
      <c r="D7" s="518">
        <v>100</v>
      </c>
      <c r="E7" s="519"/>
      <c r="F7" s="520">
        <f>SUMIF(52:52,YEAR(E7)&amp;"-"&amp;MONTH(E7),53:53)</f>
        <v>0</v>
      </c>
      <c r="G7" s="519"/>
      <c r="H7" s="518">
        <f>SUMIF(52:52,YEAR(G7)&amp;"-"&amp;MONTH(G7),53:53)</f>
        <v>0</v>
      </c>
      <c r="I7" s="519"/>
      <c r="J7" s="518">
        <f>SUMIF(52:52,YEAR(I7)&amp;"-"&amp;MONTH(I7),53:53)</f>
        <v>0</v>
      </c>
      <c r="K7" s="522"/>
      <c r="L7" s="2133"/>
      <c r="M7" s="2134"/>
      <c r="N7" s="2134"/>
      <c r="O7" s="2134"/>
      <c r="P7" s="3296" t="s">
        <v>531</v>
      </c>
      <c r="Q7" s="3305"/>
      <c r="R7" s="1567" t="s">
        <v>8</v>
      </c>
      <c r="S7" s="1568">
        <f t="shared" ref="S7:S15" si="0">F7</f>
        <v>0</v>
      </c>
      <c r="T7" s="1567" t="s">
        <v>8</v>
      </c>
      <c r="U7" s="1568">
        <f t="shared" ref="U7:U15" si="1">H7</f>
        <v>0</v>
      </c>
      <c r="V7" s="1567" t="s">
        <v>8</v>
      </c>
      <c r="W7" s="1568">
        <f t="shared" ref="W7:W15" si="2">J7</f>
        <v>0</v>
      </c>
      <c r="X7" s="1569"/>
      <c r="Y7" s="3296" t="s">
        <v>531</v>
      </c>
      <c r="Z7" s="3297"/>
      <c r="AA7" s="1570" t="e">
        <f>D7/F7</f>
        <v>#DIV/0!</v>
      </c>
      <c r="AB7" s="1570" t="e">
        <f>D7/H7</f>
        <v>#DIV/0!</v>
      </c>
      <c r="AC7" s="1570" t="e">
        <f>D7/J7</f>
        <v>#DIV/0!</v>
      </c>
    </row>
    <row r="8" spans="1:29" s="1218" customFormat="1" ht="15.75" thickBot="1">
      <c r="A8" s="2877"/>
      <c r="B8" s="2884" t="s">
        <v>532</v>
      </c>
      <c r="C8" s="523" t="s">
        <v>577</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296" t="s">
        <v>534</v>
      </c>
      <c r="Q8" s="3297"/>
      <c r="R8" s="1567" t="s">
        <v>8</v>
      </c>
      <c r="S8" s="1568">
        <f t="shared" si="0"/>
        <v>0</v>
      </c>
      <c r="T8" s="1567" t="s">
        <v>8</v>
      </c>
      <c r="U8" s="1568">
        <f t="shared" si="1"/>
        <v>0</v>
      </c>
      <c r="V8" s="1567" t="s">
        <v>8</v>
      </c>
      <c r="W8" s="1568">
        <f t="shared" si="2"/>
        <v>0</v>
      </c>
      <c r="X8" s="1569"/>
      <c r="Y8" s="3296" t="s">
        <v>534</v>
      </c>
      <c r="Z8" s="3297"/>
      <c r="AA8" s="1570" t="e">
        <f t="shared" ref="AA8:AA40" si="3">D8/F8</f>
        <v>#DIV/0!</v>
      </c>
      <c r="AB8" s="1570" t="e">
        <f t="shared" ref="AB8:AB40" si="4">D8/H8</f>
        <v>#DIV/0!</v>
      </c>
      <c r="AC8" s="1570" t="e">
        <f t="shared" ref="AC8:AC40" si="5">D8/J8</f>
        <v>#DIV/0!</v>
      </c>
    </row>
    <row r="9" spans="1:29" s="1218" customFormat="1" ht="15">
      <c r="A9" s="2878"/>
      <c r="B9" s="2885" t="s">
        <v>2762</v>
      </c>
      <c r="C9" s="855"/>
      <c r="D9" s="254">
        <v>100</v>
      </c>
      <c r="E9" s="858"/>
      <c r="F9" s="254">
        <f>SUMIF(57:57,E9,58:58)-SUMIF(57:57,C9,58:58)+100</f>
        <v>100</v>
      </c>
      <c r="G9" s="856"/>
      <c r="H9" s="254">
        <f>SUMIF(57:57,G9,58:58)-SUMIF(57:57,C9,58:58)+100</f>
        <v>100</v>
      </c>
      <c r="I9" s="856"/>
      <c r="J9" s="254">
        <f>SUMIF(57:57,I9,58:58)-SUMIF(57:57,C9,58:58)+100</f>
        <v>100</v>
      </c>
      <c r="K9" s="522"/>
      <c r="L9" s="2133"/>
      <c r="M9" s="2134"/>
      <c r="N9" s="2134"/>
      <c r="O9" s="2135"/>
      <c r="P9" s="3304" t="s">
        <v>536</v>
      </c>
      <c r="Q9" s="1149" t="str">
        <f t="shared" ref="Q9:Q15" si="6">B9</f>
        <v>用途</v>
      </c>
      <c r="R9" s="1567" t="s">
        <v>8</v>
      </c>
      <c r="S9" s="1568">
        <f t="shared" si="0"/>
        <v>100</v>
      </c>
      <c r="T9" s="1567" t="s">
        <v>8</v>
      </c>
      <c r="U9" s="1568">
        <f t="shared" si="1"/>
        <v>100</v>
      </c>
      <c r="V9" s="1567" t="s">
        <v>8</v>
      </c>
      <c r="W9" s="1568">
        <f t="shared" si="2"/>
        <v>100</v>
      </c>
      <c r="X9" s="1569"/>
      <c r="Y9" s="3261"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304"/>
      <c r="Q11" s="1149" t="str">
        <f t="shared" si="6"/>
        <v>容积率</v>
      </c>
      <c r="R11" s="1567" t="s">
        <v>8</v>
      </c>
      <c r="S11" s="1568" t="e">
        <f t="shared" si="0"/>
        <v>#N/A</v>
      </c>
      <c r="T11" s="1567" t="s">
        <v>8</v>
      </c>
      <c r="U11" s="1568" t="e">
        <f t="shared" si="1"/>
        <v>#N/A</v>
      </c>
      <c r="V11" s="1567" t="s">
        <v>8</v>
      </c>
      <c r="W11" s="1568" t="e">
        <f t="shared" si="2"/>
        <v>#N/A</v>
      </c>
      <c r="X11" s="1569"/>
      <c r="Y11" s="3261"/>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304"/>
      <c r="Q12" s="1149">
        <f t="shared" si="6"/>
        <v>111</v>
      </c>
      <c r="R12" s="1567" t="s">
        <v>8</v>
      </c>
      <c r="S12" s="1568">
        <f t="shared" si="0"/>
        <v>100</v>
      </c>
      <c r="T12" s="1567" t="s">
        <v>8</v>
      </c>
      <c r="U12" s="1568">
        <f t="shared" si="1"/>
        <v>100</v>
      </c>
      <c r="V12" s="1567" t="s">
        <v>8</v>
      </c>
      <c r="W12" s="1568">
        <f t="shared" si="2"/>
        <v>100</v>
      </c>
      <c r="X12" s="1569"/>
      <c r="Y12" s="3261"/>
      <c r="Z12" s="1148">
        <f t="shared" si="7"/>
        <v>111</v>
      </c>
      <c r="AA12" s="1570">
        <f>D12/F12</f>
        <v>1</v>
      </c>
      <c r="AB12" s="1570">
        <f>D12/H12</f>
        <v>1</v>
      </c>
      <c r="AC12" s="1570">
        <f>D12/J12</f>
        <v>1</v>
      </c>
    </row>
    <row r="13" spans="1:29" ht="15">
      <c r="A13" s="2881"/>
      <c r="B13" s="2887">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304"/>
      <c r="Q13" s="1149">
        <f t="shared" si="6"/>
        <v>111</v>
      </c>
      <c r="R13" s="1567" t="s">
        <v>8</v>
      </c>
      <c r="S13" s="1568">
        <f t="shared" si="0"/>
        <v>100</v>
      </c>
      <c r="T13" s="1567" t="s">
        <v>8</v>
      </c>
      <c r="U13" s="1568">
        <f t="shared" si="1"/>
        <v>100</v>
      </c>
      <c r="V13" s="1567" t="s">
        <v>8</v>
      </c>
      <c r="W13" s="1568">
        <f t="shared" si="2"/>
        <v>100</v>
      </c>
      <c r="X13" s="1569"/>
      <c r="Y13" s="3261"/>
      <c r="Z13" s="1148">
        <f t="shared" si="7"/>
        <v>111</v>
      </c>
      <c r="AA13" s="1570">
        <f t="shared" si="3"/>
        <v>1</v>
      </c>
      <c r="AB13" s="1570">
        <f t="shared" si="4"/>
        <v>1</v>
      </c>
      <c r="AC13" s="1570">
        <f t="shared" si="5"/>
        <v>1</v>
      </c>
    </row>
    <row r="14" spans="1:29" ht="15.75" thickBot="1">
      <c r="A14" s="2882"/>
      <c r="B14" s="2888">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04"/>
      <c r="Q14" s="1149">
        <f t="shared" si="6"/>
        <v>111</v>
      </c>
      <c r="R14" s="1567" t="s">
        <v>8</v>
      </c>
      <c r="S14" s="1568">
        <f t="shared" si="0"/>
        <v>100</v>
      </c>
      <c r="T14" s="1567" t="s">
        <v>8</v>
      </c>
      <c r="U14" s="1568">
        <f t="shared" si="1"/>
        <v>100</v>
      </c>
      <c r="V14" s="1567" t="s">
        <v>8</v>
      </c>
      <c r="W14" s="1568">
        <f t="shared" si="2"/>
        <v>100</v>
      </c>
      <c r="X14" s="1569"/>
      <c r="Y14" s="3261"/>
      <c r="Z14" s="1148">
        <f t="shared" si="7"/>
        <v>111</v>
      </c>
      <c r="AA14" s="1570">
        <f t="shared" si="3"/>
        <v>1</v>
      </c>
      <c r="AB14" s="1570">
        <f t="shared" si="4"/>
        <v>1</v>
      </c>
      <c r="AC14" s="1570">
        <f t="shared" si="5"/>
        <v>1</v>
      </c>
    </row>
    <row r="15" spans="1:29" ht="57">
      <c r="A15" s="2874" t="s">
        <v>2760</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06" t="s">
        <v>541</v>
      </c>
      <c r="Q15" s="1571" t="str">
        <f t="shared" si="6"/>
        <v>产业集聚程度</v>
      </c>
      <c r="R15" s="1572" t="s">
        <v>8</v>
      </c>
      <c r="S15" s="1573">
        <f t="shared" si="0"/>
        <v>100</v>
      </c>
      <c r="T15" s="1572" t="s">
        <v>8</v>
      </c>
      <c r="U15" s="1573">
        <f t="shared" si="1"/>
        <v>100</v>
      </c>
      <c r="V15" s="1572" t="s">
        <v>8</v>
      </c>
      <c r="W15" s="1573">
        <f t="shared" si="2"/>
        <v>100</v>
      </c>
      <c r="X15" s="1566"/>
      <c r="Y15" s="3306" t="s">
        <v>541</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307"/>
      <c r="Q16" s="1571"/>
      <c r="R16" s="1572"/>
      <c r="S16" s="1573"/>
      <c r="T16" s="1572"/>
      <c r="U16" s="1573"/>
      <c r="V16" s="1572"/>
      <c r="W16" s="1573"/>
      <c r="X16" s="1566"/>
      <c r="Y16" s="3307"/>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07"/>
      <c r="Q17" s="1571" t="str">
        <f>B17</f>
        <v>交通便捷度</v>
      </c>
      <c r="R17" s="1572" t="s">
        <v>8</v>
      </c>
      <c r="S17" s="1573">
        <f>F17</f>
        <v>100</v>
      </c>
      <c r="T17" s="1572" t="s">
        <v>8</v>
      </c>
      <c r="U17" s="1573">
        <f>H17</f>
        <v>100</v>
      </c>
      <c r="V17" s="1572" t="s">
        <v>8</v>
      </c>
      <c r="W17" s="1573">
        <f>J17</f>
        <v>100</v>
      </c>
      <c r="X17" s="1566"/>
      <c r="Y17" s="3307"/>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307"/>
      <c r="Q18" s="1571"/>
      <c r="R18" s="1572"/>
      <c r="S18" s="1573"/>
      <c r="T18" s="1572"/>
      <c r="U18" s="1573"/>
      <c r="V18" s="1572"/>
      <c r="W18" s="1573"/>
      <c r="X18" s="1566"/>
      <c r="Y18" s="3307"/>
      <c r="Z18" s="1574"/>
      <c r="AA18" s="1575">
        <v>1</v>
      </c>
      <c r="AB18" s="1575">
        <v>1</v>
      </c>
      <c r="AC18" s="1575">
        <v>1</v>
      </c>
    </row>
    <row r="19" spans="1:29" ht="42.75">
      <c r="A19" s="530"/>
      <c r="B19" s="2622"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07"/>
      <c r="Q19" s="1571" t="str">
        <f>B19</f>
        <v>公共配套设施</v>
      </c>
      <c r="R19" s="1572" t="s">
        <v>8</v>
      </c>
      <c r="S19" s="1573">
        <f>F19</f>
        <v>100</v>
      </c>
      <c r="T19" s="1572" t="s">
        <v>8</v>
      </c>
      <c r="U19" s="1573">
        <f>H19</f>
        <v>100</v>
      </c>
      <c r="V19" s="1572" t="s">
        <v>8</v>
      </c>
      <c r="W19" s="1573">
        <f>J19</f>
        <v>100</v>
      </c>
      <c r="X19" s="1566"/>
      <c r="Y19" s="3307"/>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307"/>
      <c r="Q20" s="1571"/>
      <c r="R20" s="1572"/>
      <c r="S20" s="1573"/>
      <c r="T20" s="1572"/>
      <c r="U20" s="1573"/>
      <c r="V20" s="1572"/>
      <c r="W20" s="1573"/>
      <c r="X20" s="1566"/>
      <c r="Y20" s="3307"/>
      <c r="Z20" s="1574"/>
      <c r="AA20" s="1575">
        <v>1</v>
      </c>
      <c r="AB20" s="1575">
        <v>1</v>
      </c>
      <c r="AC20" s="1575">
        <v>1</v>
      </c>
    </row>
    <row r="21" spans="1:29" ht="28.5">
      <c r="A21" s="530"/>
      <c r="B21" s="2610"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07"/>
      <c r="Q21" s="2598" t="str">
        <f>B21</f>
        <v>基础设施水平</v>
      </c>
      <c r="R21" s="1572" t="s">
        <v>8</v>
      </c>
      <c r="S21" s="1573">
        <f>F21</f>
        <v>100</v>
      </c>
      <c r="T21" s="1572" t="s">
        <v>8</v>
      </c>
      <c r="U21" s="1573">
        <f>H21</f>
        <v>100</v>
      </c>
      <c r="V21" s="1572" t="s">
        <v>8</v>
      </c>
      <c r="W21" s="1573">
        <f>J21</f>
        <v>100</v>
      </c>
      <c r="X21" s="2600"/>
      <c r="Y21" s="3307"/>
      <c r="Z21" s="2599"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1"/>
      <c r="L22" s="2140"/>
      <c r="M22" s="2132"/>
      <c r="N22" s="2132"/>
      <c r="O22" s="2139"/>
      <c r="P22" s="3307"/>
      <c r="Q22" s="2598"/>
      <c r="R22" s="1572"/>
      <c r="S22" s="1573"/>
      <c r="T22" s="1572"/>
      <c r="U22" s="1573"/>
      <c r="V22" s="1572"/>
      <c r="W22" s="1573"/>
      <c r="X22" s="2600"/>
      <c r="Y22" s="3307"/>
      <c r="Z22" s="2599"/>
      <c r="AA22" s="1575">
        <v>1</v>
      </c>
      <c r="AB22" s="1575">
        <v>1</v>
      </c>
      <c r="AC22" s="1575">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07"/>
      <c r="Q23" s="1571" t="str">
        <f>B23</f>
        <v>环境质量</v>
      </c>
      <c r="R23" s="1572" t="s">
        <v>8</v>
      </c>
      <c r="S23" s="1573">
        <f>F23</f>
        <v>100</v>
      </c>
      <c r="T23" s="1572" t="s">
        <v>8</v>
      </c>
      <c r="U23" s="1573">
        <f>H23</f>
        <v>100</v>
      </c>
      <c r="V23" s="1572" t="s">
        <v>8</v>
      </c>
      <c r="W23" s="1573">
        <f>J23</f>
        <v>100</v>
      </c>
      <c r="X23" s="1566"/>
      <c r="Y23" s="3307"/>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307"/>
      <c r="Q24" s="1571"/>
      <c r="R24" s="1572"/>
      <c r="S24" s="1573"/>
      <c r="T24" s="1572"/>
      <c r="U24" s="1573"/>
      <c r="V24" s="1572"/>
      <c r="W24" s="1573"/>
      <c r="X24" s="1566"/>
      <c r="Y24" s="3307"/>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07"/>
      <c r="Q25" s="1571">
        <f>B25</f>
        <v>111</v>
      </c>
      <c r="R25" s="1572" t="s">
        <v>8</v>
      </c>
      <c r="S25" s="1573">
        <f>F25</f>
        <v>100</v>
      </c>
      <c r="T25" s="1572" t="s">
        <v>8</v>
      </c>
      <c r="U25" s="1573">
        <f>H25</f>
        <v>100</v>
      </c>
      <c r="V25" s="1572" t="s">
        <v>8</v>
      </c>
      <c r="W25" s="1573">
        <f>J25</f>
        <v>100</v>
      </c>
      <c r="X25" s="1566"/>
      <c r="Y25" s="3307"/>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07"/>
      <c r="Q26" s="1571">
        <f t="shared" ref="Q26:Q40" si="11">B26</f>
        <v>111</v>
      </c>
      <c r="R26" s="1572" t="s">
        <v>8</v>
      </c>
      <c r="S26" s="1573">
        <f>F26</f>
        <v>100</v>
      </c>
      <c r="T26" s="1572" t="s">
        <v>8</v>
      </c>
      <c r="U26" s="1573">
        <f>H26</f>
        <v>100</v>
      </c>
      <c r="V26" s="1572" t="s">
        <v>8</v>
      </c>
      <c r="W26" s="1573">
        <f>J26</f>
        <v>100</v>
      </c>
      <c r="X26" s="1566"/>
      <c r="Y26" s="3307"/>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07"/>
      <c r="Q27" s="1149">
        <f t="shared" si="11"/>
        <v>111</v>
      </c>
      <c r="R27" s="1567" t="s">
        <v>8</v>
      </c>
      <c r="S27" s="1568">
        <f>F27</f>
        <v>100</v>
      </c>
      <c r="T27" s="1567" t="s">
        <v>8</v>
      </c>
      <c r="U27" s="1568">
        <f>H27</f>
        <v>100</v>
      </c>
      <c r="V27" s="1567" t="s">
        <v>8</v>
      </c>
      <c r="W27" s="1568">
        <f>J27</f>
        <v>100</v>
      </c>
      <c r="X27" s="1569"/>
      <c r="Y27" s="3307"/>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07"/>
      <c r="Q28" s="1571">
        <f t="shared" si="11"/>
        <v>111</v>
      </c>
      <c r="R28" s="1572" t="s">
        <v>8</v>
      </c>
      <c r="S28" s="1573">
        <f t="shared" ref="S28:S40" si="12">F28</f>
        <v>100</v>
      </c>
      <c r="T28" s="1572" t="s">
        <v>8</v>
      </c>
      <c r="U28" s="1573">
        <f t="shared" ref="U28:U40" si="13">H28</f>
        <v>100</v>
      </c>
      <c r="V28" s="1572" t="s">
        <v>8</v>
      </c>
      <c r="W28" s="1573">
        <f t="shared" ref="W28:W40" si="14">J28</f>
        <v>100</v>
      </c>
      <c r="X28" s="1566"/>
      <c r="Y28" s="3307"/>
      <c r="Z28" s="1574">
        <f t="shared" ref="Z28:Z40" si="15">Q28</f>
        <v>111</v>
      </c>
      <c r="AA28" s="1575">
        <f t="shared" si="3"/>
        <v>1</v>
      </c>
      <c r="AB28" s="1575">
        <f t="shared" si="4"/>
        <v>1</v>
      </c>
      <c r="AC28" s="1575">
        <f t="shared" si="5"/>
        <v>1</v>
      </c>
    </row>
    <row r="29" spans="1:29" ht="15">
      <c r="A29" s="2871" t="s">
        <v>2761</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08" t="s">
        <v>551</v>
      </c>
      <c r="Q29" s="1571" t="str">
        <f t="shared" si="11"/>
        <v>建筑类型</v>
      </c>
      <c r="R29" s="1572" t="s">
        <v>8</v>
      </c>
      <c r="S29" s="1573">
        <f t="shared" si="12"/>
        <v>100</v>
      </c>
      <c r="T29" s="1572" t="s">
        <v>8</v>
      </c>
      <c r="U29" s="1573">
        <f t="shared" si="13"/>
        <v>100</v>
      </c>
      <c r="V29" s="1572" t="s">
        <v>8</v>
      </c>
      <c r="W29" s="1573">
        <f t="shared" si="14"/>
        <v>100</v>
      </c>
      <c r="X29" s="1566"/>
      <c r="Y29" s="3309" t="s">
        <v>551</v>
      </c>
      <c r="Z29" s="1574" t="str">
        <f t="shared" si="15"/>
        <v>建筑类型</v>
      </c>
      <c r="AA29" s="1575">
        <f t="shared" si="3"/>
        <v>1</v>
      </c>
      <c r="AB29" s="1575">
        <f t="shared" si="4"/>
        <v>1</v>
      </c>
      <c r="AC29" s="1575">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309"/>
      <c r="Q30" s="1604" t="str">
        <f t="shared" si="11"/>
        <v>项目建筑规模</v>
      </c>
      <c r="R30" s="1576" t="s">
        <v>8</v>
      </c>
      <c r="S30" s="1577" t="e">
        <f t="shared" si="12"/>
        <v>#N/A</v>
      </c>
      <c r="T30" s="1576" t="s">
        <v>8</v>
      </c>
      <c r="U30" s="1577" t="e">
        <f t="shared" si="13"/>
        <v>#N/A</v>
      </c>
      <c r="V30" s="1576" t="s">
        <v>8</v>
      </c>
      <c r="W30" s="1577" t="e">
        <f t="shared" si="14"/>
        <v>#N/A</v>
      </c>
      <c r="X30" s="1578"/>
      <c r="Y30" s="3309"/>
      <c r="Z30" s="1579" t="str">
        <f t="shared" si="15"/>
        <v>项目建筑规模</v>
      </c>
      <c r="AA30" s="1575" t="e">
        <f t="shared" si="3"/>
        <v>#N/A</v>
      </c>
      <c r="AB30" s="1575" t="e">
        <f t="shared" si="4"/>
        <v>#N/A</v>
      </c>
      <c r="AC30" s="1575"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09"/>
      <c r="Q31" s="1571" t="str">
        <f t="shared" si="11"/>
        <v>建筑结构</v>
      </c>
      <c r="R31" s="1572" t="s">
        <v>8</v>
      </c>
      <c r="S31" s="1573">
        <f t="shared" si="12"/>
        <v>100</v>
      </c>
      <c r="T31" s="1572" t="s">
        <v>8</v>
      </c>
      <c r="U31" s="1573">
        <f t="shared" si="13"/>
        <v>100</v>
      </c>
      <c r="V31" s="1572" t="s">
        <v>8</v>
      </c>
      <c r="W31" s="1573">
        <f t="shared" si="14"/>
        <v>100</v>
      </c>
      <c r="X31" s="1566"/>
      <c r="Y31" s="3309"/>
      <c r="Z31" s="1574" t="str">
        <f t="shared" si="15"/>
        <v>建筑结构</v>
      </c>
      <c r="AA31" s="1575">
        <f t="shared" si="3"/>
        <v>1</v>
      </c>
      <c r="AB31" s="1575">
        <f t="shared" si="4"/>
        <v>1</v>
      </c>
      <c r="AC31" s="1575">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09"/>
      <c r="Q32" s="1571" t="str">
        <f t="shared" si="11"/>
        <v>公共部分装修</v>
      </c>
      <c r="R32" s="1572" t="s">
        <v>8</v>
      </c>
      <c r="S32" s="1573">
        <f t="shared" si="12"/>
        <v>100</v>
      </c>
      <c r="T32" s="1572" t="s">
        <v>8</v>
      </c>
      <c r="U32" s="1573">
        <f t="shared" si="13"/>
        <v>100</v>
      </c>
      <c r="V32" s="1572" t="s">
        <v>8</v>
      </c>
      <c r="W32" s="1573">
        <f t="shared" si="14"/>
        <v>100</v>
      </c>
      <c r="X32" s="1566"/>
      <c r="Y32" s="3309"/>
      <c r="Z32" s="1574" t="str">
        <f t="shared" si="15"/>
        <v>公共部分装修</v>
      </c>
      <c r="AA32" s="1575">
        <f t="shared" si="3"/>
        <v>1</v>
      </c>
      <c r="AB32" s="1575">
        <f t="shared" si="4"/>
        <v>1</v>
      </c>
      <c r="AC32" s="1575">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09"/>
      <c r="Q33" s="1571" t="str">
        <f t="shared" si="11"/>
        <v>成新度</v>
      </c>
      <c r="R33" s="1572" t="s">
        <v>8</v>
      </c>
      <c r="S33" s="1573" t="e">
        <f t="shared" si="12"/>
        <v>#N/A</v>
      </c>
      <c r="T33" s="1572" t="s">
        <v>8</v>
      </c>
      <c r="U33" s="1573" t="e">
        <f t="shared" si="13"/>
        <v>#N/A</v>
      </c>
      <c r="V33" s="1572" t="s">
        <v>8</v>
      </c>
      <c r="W33" s="1573" t="e">
        <f t="shared" si="14"/>
        <v>#N/A</v>
      </c>
      <c r="X33" s="1566"/>
      <c r="Y33" s="3309"/>
      <c r="Z33" s="1574" t="str">
        <f t="shared" si="15"/>
        <v>成新度</v>
      </c>
      <c r="AA33" s="1575" t="e">
        <f t="shared" si="3"/>
        <v>#N/A</v>
      </c>
      <c r="AB33" s="1575" t="e">
        <f t="shared" si="4"/>
        <v>#N/A</v>
      </c>
      <c r="AC33" s="1575"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09"/>
      <c r="Q34" s="1149" t="str">
        <f t="shared" si="11"/>
        <v>物业管理</v>
      </c>
      <c r="R34" s="1567" t="s">
        <v>8</v>
      </c>
      <c r="S34" s="1568">
        <f t="shared" si="12"/>
        <v>100</v>
      </c>
      <c r="T34" s="1567" t="s">
        <v>8</v>
      </c>
      <c r="U34" s="1568">
        <f t="shared" si="13"/>
        <v>100</v>
      </c>
      <c r="V34" s="1567" t="s">
        <v>8</v>
      </c>
      <c r="W34" s="1568">
        <f t="shared" si="14"/>
        <v>100</v>
      </c>
      <c r="X34" s="1569"/>
      <c r="Y34" s="3309"/>
      <c r="Z34" s="1148" t="str">
        <f t="shared" si="15"/>
        <v>物业管理</v>
      </c>
      <c r="AA34" s="1570">
        <f t="shared" si="3"/>
        <v>1</v>
      </c>
      <c r="AB34" s="1570">
        <f t="shared" si="4"/>
        <v>1</v>
      </c>
      <c r="AC34" s="1570">
        <f t="shared" si="5"/>
        <v>1</v>
      </c>
    </row>
    <row r="35" spans="1:29" ht="15">
      <c r="A35" s="592"/>
      <c r="B35" s="1893"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09" t="s">
        <v>551</v>
      </c>
      <c r="Q35" s="1571" t="str">
        <f t="shared" si="11"/>
        <v>市政基础设施</v>
      </c>
      <c r="R35" s="1572" t="s">
        <v>8</v>
      </c>
      <c r="S35" s="1573">
        <f t="shared" si="12"/>
        <v>100</v>
      </c>
      <c r="T35" s="1572" t="s">
        <v>8</v>
      </c>
      <c r="U35" s="1573">
        <f t="shared" si="13"/>
        <v>100</v>
      </c>
      <c r="V35" s="1572" t="s">
        <v>8</v>
      </c>
      <c r="W35" s="1573">
        <f t="shared" si="14"/>
        <v>100</v>
      </c>
      <c r="X35" s="1566"/>
      <c r="Y35" s="3309" t="s">
        <v>551</v>
      </c>
      <c r="Z35" s="1574" t="str">
        <f t="shared" si="15"/>
        <v>市政基础设施</v>
      </c>
      <c r="AA35" s="1575">
        <f t="shared" si="3"/>
        <v>1</v>
      </c>
      <c r="AB35" s="1575">
        <f t="shared" si="4"/>
        <v>1</v>
      </c>
      <c r="AC35" s="1575">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09"/>
      <c r="Q36" s="1571" t="str">
        <f t="shared" si="11"/>
        <v>内部装修</v>
      </c>
      <c r="R36" s="1572" t="s">
        <v>8</v>
      </c>
      <c r="S36" s="1573">
        <f t="shared" si="12"/>
        <v>100</v>
      </c>
      <c r="T36" s="1572" t="s">
        <v>8</v>
      </c>
      <c r="U36" s="1573">
        <f t="shared" si="13"/>
        <v>100</v>
      </c>
      <c r="V36" s="1572" t="s">
        <v>8</v>
      </c>
      <c r="W36" s="1573">
        <f t="shared" si="14"/>
        <v>100</v>
      </c>
      <c r="X36" s="1566"/>
      <c r="Y36" s="3309"/>
      <c r="Z36" s="1574" t="str">
        <f t="shared" si="15"/>
        <v>内部装修</v>
      </c>
      <c r="AA36" s="1575">
        <f t="shared" si="3"/>
        <v>1</v>
      </c>
      <c r="AB36" s="1575">
        <f t="shared" si="4"/>
        <v>1</v>
      </c>
      <c r="AC36" s="1575">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09"/>
      <c r="Q37" s="1571" t="str">
        <f t="shared" si="11"/>
        <v>内部装修状况</v>
      </c>
      <c r="R37" s="1572" t="s">
        <v>8</v>
      </c>
      <c r="S37" s="1573">
        <f t="shared" si="12"/>
        <v>100</v>
      </c>
      <c r="T37" s="1572" t="s">
        <v>8</v>
      </c>
      <c r="U37" s="1573">
        <f t="shared" si="13"/>
        <v>100</v>
      </c>
      <c r="V37" s="1572" t="s">
        <v>8</v>
      </c>
      <c r="W37" s="1573">
        <f t="shared" si="14"/>
        <v>100</v>
      </c>
      <c r="X37" s="1566"/>
      <c r="Y37" s="3309"/>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09"/>
      <c r="Q38" s="1604">
        <f t="shared" si="11"/>
        <v>111</v>
      </c>
      <c r="R38" s="1576" t="s">
        <v>8</v>
      </c>
      <c r="S38" s="1577">
        <f t="shared" si="12"/>
        <v>100</v>
      </c>
      <c r="T38" s="1576" t="s">
        <v>8</v>
      </c>
      <c r="U38" s="1577">
        <f t="shared" si="13"/>
        <v>100</v>
      </c>
      <c r="V38" s="1576" t="s">
        <v>8</v>
      </c>
      <c r="W38" s="1577">
        <f t="shared" si="14"/>
        <v>100</v>
      </c>
      <c r="X38" s="1578"/>
      <c r="Y38" s="3309"/>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09"/>
      <c r="Q39" s="1571">
        <f t="shared" si="11"/>
        <v>111</v>
      </c>
      <c r="R39" s="1572" t="s">
        <v>8</v>
      </c>
      <c r="S39" s="1573">
        <f t="shared" si="12"/>
        <v>100</v>
      </c>
      <c r="T39" s="1572" t="s">
        <v>8</v>
      </c>
      <c r="U39" s="1573">
        <f t="shared" si="13"/>
        <v>100</v>
      </c>
      <c r="V39" s="1572" t="s">
        <v>8</v>
      </c>
      <c r="W39" s="1573">
        <f t="shared" si="14"/>
        <v>100</v>
      </c>
      <c r="X39" s="1566"/>
      <c r="Y39" s="3309"/>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07"/>
      <c r="Q40" s="1571">
        <f t="shared" si="11"/>
        <v>111</v>
      </c>
      <c r="R40" s="1572" t="s">
        <v>8</v>
      </c>
      <c r="S40" s="1573">
        <f t="shared" si="12"/>
        <v>100</v>
      </c>
      <c r="T40" s="1572" t="s">
        <v>8</v>
      </c>
      <c r="U40" s="1573">
        <f t="shared" si="13"/>
        <v>100</v>
      </c>
      <c r="V40" s="1572" t="s">
        <v>8</v>
      </c>
      <c r="W40" s="1573">
        <f t="shared" si="14"/>
        <v>100</v>
      </c>
      <c r="X40" s="1566"/>
      <c r="Y40" s="3407"/>
      <c r="Z40" s="1574">
        <f t="shared" si="15"/>
        <v>111</v>
      </c>
      <c r="AA40" s="1575">
        <f t="shared" si="3"/>
        <v>1</v>
      </c>
      <c r="AB40" s="1575">
        <f t="shared" si="4"/>
        <v>1</v>
      </c>
      <c r="AC40" s="1575">
        <f t="shared" si="5"/>
        <v>1</v>
      </c>
    </row>
    <row r="41" spans="1:29" ht="15">
      <c r="A41" s="605" t="s">
        <v>737</v>
      </c>
      <c r="B41" s="885"/>
      <c r="C41" s="2646" t="s">
        <v>1</v>
      </c>
      <c r="D41" s="2647"/>
      <c r="E41" s="2648"/>
      <c r="F41" s="2649"/>
      <c r="G41" s="2650"/>
      <c r="H41" s="2651"/>
      <c r="I41" s="2648"/>
      <c r="J41" s="2651"/>
      <c r="K41" s="1610"/>
      <c r="L41" s="2142"/>
      <c r="M41" s="2143"/>
      <c r="N41" s="2132"/>
      <c r="O41" s="2143"/>
      <c r="P41" s="3304" t="str">
        <f>A41</f>
        <v>成交单价（元/平方米）</v>
      </c>
      <c r="Q41" s="3304"/>
      <c r="R41" s="3406">
        <f>E41</f>
        <v>0</v>
      </c>
      <c r="S41" s="3406"/>
      <c r="T41" s="3406">
        <f>G41</f>
        <v>0</v>
      </c>
      <c r="U41" s="3406"/>
      <c r="V41" s="3406">
        <f>I41</f>
        <v>0</v>
      </c>
      <c r="W41" s="3406"/>
      <c r="X41" s="1558"/>
      <c r="Y41" s="1580"/>
      <c r="Z41" s="1558"/>
      <c r="AA41" s="1558"/>
      <c r="AB41" s="1558"/>
      <c r="AC41" s="1558"/>
    </row>
    <row r="42" spans="1:29" ht="15.75" thickBot="1">
      <c r="A42" s="613" t="s">
        <v>2766</v>
      </c>
      <c r="B42" s="886"/>
      <c r="C42" s="2652" t="e">
        <f>R43</f>
        <v>#DIV/0!</v>
      </c>
      <c r="D42" s="2653"/>
      <c r="E42" s="2654" t="e">
        <f>R42</f>
        <v>#DIV/0!</v>
      </c>
      <c r="F42" s="2654"/>
      <c r="G42" s="2652" t="e">
        <f>T42</f>
        <v>#DIV/0!</v>
      </c>
      <c r="H42" s="2653"/>
      <c r="I42" s="2654" t="e">
        <f>V42</f>
        <v>#DIV/0!</v>
      </c>
      <c r="J42" s="2653"/>
      <c r="K42" s="1611"/>
      <c r="L42" s="2142"/>
      <c r="M42" s="2143"/>
      <c r="N42" s="2132"/>
      <c r="O42" s="2143"/>
      <c r="P42" s="3304" t="str">
        <f>A42</f>
        <v>比较价格（元/平方米）</v>
      </c>
      <c r="Q42" s="3304"/>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1558"/>
      <c r="Y42" s="1558"/>
      <c r="Z42" s="1558"/>
      <c r="AA42" s="1558"/>
      <c r="AB42" s="1558"/>
      <c r="AC42" s="1558"/>
    </row>
    <row r="43" spans="1:29" ht="15.75" thickBot="1">
      <c r="A43" s="619" t="s">
        <v>2938</v>
      </c>
      <c r="B43" s="620"/>
      <c r="C43" s="2655" t="e">
        <f>R43</f>
        <v>#DIV/0!</v>
      </c>
      <c r="D43" s="2655"/>
      <c r="E43" s="2655"/>
      <c r="F43" s="2655"/>
      <c r="G43" s="2655"/>
      <c r="H43" s="2655"/>
      <c r="I43" s="2655"/>
      <c r="J43" s="2655"/>
      <c r="K43" s="1612"/>
      <c r="L43" s="2142"/>
      <c r="M43" s="2143"/>
      <c r="N43" s="2143"/>
      <c r="O43" s="2143"/>
      <c r="P43" s="3327" t="str">
        <f>A43</f>
        <v>估价对象XX用房的比较价格（楼面单价，元/平方米）</v>
      </c>
      <c r="Q43" s="3328"/>
      <c r="R43" s="3405" t="e">
        <f>IF(F1="售价",ROUND(AVERAGE(R42:V42),0),ROUND(AVERAGE(R42:V42),1))</f>
        <v>#DIV/0!</v>
      </c>
      <c r="S43" s="3405"/>
      <c r="T43" s="3405"/>
      <c r="U43" s="3405"/>
      <c r="V43" s="3405"/>
      <c r="W43" s="3405"/>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575</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530</v>
      </c>
      <c r="B52" s="644"/>
      <c r="C52" s="2823" t="str">
        <f>YEAR(C7)&amp;"-"&amp;MONTH(C7)</f>
        <v>2017-11</v>
      </c>
      <c r="D52" s="2825">
        <f>EDATE(C52,-1)</f>
        <v>43009</v>
      </c>
      <c r="E52" s="2825">
        <f t="shared" ref="E52:O52" si="16">EDATE(D52,-1)</f>
        <v>42979</v>
      </c>
      <c r="F52" s="2825">
        <f t="shared" si="16"/>
        <v>42948</v>
      </c>
      <c r="G52" s="2825">
        <f t="shared" si="16"/>
        <v>42917</v>
      </c>
      <c r="H52" s="2825">
        <f t="shared" si="16"/>
        <v>42887</v>
      </c>
      <c r="I52" s="2825">
        <f t="shared" si="16"/>
        <v>42856</v>
      </c>
      <c r="J52" s="2825">
        <f t="shared" si="16"/>
        <v>42826</v>
      </c>
      <c r="K52" s="2825">
        <f t="shared" si="16"/>
        <v>42795</v>
      </c>
      <c r="L52" s="2825">
        <f t="shared" si="16"/>
        <v>42767</v>
      </c>
      <c r="M52" s="2825">
        <f t="shared" si="16"/>
        <v>42736</v>
      </c>
      <c r="N52" s="2825">
        <f t="shared" si="16"/>
        <v>42705</v>
      </c>
      <c r="O52" s="2825">
        <f t="shared" si="16"/>
        <v>42675</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576</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532</v>
      </c>
      <c r="B55" s="646"/>
      <c r="C55" s="658" t="s">
        <v>577</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578</v>
      </c>
      <c r="B57" s="663" t="s">
        <v>535</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540</v>
      </c>
      <c r="B70" s="663" t="s">
        <v>586</v>
      </c>
      <c r="C70" s="701" t="s">
        <v>580</v>
      </c>
      <c r="D70" s="701" t="s">
        <v>581</v>
      </c>
      <c r="E70" s="701" t="s">
        <v>582</v>
      </c>
      <c r="F70" s="701" t="s">
        <v>583</v>
      </c>
      <c r="G70" s="701" t="s">
        <v>584</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587</v>
      </c>
      <c r="C72" s="706" t="s">
        <v>580</v>
      </c>
      <c r="D72" s="706" t="s">
        <v>581</v>
      </c>
      <c r="E72" s="706" t="s">
        <v>582</v>
      </c>
      <c r="F72" s="706" t="s">
        <v>583</v>
      </c>
      <c r="G72" s="706" t="s">
        <v>584</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2561</v>
      </c>
      <c r="C74" s="706" t="s">
        <v>580</v>
      </c>
      <c r="D74" s="706" t="s">
        <v>581</v>
      </c>
      <c r="E74" s="706" t="s">
        <v>582</v>
      </c>
      <c r="F74" s="706" t="s">
        <v>583</v>
      </c>
      <c r="G74" s="706" t="s">
        <v>584</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6" t="s">
        <v>2562</v>
      </c>
      <c r="C76" s="2617" t="s">
        <v>2563</v>
      </c>
      <c r="D76" s="2617" t="s">
        <v>2564</v>
      </c>
      <c r="E76" s="2617" t="s">
        <v>2565</v>
      </c>
      <c r="F76" s="2617" t="s">
        <v>2566</v>
      </c>
      <c r="G76" s="2617" t="s">
        <v>2567</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785</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552</v>
      </c>
      <c r="B88" s="663" t="s">
        <v>748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750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752</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754</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2560</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756</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IF(B37="元/平方米",C39,ROUND(B2*10000/D3,0))</f>
        <v>#DIV/0!</v>
      </c>
      <c r="C3" s="850" t="s">
        <v>797</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310" t="s">
        <v>799</v>
      </c>
      <c r="D4" s="3311"/>
      <c r="E4" s="3310" t="s">
        <v>800</v>
      </c>
      <c r="F4" s="3311"/>
      <c r="G4" s="3310" t="s">
        <v>801</v>
      </c>
      <c r="H4" s="3311"/>
      <c r="I4" s="3310" t="s">
        <v>802</v>
      </c>
      <c r="J4" s="3311"/>
      <c r="K4" s="512" t="s">
        <v>803</v>
      </c>
      <c r="L4" s="2131"/>
      <c r="M4" s="2132"/>
      <c r="N4" s="2132"/>
      <c r="O4" s="2132"/>
      <c r="P4" s="3312" t="s">
        <v>804</v>
      </c>
      <c r="Q4" s="3313"/>
      <c r="R4" s="3298" t="s">
        <v>800</v>
      </c>
      <c r="S4" s="3299"/>
      <c r="T4" s="3298" t="s">
        <v>801</v>
      </c>
      <c r="U4" s="3299"/>
      <c r="V4" s="3318" t="s">
        <v>802</v>
      </c>
      <c r="W4" s="3318"/>
      <c r="X4" s="1566"/>
      <c r="Y4" s="3298" t="s">
        <v>804</v>
      </c>
      <c r="Z4" s="3299"/>
      <c r="AA4" s="3293" t="s">
        <v>800</v>
      </c>
      <c r="AB4" s="3294" t="s">
        <v>801</v>
      </c>
      <c r="AC4" s="3293" t="s">
        <v>802</v>
      </c>
    </row>
    <row r="5" spans="1:29" ht="15">
      <c r="A5" s="513"/>
      <c r="B5" s="514"/>
      <c r="C5" s="3323" t="s">
        <v>2932</v>
      </c>
      <c r="D5" s="3322"/>
      <c r="E5" s="3323" t="s">
        <v>2933</v>
      </c>
      <c r="F5" s="3322"/>
      <c r="G5" s="3323" t="s">
        <v>2934</v>
      </c>
      <c r="H5" s="3322"/>
      <c r="I5" s="3323" t="s">
        <v>2935</v>
      </c>
      <c r="J5" s="3322"/>
      <c r="K5" s="512"/>
      <c r="L5" s="2131"/>
      <c r="M5" s="2132"/>
      <c r="N5" s="2132"/>
      <c r="O5" s="2132"/>
      <c r="P5" s="3314"/>
      <c r="Q5" s="3315"/>
      <c r="R5" s="3300"/>
      <c r="S5" s="3301"/>
      <c r="T5" s="3300"/>
      <c r="U5" s="3301"/>
      <c r="V5" s="3318"/>
      <c r="W5" s="3318"/>
      <c r="X5" s="1566"/>
      <c r="Y5" s="3300"/>
      <c r="Z5" s="3301"/>
      <c r="AA5" s="3294"/>
      <c r="AB5" s="3294"/>
      <c r="AC5" s="3294"/>
    </row>
    <row r="6" spans="1:29" ht="15.75" thickBot="1">
      <c r="A6" s="515"/>
      <c r="B6" s="516"/>
      <c r="C6" s="3340" t="s">
        <v>2936</v>
      </c>
      <c r="D6" s="3320"/>
      <c r="E6" s="3324" t="s">
        <v>2936</v>
      </c>
      <c r="F6" s="3325"/>
      <c r="G6" s="3340" t="s">
        <v>2936</v>
      </c>
      <c r="H6" s="3320"/>
      <c r="I6" s="3340" t="s">
        <v>2936</v>
      </c>
      <c r="J6" s="3320"/>
      <c r="K6" s="512" t="s">
        <v>529</v>
      </c>
      <c r="L6" s="2131"/>
      <c r="M6" s="2132"/>
      <c r="N6" s="2132"/>
      <c r="O6" s="2132"/>
      <c r="P6" s="3316"/>
      <c r="Q6" s="3317"/>
      <c r="R6" s="3300"/>
      <c r="S6" s="3301"/>
      <c r="T6" s="3302"/>
      <c r="U6" s="3303"/>
      <c r="V6" s="3318"/>
      <c r="W6" s="3318"/>
      <c r="X6" s="1566"/>
      <c r="Y6" s="3302"/>
      <c r="Z6" s="3303"/>
      <c r="AA6" s="3295"/>
      <c r="AB6" s="3295"/>
      <c r="AC6" s="3295"/>
    </row>
    <row r="7" spans="1:29" s="1218" customFormat="1" ht="15.75" thickBot="1">
      <c r="A7" s="2876"/>
      <c r="B7" s="2883" t="s">
        <v>530</v>
      </c>
      <c r="C7" s="517">
        <f>'数据-取费表'!B2</f>
        <v>43061</v>
      </c>
      <c r="D7" s="518">
        <v>100</v>
      </c>
      <c r="E7" s="519"/>
      <c r="F7" s="520">
        <f>SUMIF(48:48,YEAR(E7)&amp;"-"&amp;MONTH(E7),49:49)</f>
        <v>0</v>
      </c>
      <c r="G7" s="521"/>
      <c r="H7" s="518">
        <f>SUMIF(48:48,YEAR(G7)&amp;"-"&amp;MONTH(G7),49:49)</f>
        <v>0</v>
      </c>
      <c r="I7" s="521"/>
      <c r="J7" s="518">
        <f>SUMIF(48:48,YEAR(I7)&amp;"-"&amp;MONTH(I7),49:49)</f>
        <v>0</v>
      </c>
      <c r="K7" s="522"/>
      <c r="L7" s="2133"/>
      <c r="M7" s="2134"/>
      <c r="N7" s="2134"/>
      <c r="O7" s="2134"/>
      <c r="P7" s="3296" t="s">
        <v>531</v>
      </c>
      <c r="Q7" s="3305"/>
      <c r="R7" s="1567" t="s">
        <v>8</v>
      </c>
      <c r="S7" s="1568">
        <f t="shared" ref="S7:S14" si="0">F7</f>
        <v>0</v>
      </c>
      <c r="T7" s="1567" t="s">
        <v>8</v>
      </c>
      <c r="U7" s="1568">
        <f t="shared" ref="U7:U14" si="1">H7</f>
        <v>0</v>
      </c>
      <c r="V7" s="1567" t="s">
        <v>8</v>
      </c>
      <c r="W7" s="1568">
        <f t="shared" ref="W7:W14" si="2">J7</f>
        <v>0</v>
      </c>
      <c r="X7" s="1569"/>
      <c r="Y7" s="3296" t="s">
        <v>531</v>
      </c>
      <c r="Z7" s="3297"/>
      <c r="AA7" s="1570" t="e">
        <f>D7/F7</f>
        <v>#DIV/0!</v>
      </c>
      <c r="AB7" s="1570" t="e">
        <f>D7/H7</f>
        <v>#DIV/0!</v>
      </c>
      <c r="AC7" s="1570" t="e">
        <f>D7/J7</f>
        <v>#DIV/0!</v>
      </c>
    </row>
    <row r="8" spans="1:29" s="1218" customFormat="1" ht="15.75" thickBot="1">
      <c r="A8" s="2877"/>
      <c r="B8" s="2884" t="s">
        <v>532</v>
      </c>
      <c r="C8" s="523" t="s">
        <v>577</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296" t="s">
        <v>534</v>
      </c>
      <c r="Q8" s="3297"/>
      <c r="R8" s="1567" t="s">
        <v>8</v>
      </c>
      <c r="S8" s="1568">
        <f t="shared" si="0"/>
        <v>0</v>
      </c>
      <c r="T8" s="1567" t="s">
        <v>8</v>
      </c>
      <c r="U8" s="1568">
        <f t="shared" si="1"/>
        <v>0</v>
      </c>
      <c r="V8" s="1567" t="s">
        <v>8</v>
      </c>
      <c r="W8" s="1568">
        <f t="shared" si="2"/>
        <v>0</v>
      </c>
      <c r="X8" s="1569"/>
      <c r="Y8" s="3296" t="s">
        <v>534</v>
      </c>
      <c r="Z8" s="3297"/>
      <c r="AA8" s="1570" t="e">
        <f t="shared" ref="AA8:AA36" si="3">D8/F8</f>
        <v>#DIV/0!</v>
      </c>
      <c r="AB8" s="1570" t="e">
        <f t="shared" ref="AB8:AB36" si="4">D8/H8</f>
        <v>#DIV/0!</v>
      </c>
      <c r="AC8" s="1570" t="e">
        <f t="shared" ref="AC8:AC36" si="5">D8/J8</f>
        <v>#DIV/0!</v>
      </c>
    </row>
    <row r="9" spans="1:29" s="1218" customFormat="1" ht="15">
      <c r="A9" s="2878"/>
      <c r="B9" s="2885" t="s">
        <v>2762</v>
      </c>
      <c r="C9" s="855"/>
      <c r="D9" s="254">
        <v>100</v>
      </c>
      <c r="E9" s="858"/>
      <c r="F9" s="254">
        <f>SUMIF(53:53,E9,54:54)-SUMIF(53:53,C9,54:54)+100</f>
        <v>100</v>
      </c>
      <c r="G9" s="856"/>
      <c r="H9" s="254">
        <f>SUMIF(53:53,G9,54:54)-SUMIF(53:53,C9,54:54)+100</f>
        <v>100</v>
      </c>
      <c r="I9" s="856"/>
      <c r="J9" s="254">
        <f>SUMIF(53:53,I9,54:54)-SUMIF(53:53,C9,54:54)+100</f>
        <v>100</v>
      </c>
      <c r="K9" s="522"/>
      <c r="L9" s="2133"/>
      <c r="M9" s="2134"/>
      <c r="N9" s="2134"/>
      <c r="O9" s="2135"/>
      <c r="P9" s="3304" t="s">
        <v>536</v>
      </c>
      <c r="Q9" s="1149" t="str">
        <f t="shared" ref="Q9:Q14" si="6">B9</f>
        <v>用途</v>
      </c>
      <c r="R9" s="1567" t="s">
        <v>8</v>
      </c>
      <c r="S9" s="1568">
        <f t="shared" si="0"/>
        <v>100</v>
      </c>
      <c r="T9" s="1567" t="s">
        <v>8</v>
      </c>
      <c r="U9" s="1568">
        <f t="shared" si="1"/>
        <v>100</v>
      </c>
      <c r="V9" s="1567" t="s">
        <v>8</v>
      </c>
      <c r="W9" s="1568">
        <f t="shared" si="2"/>
        <v>100</v>
      </c>
      <c r="X9" s="1569"/>
      <c r="Y9" s="3261"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
      <c r="A11" s="2881"/>
      <c r="B11" s="2887">
        <v>111</v>
      </c>
      <c r="C11" s="526"/>
      <c r="D11" s="255">
        <v>100</v>
      </c>
      <c r="E11" s="526"/>
      <c r="F11" s="255">
        <f>SUMIF(57:57,E11,58:58)-SUMIF(57:57,C11,58:58)+100</f>
        <v>100</v>
      </c>
      <c r="G11" s="526"/>
      <c r="H11" s="255">
        <f>SUMIF(57:57,G11,58:58)-SUMIF(57:57,C11,58:58)+100</f>
        <v>100</v>
      </c>
      <c r="I11" s="526"/>
      <c r="J11" s="255">
        <f>SUMIF(57:57,I11,58:58)-SUMIF(57:57,C11,58:58)+100</f>
        <v>100</v>
      </c>
      <c r="K11" s="579"/>
      <c r="L11" s="2138"/>
      <c r="M11" s="2132"/>
      <c r="N11" s="2132"/>
      <c r="O11" s="2139"/>
      <c r="P11" s="3304"/>
      <c r="Q11" s="1149">
        <f t="shared" si="6"/>
        <v>111</v>
      </c>
      <c r="R11" s="1567" t="s">
        <v>8</v>
      </c>
      <c r="S11" s="1568">
        <f t="shared" si="0"/>
        <v>100</v>
      </c>
      <c r="T11" s="1567" t="s">
        <v>8</v>
      </c>
      <c r="U11" s="1568">
        <f t="shared" si="1"/>
        <v>100</v>
      </c>
      <c r="V11" s="1567" t="s">
        <v>8</v>
      </c>
      <c r="W11" s="1568">
        <f t="shared" si="2"/>
        <v>100</v>
      </c>
      <c r="X11" s="1569"/>
      <c r="Y11" s="3261"/>
      <c r="Z11" s="1148">
        <f t="shared" si="7"/>
        <v>111</v>
      </c>
      <c r="AA11" s="1570">
        <f t="shared" si="3"/>
        <v>1</v>
      </c>
      <c r="AB11" s="1570">
        <f t="shared" si="4"/>
        <v>1</v>
      </c>
      <c r="AC11" s="1570">
        <f t="shared" si="5"/>
        <v>1</v>
      </c>
    </row>
    <row r="12" spans="1:29" s="1218" customFormat="1" ht="15">
      <c r="A12" s="2881"/>
      <c r="B12" s="2887">
        <v>111</v>
      </c>
      <c r="C12" s="526"/>
      <c r="D12" s="536">
        <v>100</v>
      </c>
      <c r="E12" s="526"/>
      <c r="F12" s="255">
        <f>SUMIF(59:59,E12,60:60)-SUMIF(59:59,C12,60:60)+100</f>
        <v>100</v>
      </c>
      <c r="G12" s="526"/>
      <c r="H12" s="255">
        <f>SUMIF(59:59,G12,60:60)-SUMIF(59:59,C12,60:60)+100</f>
        <v>100</v>
      </c>
      <c r="I12" s="526"/>
      <c r="J12" s="255">
        <f>SUMIF(59:59,I12,60:60)-SUMIF(59:59,C12,60:60)+100</f>
        <v>100</v>
      </c>
      <c r="K12" s="579"/>
      <c r="L12" s="2133"/>
      <c r="M12" s="2134"/>
      <c r="N12" s="2134"/>
      <c r="O12" s="2135"/>
      <c r="P12" s="3304"/>
      <c r="Q12" s="1149">
        <f t="shared" si="6"/>
        <v>111</v>
      </c>
      <c r="R12" s="1567" t="s">
        <v>8</v>
      </c>
      <c r="S12" s="1568">
        <f t="shared" si="0"/>
        <v>100</v>
      </c>
      <c r="T12" s="1567" t="s">
        <v>8</v>
      </c>
      <c r="U12" s="1568">
        <f t="shared" si="1"/>
        <v>100</v>
      </c>
      <c r="V12" s="1567" t="s">
        <v>8</v>
      </c>
      <c r="W12" s="1568">
        <f t="shared" si="2"/>
        <v>100</v>
      </c>
      <c r="X12" s="1569"/>
      <c r="Y12" s="3261"/>
      <c r="Z12" s="1148">
        <f t="shared" si="7"/>
        <v>111</v>
      </c>
      <c r="AA12" s="1570">
        <f>D12/F12</f>
        <v>1</v>
      </c>
      <c r="AB12" s="1570">
        <f>D12/H12</f>
        <v>1</v>
      </c>
      <c r="AC12" s="1570">
        <f>D12/J12</f>
        <v>1</v>
      </c>
    </row>
    <row r="13" spans="1:29" ht="15.75" thickBot="1">
      <c r="A13" s="2882"/>
      <c r="B13" s="2888">
        <v>111</v>
      </c>
      <c r="C13" s="537"/>
      <c r="D13" s="538">
        <v>100</v>
      </c>
      <c r="E13" s="526"/>
      <c r="F13" s="255">
        <f>SUMIF(61:61,E13,62:62)-SUMIF(61:61,C13,62:62)+100</f>
        <v>100</v>
      </c>
      <c r="G13" s="526"/>
      <c r="H13" s="538">
        <f>SUMIF(61:61,G13,62:62)-SUMIF(61:61,C13,62:62)+100</f>
        <v>100</v>
      </c>
      <c r="I13" s="526"/>
      <c r="J13" s="538">
        <f>SUMIF(61:61,I13,62:62)-SUMIF(61:61,C13,62:62)+100</f>
        <v>100</v>
      </c>
      <c r="K13" s="579"/>
      <c r="L13" s="2140"/>
      <c r="M13" s="2132"/>
      <c r="N13" s="2132"/>
      <c r="O13" s="2139"/>
      <c r="P13" s="3304"/>
      <c r="Q13" s="1149">
        <f t="shared" si="6"/>
        <v>111</v>
      </c>
      <c r="R13" s="1567" t="s">
        <v>8</v>
      </c>
      <c r="S13" s="1568">
        <f t="shared" si="0"/>
        <v>100</v>
      </c>
      <c r="T13" s="1567" t="s">
        <v>8</v>
      </c>
      <c r="U13" s="1568">
        <f t="shared" si="1"/>
        <v>100</v>
      </c>
      <c r="V13" s="1567" t="s">
        <v>8</v>
      </c>
      <c r="W13" s="1568">
        <f t="shared" si="2"/>
        <v>100</v>
      </c>
      <c r="X13" s="1569"/>
      <c r="Y13" s="3261"/>
      <c r="Z13" s="1148">
        <f t="shared" si="7"/>
        <v>111</v>
      </c>
      <c r="AA13" s="1570">
        <f t="shared" si="3"/>
        <v>1</v>
      </c>
      <c r="AB13" s="1570">
        <f t="shared" si="4"/>
        <v>1</v>
      </c>
      <c r="AC13" s="1570">
        <f t="shared" si="5"/>
        <v>1</v>
      </c>
    </row>
    <row r="14" spans="1:29" ht="85.5">
      <c r="A14" s="2874" t="s">
        <v>2760</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06" t="s">
        <v>541</v>
      </c>
      <c r="Q14" s="1571" t="str">
        <f t="shared" si="6"/>
        <v>交通便捷度</v>
      </c>
      <c r="R14" s="1572" t="s">
        <v>8</v>
      </c>
      <c r="S14" s="1573">
        <f t="shared" si="0"/>
        <v>100</v>
      </c>
      <c r="T14" s="1572" t="s">
        <v>8</v>
      </c>
      <c r="U14" s="1573">
        <f t="shared" si="1"/>
        <v>100</v>
      </c>
      <c r="V14" s="1572" t="s">
        <v>8</v>
      </c>
      <c r="W14" s="1573">
        <f t="shared" si="2"/>
        <v>100</v>
      </c>
      <c r="X14" s="1566"/>
      <c r="Y14" s="3306" t="s">
        <v>541</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307"/>
      <c r="Q15" s="1571"/>
      <c r="R15" s="1572"/>
      <c r="S15" s="1573"/>
      <c r="T15" s="1572"/>
      <c r="U15" s="1573"/>
      <c r="V15" s="1572"/>
      <c r="W15" s="1573"/>
      <c r="X15" s="1566"/>
      <c r="Y15" s="3307"/>
      <c r="Z15" s="1574"/>
      <c r="AA15" s="1575">
        <v>1</v>
      </c>
      <c r="AB15" s="1575">
        <v>1</v>
      </c>
      <c r="AC15" s="1575">
        <v>1</v>
      </c>
    </row>
    <row r="16" spans="1:29" ht="42.75">
      <c r="A16" s="513"/>
      <c r="B16" s="2622" t="s">
        <v>2550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07"/>
      <c r="Q16" s="1571" t="str">
        <f>B16</f>
        <v>公共配套设施</v>
      </c>
      <c r="R16" s="1572" t="s">
        <v>8</v>
      </c>
      <c r="S16" s="1573">
        <f>F16</f>
        <v>100</v>
      </c>
      <c r="T16" s="1572" t="s">
        <v>8</v>
      </c>
      <c r="U16" s="1573">
        <f>H16</f>
        <v>100</v>
      </c>
      <c r="V16" s="1572" t="s">
        <v>8</v>
      </c>
      <c r="W16" s="1573">
        <f>J16</f>
        <v>100</v>
      </c>
      <c r="X16" s="1566"/>
      <c r="Y16" s="3307"/>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307"/>
      <c r="Q17" s="1571"/>
      <c r="R17" s="1572"/>
      <c r="S17" s="1573"/>
      <c r="T17" s="1572"/>
      <c r="U17" s="1573"/>
      <c r="V17" s="1572"/>
      <c r="W17" s="1573"/>
      <c r="X17" s="1566"/>
      <c r="Y17" s="3307"/>
      <c r="Z17" s="1574"/>
      <c r="AA17" s="1575">
        <v>1</v>
      </c>
      <c r="AB17" s="1575">
        <v>1</v>
      </c>
      <c r="AC17" s="1575">
        <v>1</v>
      </c>
    </row>
    <row r="18" spans="1:29" ht="28.5">
      <c r="A18" s="513"/>
      <c r="B18" s="2610" t="s">
        <v>2562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07"/>
      <c r="Q18" s="2598" t="str">
        <f>B18</f>
        <v>基础设施水平</v>
      </c>
      <c r="R18" s="1572" t="s">
        <v>8</v>
      </c>
      <c r="S18" s="1573">
        <f>F18</f>
        <v>100</v>
      </c>
      <c r="T18" s="1572" t="s">
        <v>8</v>
      </c>
      <c r="U18" s="1573">
        <f>H18</f>
        <v>100</v>
      </c>
      <c r="V18" s="1572" t="s">
        <v>8</v>
      </c>
      <c r="W18" s="1573">
        <f>J18</f>
        <v>100</v>
      </c>
      <c r="X18" s="2600"/>
      <c r="Y18" s="3307"/>
      <c r="Z18" s="2599"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1"/>
      <c r="L19" s="2140"/>
      <c r="M19" s="2132"/>
      <c r="N19" s="2132"/>
      <c r="O19" s="2139"/>
      <c r="P19" s="3307"/>
      <c r="Q19" s="2598"/>
      <c r="R19" s="1572"/>
      <c r="S19" s="1573"/>
      <c r="T19" s="1572"/>
      <c r="U19" s="1573"/>
      <c r="V19" s="1572"/>
      <c r="W19" s="1573"/>
      <c r="X19" s="2600"/>
      <c r="Y19" s="3307"/>
      <c r="Z19" s="2599"/>
      <c r="AA19" s="1575">
        <v>1</v>
      </c>
      <c r="AB19" s="1575">
        <v>1</v>
      </c>
      <c r="AC19" s="1575">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07"/>
      <c r="Q20" s="1571" t="str">
        <f>B20</f>
        <v>自然及人文环境</v>
      </c>
      <c r="R20" s="1572" t="s">
        <v>8</v>
      </c>
      <c r="S20" s="1573">
        <f>F20</f>
        <v>100</v>
      </c>
      <c r="T20" s="1572" t="s">
        <v>8</v>
      </c>
      <c r="U20" s="1573">
        <f>H20</f>
        <v>100</v>
      </c>
      <c r="V20" s="1572" t="s">
        <v>8</v>
      </c>
      <c r="W20" s="1573">
        <f>J20</f>
        <v>100</v>
      </c>
      <c r="X20" s="1566"/>
      <c r="Y20" s="3307"/>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307"/>
      <c r="Q21" s="1571"/>
      <c r="R21" s="1572"/>
      <c r="S21" s="1573"/>
      <c r="T21" s="1572"/>
      <c r="U21" s="1573"/>
      <c r="V21" s="1572"/>
      <c r="W21" s="1573"/>
      <c r="X21" s="1566"/>
      <c r="Y21" s="3307"/>
      <c r="Z21" s="1574"/>
      <c r="AA21" s="1575">
        <v>1</v>
      </c>
      <c r="AB21" s="1575">
        <v>1</v>
      </c>
      <c r="AC21" s="1575">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07"/>
      <c r="Q22" s="1571" t="str">
        <f>B22</f>
        <v>楼层</v>
      </c>
      <c r="R22" s="1572" t="s">
        <v>8</v>
      </c>
      <c r="S22" s="1573">
        <f>F22</f>
        <v>100</v>
      </c>
      <c r="T22" s="1572" t="s">
        <v>8</v>
      </c>
      <c r="U22" s="1573">
        <f>H22</f>
        <v>100</v>
      </c>
      <c r="V22" s="1572" t="s">
        <v>8</v>
      </c>
      <c r="W22" s="1573">
        <f>J22</f>
        <v>100</v>
      </c>
      <c r="X22" s="1566"/>
      <c r="Y22" s="3307"/>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07"/>
      <c r="Q23" s="1571">
        <f>B23</f>
        <v>111</v>
      </c>
      <c r="R23" s="1572" t="s">
        <v>8</v>
      </c>
      <c r="S23" s="1573">
        <f>F23</f>
        <v>100</v>
      </c>
      <c r="T23" s="1572" t="s">
        <v>8</v>
      </c>
      <c r="U23" s="1573">
        <f>H23</f>
        <v>100</v>
      </c>
      <c r="V23" s="1572" t="s">
        <v>8</v>
      </c>
      <c r="W23" s="1573">
        <f>J23</f>
        <v>100</v>
      </c>
      <c r="X23" s="1566"/>
      <c r="Y23" s="3307"/>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07"/>
      <c r="Q24" s="1571">
        <f t="shared" ref="Q24:Q36" si="11">B24</f>
        <v>111</v>
      </c>
      <c r="R24" s="1572" t="s">
        <v>8</v>
      </c>
      <c r="S24" s="1573">
        <f>F24</f>
        <v>100</v>
      </c>
      <c r="T24" s="1572" t="s">
        <v>8</v>
      </c>
      <c r="U24" s="1573">
        <f>H24</f>
        <v>100</v>
      </c>
      <c r="V24" s="1572" t="s">
        <v>8</v>
      </c>
      <c r="W24" s="1573">
        <f>J24</f>
        <v>100</v>
      </c>
      <c r="X24" s="1566"/>
      <c r="Y24" s="3307"/>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07"/>
      <c r="Q25" s="1149">
        <f t="shared" si="11"/>
        <v>111</v>
      </c>
      <c r="R25" s="1567" t="s">
        <v>8</v>
      </c>
      <c r="S25" s="1568">
        <f>F25</f>
        <v>100</v>
      </c>
      <c r="T25" s="1567" t="s">
        <v>8</v>
      </c>
      <c r="U25" s="1568">
        <f>H25</f>
        <v>100</v>
      </c>
      <c r="V25" s="1567" t="s">
        <v>8</v>
      </c>
      <c r="W25" s="1568">
        <f>J25</f>
        <v>100</v>
      </c>
      <c r="X25" s="1569"/>
      <c r="Y25" s="3307"/>
      <c r="Z25" s="1148">
        <f>Q25</f>
        <v>111</v>
      </c>
      <c r="AA25" s="1575">
        <f>D25/F25</f>
        <v>1</v>
      </c>
      <c r="AB25" s="1575">
        <f>D25/H25</f>
        <v>1</v>
      </c>
      <c r="AC25" s="1575">
        <f>D25/J25</f>
        <v>1</v>
      </c>
    </row>
    <row r="26" spans="1:29" ht="15">
      <c r="A26" s="2871" t="s">
        <v>2761</v>
      </c>
      <c r="B26" s="170" t="s">
        <v>807</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08"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09" t="s">
        <v>551</v>
      </c>
      <c r="Z26" s="1574" t="str">
        <f t="shared" ref="Z26:Z36" si="15">Q26</f>
        <v>配套类型</v>
      </c>
      <c r="AA26" s="1575">
        <f t="shared" si="3"/>
        <v>1</v>
      </c>
      <c r="AB26" s="1575">
        <f t="shared" si="4"/>
        <v>1</v>
      </c>
      <c r="AC26" s="1575">
        <f t="shared" si="5"/>
        <v>1</v>
      </c>
    </row>
    <row r="27" spans="1:29" s="1337" customFormat="1" ht="15">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09"/>
      <c r="Q27" s="1604" t="str">
        <f t="shared" si="11"/>
        <v>项目停车位配比</v>
      </c>
      <c r="R27" s="1576" t="s">
        <v>8</v>
      </c>
      <c r="S27" s="1577">
        <f t="shared" si="12"/>
        <v>100</v>
      </c>
      <c r="T27" s="1576" t="s">
        <v>8</v>
      </c>
      <c r="U27" s="1577">
        <f t="shared" si="13"/>
        <v>100</v>
      </c>
      <c r="V27" s="1576" t="s">
        <v>8</v>
      </c>
      <c r="W27" s="1577">
        <f t="shared" si="14"/>
        <v>100</v>
      </c>
      <c r="X27" s="1578"/>
      <c r="Y27" s="3309"/>
      <c r="Z27" s="1579" t="str">
        <f t="shared" si="15"/>
        <v>项目停车位配比</v>
      </c>
      <c r="AA27" s="1575">
        <f t="shared" si="3"/>
        <v>1</v>
      </c>
      <c r="AB27" s="1575">
        <f t="shared" si="4"/>
        <v>1</v>
      </c>
      <c r="AC27" s="1575">
        <f t="shared" si="5"/>
        <v>1</v>
      </c>
    </row>
    <row r="28" spans="1:29" ht="15">
      <c r="A28" s="929"/>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09"/>
      <c r="Q28" s="1571" t="str">
        <f t="shared" si="11"/>
        <v>公共部分装修</v>
      </c>
      <c r="R28" s="1572" t="s">
        <v>8</v>
      </c>
      <c r="S28" s="1573">
        <f t="shared" si="12"/>
        <v>100</v>
      </c>
      <c r="T28" s="1572" t="s">
        <v>8</v>
      </c>
      <c r="U28" s="1573">
        <f t="shared" si="13"/>
        <v>100</v>
      </c>
      <c r="V28" s="1572" t="s">
        <v>8</v>
      </c>
      <c r="W28" s="1573">
        <f t="shared" si="14"/>
        <v>100</v>
      </c>
      <c r="X28" s="1566"/>
      <c r="Y28" s="3309"/>
      <c r="Z28" s="1574" t="str">
        <f t="shared" si="15"/>
        <v>公共部分装修</v>
      </c>
      <c r="AA28" s="1575">
        <f t="shared" si="3"/>
        <v>1</v>
      </c>
      <c r="AB28" s="1575">
        <f t="shared" si="4"/>
        <v>1</v>
      </c>
      <c r="AC28" s="1575">
        <f t="shared" si="5"/>
        <v>1</v>
      </c>
    </row>
    <row r="29" spans="1:29" ht="15">
      <c r="A29" s="929"/>
      <c r="B29" s="580" t="s">
        <v>810</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09"/>
      <c r="Q29" s="1571" t="str">
        <f t="shared" si="11"/>
        <v>成新率</v>
      </c>
      <c r="R29" s="1572" t="s">
        <v>8</v>
      </c>
      <c r="S29" s="1573" t="e">
        <f t="shared" si="12"/>
        <v>#N/A</v>
      </c>
      <c r="T29" s="1572" t="s">
        <v>8</v>
      </c>
      <c r="U29" s="1573" t="e">
        <f t="shared" si="13"/>
        <v>#N/A</v>
      </c>
      <c r="V29" s="1572" t="s">
        <v>8</v>
      </c>
      <c r="W29" s="1573" t="e">
        <f t="shared" si="14"/>
        <v>#N/A</v>
      </c>
      <c r="X29" s="1566"/>
      <c r="Y29" s="3309"/>
      <c r="Z29" s="1574" t="str">
        <f t="shared" si="15"/>
        <v>成新率</v>
      </c>
      <c r="AA29" s="1575" t="e">
        <f t="shared" si="3"/>
        <v>#N/A</v>
      </c>
      <c r="AB29" s="1575" t="e">
        <f t="shared" si="4"/>
        <v>#N/A</v>
      </c>
      <c r="AC29" s="1575" t="e">
        <f t="shared" si="5"/>
        <v>#N/A</v>
      </c>
    </row>
    <row r="30" spans="1:29" ht="15">
      <c r="A30" s="929"/>
      <c r="B30" s="580" t="s">
        <v>811</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09"/>
      <c r="Q30" s="1571" t="str">
        <f t="shared" si="11"/>
        <v>物业等级</v>
      </c>
      <c r="R30" s="1572" t="s">
        <v>8</v>
      </c>
      <c r="S30" s="1573">
        <f t="shared" si="12"/>
        <v>100</v>
      </c>
      <c r="T30" s="1572" t="s">
        <v>8</v>
      </c>
      <c r="U30" s="1573">
        <f t="shared" si="13"/>
        <v>100</v>
      </c>
      <c r="V30" s="1572" t="s">
        <v>8</v>
      </c>
      <c r="W30" s="1573">
        <f t="shared" si="14"/>
        <v>100</v>
      </c>
      <c r="X30" s="1566"/>
      <c r="Y30" s="3309"/>
      <c r="Z30" s="1574" t="str">
        <f t="shared" si="15"/>
        <v>物业等级</v>
      </c>
      <c r="AA30" s="1575">
        <f t="shared" si="3"/>
        <v>1</v>
      </c>
      <c r="AB30" s="1575">
        <f t="shared" si="4"/>
        <v>1</v>
      </c>
      <c r="AC30" s="1575">
        <f t="shared" si="5"/>
        <v>1</v>
      </c>
    </row>
    <row r="31" spans="1:29" s="1218" customFormat="1" ht="15">
      <c r="A31" s="931"/>
      <c r="B31" s="580" t="s">
        <v>812</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09"/>
      <c r="Q31" s="1149" t="str">
        <f t="shared" si="11"/>
        <v>停车位面积</v>
      </c>
      <c r="R31" s="1567" t="s">
        <v>8</v>
      </c>
      <c r="S31" s="1568" t="e">
        <f t="shared" si="12"/>
        <v>#N/A</v>
      </c>
      <c r="T31" s="1567" t="s">
        <v>8</v>
      </c>
      <c r="U31" s="1568" t="e">
        <f t="shared" si="13"/>
        <v>#N/A</v>
      </c>
      <c r="V31" s="1567" t="s">
        <v>8</v>
      </c>
      <c r="W31" s="1568" t="e">
        <f t="shared" si="14"/>
        <v>#N/A</v>
      </c>
      <c r="X31" s="1569"/>
      <c r="Y31" s="3309"/>
      <c r="Z31" s="1148" t="str">
        <f t="shared" si="15"/>
        <v>停车位面积</v>
      </c>
      <c r="AA31" s="1570" t="e">
        <f t="shared" si="3"/>
        <v>#N/A</v>
      </c>
      <c r="AB31" s="1570" t="e">
        <f t="shared" si="4"/>
        <v>#N/A</v>
      </c>
      <c r="AC31" s="1570" t="e">
        <f t="shared" si="5"/>
        <v>#N/A</v>
      </c>
    </row>
    <row r="32" spans="1:29" ht="15">
      <c r="A32" s="929"/>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09" t="s">
        <v>551</v>
      </c>
      <c r="Q32" s="1571" t="str">
        <f t="shared" si="11"/>
        <v>车位类型</v>
      </c>
      <c r="R32" s="1572" t="s">
        <v>8</v>
      </c>
      <c r="S32" s="1573">
        <f t="shared" si="12"/>
        <v>100</v>
      </c>
      <c r="T32" s="1572" t="s">
        <v>8</v>
      </c>
      <c r="U32" s="1573">
        <f t="shared" si="13"/>
        <v>100</v>
      </c>
      <c r="V32" s="1572" t="s">
        <v>8</v>
      </c>
      <c r="W32" s="1573">
        <f t="shared" si="14"/>
        <v>100</v>
      </c>
      <c r="X32" s="1566"/>
      <c r="Y32" s="3309" t="s">
        <v>551</v>
      </c>
      <c r="Z32" s="1574" t="str">
        <f t="shared" si="15"/>
        <v>车位类型</v>
      </c>
      <c r="AA32" s="1575">
        <f t="shared" si="3"/>
        <v>1</v>
      </c>
      <c r="AB32" s="1575">
        <f t="shared" si="4"/>
        <v>1</v>
      </c>
      <c r="AC32" s="1575">
        <f t="shared" si="5"/>
        <v>1</v>
      </c>
    </row>
    <row r="33" spans="1:29" ht="15">
      <c r="A33" s="929"/>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09"/>
      <c r="Q33" s="1571" t="str">
        <f t="shared" si="11"/>
        <v>是否直接入户</v>
      </c>
      <c r="R33" s="1572" t="s">
        <v>8</v>
      </c>
      <c r="S33" s="1573">
        <f t="shared" si="12"/>
        <v>100</v>
      </c>
      <c r="T33" s="1572" t="s">
        <v>8</v>
      </c>
      <c r="U33" s="1573">
        <f t="shared" si="13"/>
        <v>100</v>
      </c>
      <c r="V33" s="1572" t="s">
        <v>8</v>
      </c>
      <c r="W33" s="1573">
        <f t="shared" si="14"/>
        <v>100</v>
      </c>
      <c r="X33" s="1566"/>
      <c r="Y33" s="3309"/>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09"/>
      <c r="Q34" s="1571">
        <f t="shared" si="11"/>
        <v>111</v>
      </c>
      <c r="R34" s="1572" t="s">
        <v>8</v>
      </c>
      <c r="S34" s="1573">
        <f t="shared" si="12"/>
        <v>100</v>
      </c>
      <c r="T34" s="1572" t="s">
        <v>8</v>
      </c>
      <c r="U34" s="1573">
        <f t="shared" si="13"/>
        <v>100</v>
      </c>
      <c r="V34" s="1572" t="s">
        <v>8</v>
      </c>
      <c r="W34" s="1573">
        <f t="shared" si="14"/>
        <v>100</v>
      </c>
      <c r="X34" s="1566"/>
      <c r="Y34" s="3309"/>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09"/>
      <c r="Q35" s="1604">
        <f t="shared" si="11"/>
        <v>111</v>
      </c>
      <c r="R35" s="1576" t="s">
        <v>8</v>
      </c>
      <c r="S35" s="1577">
        <f t="shared" si="12"/>
        <v>100</v>
      </c>
      <c r="T35" s="1576" t="s">
        <v>8</v>
      </c>
      <c r="U35" s="1577">
        <f t="shared" si="13"/>
        <v>100</v>
      </c>
      <c r="V35" s="1576" t="s">
        <v>8</v>
      </c>
      <c r="W35" s="1577">
        <f t="shared" si="14"/>
        <v>100</v>
      </c>
      <c r="X35" s="1578"/>
      <c r="Y35" s="3309"/>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09"/>
      <c r="Q36" s="1571">
        <f t="shared" si="11"/>
        <v>111</v>
      </c>
      <c r="R36" s="1572" t="s">
        <v>8</v>
      </c>
      <c r="S36" s="1573">
        <f t="shared" si="12"/>
        <v>100</v>
      </c>
      <c r="T36" s="1572" t="s">
        <v>8</v>
      </c>
      <c r="U36" s="1573">
        <f t="shared" si="13"/>
        <v>100</v>
      </c>
      <c r="V36" s="1572" t="s">
        <v>8</v>
      </c>
      <c r="W36" s="1573">
        <f t="shared" si="14"/>
        <v>100</v>
      </c>
      <c r="X36" s="1566"/>
      <c r="Y36" s="3309"/>
      <c r="Z36" s="1574">
        <f t="shared" si="15"/>
        <v>111</v>
      </c>
      <c r="AA36" s="1575">
        <f t="shared" si="3"/>
        <v>1</v>
      </c>
      <c r="AB36" s="1575">
        <f t="shared" si="4"/>
        <v>1</v>
      </c>
      <c r="AC36" s="1575">
        <f t="shared" si="5"/>
        <v>1</v>
      </c>
    </row>
    <row r="37" spans="1:29" ht="15">
      <c r="A37" s="1844" t="s">
        <v>2079</v>
      </c>
      <c r="B37" s="1845" t="s">
        <v>2080</v>
      </c>
      <c r="C37" s="2646" t="s">
        <v>1</v>
      </c>
      <c r="D37" s="2647"/>
      <c r="E37" s="2648"/>
      <c r="F37" s="2649"/>
      <c r="G37" s="2650"/>
      <c r="H37" s="2651"/>
      <c r="I37" s="2648"/>
      <c r="J37" s="2651"/>
      <c r="K37" s="1610"/>
      <c r="L37" s="2142"/>
      <c r="M37" s="2143"/>
      <c r="N37" s="2132"/>
      <c r="O37" s="2143"/>
      <c r="P37" s="3304" t="str">
        <f>A37</f>
        <v>成交单价</v>
      </c>
      <c r="Q37" s="3304"/>
      <c r="R37" s="3406">
        <f>E37</f>
        <v>0</v>
      </c>
      <c r="S37" s="3406"/>
      <c r="T37" s="3406">
        <f>G37</f>
        <v>0</v>
      </c>
      <c r="U37" s="3406"/>
      <c r="V37" s="3406">
        <f>I37</f>
        <v>0</v>
      </c>
      <c r="W37" s="3406"/>
      <c r="X37" s="1558"/>
      <c r="Y37" s="1580"/>
      <c r="Z37" s="1558"/>
      <c r="AA37" s="1558"/>
      <c r="AB37" s="1558"/>
      <c r="AC37" s="1558"/>
    </row>
    <row r="38" spans="1:29" ht="15.75" thickBot="1">
      <c r="A38" s="613" t="s">
        <v>2766</v>
      </c>
      <c r="B38" s="886"/>
      <c r="C38" s="2652" t="e">
        <f>R39</f>
        <v>#DIV/0!</v>
      </c>
      <c r="D38" s="2653"/>
      <c r="E38" s="2654" t="e">
        <f>R38</f>
        <v>#DIV/0!</v>
      </c>
      <c r="F38" s="2654"/>
      <c r="G38" s="2652" t="e">
        <f>T38</f>
        <v>#DIV/0!</v>
      </c>
      <c r="H38" s="2653"/>
      <c r="I38" s="2654" t="e">
        <f>V38</f>
        <v>#DIV/0!</v>
      </c>
      <c r="J38" s="2653"/>
      <c r="K38" s="1611"/>
      <c r="L38" s="2142"/>
      <c r="M38" s="2143"/>
      <c r="N38" s="2143"/>
      <c r="O38" s="2143"/>
      <c r="P38" s="3304" t="str">
        <f>A38</f>
        <v>比较价格（元/平方米）</v>
      </c>
      <c r="Q38" s="3304"/>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1558"/>
      <c r="Y38" s="1558"/>
      <c r="Z38" s="1558"/>
      <c r="AA38" s="1558"/>
      <c r="AB38" s="1558"/>
      <c r="AC38" s="1558"/>
    </row>
    <row r="39" spans="1:29" ht="15.75" thickBot="1">
      <c r="A39" s="619" t="s">
        <v>2938</v>
      </c>
      <c r="B39" s="620"/>
      <c r="C39" s="2655" t="e">
        <f>R39</f>
        <v>#DIV/0!</v>
      </c>
      <c r="D39" s="2655"/>
      <c r="E39" s="2655"/>
      <c r="F39" s="2655"/>
      <c r="G39" s="2655"/>
      <c r="H39" s="2655"/>
      <c r="I39" s="2655"/>
      <c r="J39" s="2655"/>
      <c r="K39" s="1612"/>
      <c r="L39" s="2142"/>
      <c r="M39" s="2143"/>
      <c r="N39" s="2143"/>
      <c r="O39" s="2143"/>
      <c r="P39" s="3327" t="str">
        <f>A39</f>
        <v>估价对象XX用房的比较价格（楼面单价，元/平方米）</v>
      </c>
      <c r="Q39" s="3328"/>
      <c r="R39" s="3405" t="e">
        <f>IF(F1="售价",ROUND(AVERAGE(R38:V38),0),ROUND(AVERAGE(R38:V38),1))</f>
        <v>#DIV/0!</v>
      </c>
      <c r="S39" s="3405"/>
      <c r="T39" s="3405"/>
      <c r="U39" s="3405"/>
      <c r="V39" s="3405"/>
      <c r="W39" s="3405"/>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575</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530</v>
      </c>
      <c r="B48" s="644"/>
      <c r="C48" s="2823" t="str">
        <f>YEAR(C7)&amp;"-"&amp;MONTH(C7)</f>
        <v>2017-11</v>
      </c>
      <c r="D48" s="2825">
        <f>EDATE(C48,-1)</f>
        <v>43009</v>
      </c>
      <c r="E48" s="2825">
        <f t="shared" ref="E48:O48" si="16">EDATE(D48,-1)</f>
        <v>42979</v>
      </c>
      <c r="F48" s="2825">
        <f t="shared" si="16"/>
        <v>42948</v>
      </c>
      <c r="G48" s="2825">
        <f t="shared" si="16"/>
        <v>42917</v>
      </c>
      <c r="H48" s="2825">
        <f t="shared" si="16"/>
        <v>42887</v>
      </c>
      <c r="I48" s="2825">
        <f t="shared" si="16"/>
        <v>42856</v>
      </c>
      <c r="J48" s="2825">
        <f t="shared" si="16"/>
        <v>42826</v>
      </c>
      <c r="K48" s="2825">
        <f t="shared" si="16"/>
        <v>42795</v>
      </c>
      <c r="L48" s="2825">
        <f t="shared" si="16"/>
        <v>42767</v>
      </c>
      <c r="M48" s="2825">
        <f t="shared" si="16"/>
        <v>42736</v>
      </c>
      <c r="N48" s="2825">
        <f t="shared" si="16"/>
        <v>42705</v>
      </c>
      <c r="O48" s="2825">
        <f t="shared" si="16"/>
        <v>42675</v>
      </c>
      <c r="P48" s="2158"/>
      <c r="Q48" s="2159"/>
      <c r="R48" s="2159"/>
      <c r="S48" s="2159"/>
      <c r="T48" s="2159"/>
      <c r="U48" s="2159"/>
      <c r="V48" s="2159"/>
      <c r="W48" s="2159"/>
      <c r="X48" s="2159"/>
      <c r="Y48" s="2159"/>
      <c r="Z48" s="2159"/>
      <c r="AA48" s="2159"/>
      <c r="AB48" s="2159"/>
      <c r="AC48" s="2159"/>
    </row>
    <row r="49" spans="1:29" s="1218" customFormat="1" ht="15">
      <c r="A49" s="645"/>
      <c r="B49" s="646"/>
      <c r="C49" s="2824">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576</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532</v>
      </c>
      <c r="B51" s="646"/>
      <c r="C51" s="658" t="s">
        <v>577</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578</v>
      </c>
      <c r="B53" s="663" t="s">
        <v>535</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2561</v>
      </c>
      <c r="C65" s="706" t="s">
        <v>580</v>
      </c>
      <c r="D65" s="706" t="s">
        <v>581</v>
      </c>
      <c r="E65" s="706" t="s">
        <v>582</v>
      </c>
      <c r="F65" s="706" t="s">
        <v>583</v>
      </c>
      <c r="G65" s="706" t="s">
        <v>584</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6" t="s">
        <v>2562</v>
      </c>
      <c r="C67" s="2617" t="s">
        <v>2563</v>
      </c>
      <c r="D67" s="2617" t="s">
        <v>2564</v>
      </c>
      <c r="E67" s="2617" t="s">
        <v>2565</v>
      </c>
      <c r="F67" s="2617" t="s">
        <v>2566</v>
      </c>
      <c r="G67" s="2617" t="s">
        <v>2567</v>
      </c>
      <c r="H67" s="672"/>
      <c r="I67" s="672"/>
      <c r="J67" s="672"/>
      <c r="K67" s="672"/>
      <c r="L67" s="672"/>
      <c r="M67" s="2620"/>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706" t="s">
        <v>580</v>
      </c>
      <c r="D69" s="706" t="s">
        <v>581</v>
      </c>
      <c r="E69" s="706" t="s">
        <v>582</v>
      </c>
      <c r="F69" s="706" t="s">
        <v>583</v>
      </c>
      <c r="G69" s="706" t="s">
        <v>584</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746</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552</v>
      </c>
      <c r="B79" s="663" t="s">
        <v>815</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816</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752</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820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821</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C37</f>
        <v>#DIV/0!</v>
      </c>
      <c r="C3" s="850" t="s">
        <v>797</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310" t="s">
        <v>799</v>
      </c>
      <c r="D4" s="3311"/>
      <c r="E4" s="3336" t="s">
        <v>800</v>
      </c>
      <c r="F4" s="3337"/>
      <c r="G4" s="3310" t="s">
        <v>801</v>
      </c>
      <c r="H4" s="3311"/>
      <c r="I4" s="3310" t="s">
        <v>802</v>
      </c>
      <c r="J4" s="3311"/>
      <c r="K4" s="512" t="s">
        <v>803</v>
      </c>
      <c r="L4" s="2131"/>
      <c r="M4" s="2132"/>
      <c r="N4" s="2132"/>
      <c r="O4" s="2132"/>
      <c r="P4" s="3312" t="s">
        <v>804</v>
      </c>
      <c r="Q4" s="3313"/>
      <c r="R4" s="3298" t="s">
        <v>800</v>
      </c>
      <c r="S4" s="3299"/>
      <c r="T4" s="3298" t="s">
        <v>801</v>
      </c>
      <c r="U4" s="3299"/>
      <c r="V4" s="3318" t="s">
        <v>802</v>
      </c>
      <c r="W4" s="3318"/>
      <c r="X4" s="1566"/>
      <c r="Y4" s="3298" t="s">
        <v>804</v>
      </c>
      <c r="Z4" s="3299"/>
      <c r="AA4" s="3293" t="s">
        <v>800</v>
      </c>
      <c r="AB4" s="3294" t="s">
        <v>801</v>
      </c>
      <c r="AC4" s="3293" t="s">
        <v>802</v>
      </c>
    </row>
    <row r="5" spans="1:29" ht="15">
      <c r="A5" s="513"/>
      <c r="B5" s="514"/>
      <c r="C5" s="3323" t="s">
        <v>2932</v>
      </c>
      <c r="D5" s="3322"/>
      <c r="E5" s="3338" t="s">
        <v>2933</v>
      </c>
      <c r="F5" s="3339"/>
      <c r="G5" s="3323" t="s">
        <v>2934</v>
      </c>
      <c r="H5" s="3322"/>
      <c r="I5" s="3323" t="s">
        <v>2935</v>
      </c>
      <c r="J5" s="3322"/>
      <c r="K5" s="512"/>
      <c r="L5" s="2131"/>
      <c r="M5" s="2132"/>
      <c r="N5" s="2132"/>
      <c r="O5" s="2132"/>
      <c r="P5" s="3314"/>
      <c r="Q5" s="3315"/>
      <c r="R5" s="3300"/>
      <c r="S5" s="3301"/>
      <c r="T5" s="3300"/>
      <c r="U5" s="3301"/>
      <c r="V5" s="3318"/>
      <c r="W5" s="3318"/>
      <c r="X5" s="1566"/>
      <c r="Y5" s="3300"/>
      <c r="Z5" s="3301"/>
      <c r="AA5" s="3294"/>
      <c r="AB5" s="3294"/>
      <c r="AC5" s="3294"/>
    </row>
    <row r="6" spans="1:29" ht="15.75" thickBot="1">
      <c r="A6" s="515"/>
      <c r="B6" s="516"/>
      <c r="C6" s="3340" t="s">
        <v>2936</v>
      </c>
      <c r="D6" s="3320"/>
      <c r="E6" s="3341" t="s">
        <v>2936</v>
      </c>
      <c r="F6" s="3342"/>
      <c r="G6" s="3340" t="s">
        <v>2936</v>
      </c>
      <c r="H6" s="3320"/>
      <c r="I6" s="3340" t="s">
        <v>2936</v>
      </c>
      <c r="J6" s="3320"/>
      <c r="K6" s="512" t="s">
        <v>529</v>
      </c>
      <c r="L6" s="2131"/>
      <c r="M6" s="2132"/>
      <c r="N6" s="2132"/>
      <c r="O6" s="2132"/>
      <c r="P6" s="3316"/>
      <c r="Q6" s="3317"/>
      <c r="R6" s="3300"/>
      <c r="S6" s="3301"/>
      <c r="T6" s="3302"/>
      <c r="U6" s="3303"/>
      <c r="V6" s="3318"/>
      <c r="W6" s="3318"/>
      <c r="X6" s="1566"/>
      <c r="Y6" s="3302"/>
      <c r="Z6" s="3303"/>
      <c r="AA6" s="3295"/>
      <c r="AB6" s="3295"/>
      <c r="AC6" s="3295"/>
    </row>
    <row r="7" spans="1:29" s="1218" customFormat="1" ht="15.75" thickBot="1">
      <c r="A7" s="2876"/>
      <c r="B7" s="2883" t="s">
        <v>530</v>
      </c>
      <c r="C7" s="517">
        <f>'数据-取费表'!B2</f>
        <v>43061</v>
      </c>
      <c r="D7" s="518">
        <v>100</v>
      </c>
      <c r="E7" s="519"/>
      <c r="F7" s="520">
        <f>SUMIF(46:46,YEAR(E7)&amp;"-"&amp;MONTH(E7),47:47)</f>
        <v>0</v>
      </c>
      <c r="G7" s="521"/>
      <c r="H7" s="518">
        <f>SUMIF(46:46,YEAR(G7)&amp;"-"&amp;MONTH(G7),47:47)</f>
        <v>0</v>
      </c>
      <c r="I7" s="521"/>
      <c r="J7" s="518">
        <f>SUMIF(46:46,YEAR(I7)&amp;"-"&amp;MONTH(I7),47:47)</f>
        <v>0</v>
      </c>
      <c r="K7" s="522"/>
      <c r="L7" s="2133"/>
      <c r="M7" s="2134"/>
      <c r="N7" s="2134"/>
      <c r="O7" s="2134"/>
      <c r="P7" s="3296" t="s">
        <v>531</v>
      </c>
      <c r="Q7" s="3305"/>
      <c r="R7" s="1567" t="s">
        <v>8</v>
      </c>
      <c r="S7" s="1568">
        <f t="shared" ref="S7:S14" si="0">F7</f>
        <v>0</v>
      </c>
      <c r="T7" s="1567" t="s">
        <v>8</v>
      </c>
      <c r="U7" s="1568">
        <f t="shared" ref="U7:U14" si="1">H7</f>
        <v>0</v>
      </c>
      <c r="V7" s="1567" t="s">
        <v>8</v>
      </c>
      <c r="W7" s="1568">
        <f t="shared" ref="W7:W14" si="2">J7</f>
        <v>0</v>
      </c>
      <c r="X7" s="1569"/>
      <c r="Y7" s="3296" t="s">
        <v>531</v>
      </c>
      <c r="Z7" s="3297"/>
      <c r="AA7" s="1570" t="e">
        <f>D7/F7</f>
        <v>#DIV/0!</v>
      </c>
      <c r="AB7" s="1570" t="e">
        <f>D7/H7</f>
        <v>#DIV/0!</v>
      </c>
      <c r="AC7" s="1570" t="e">
        <f>D7/J7</f>
        <v>#DIV/0!</v>
      </c>
    </row>
    <row r="8" spans="1:29" s="1218" customFormat="1" ht="15.75" thickBot="1">
      <c r="A8" s="2877"/>
      <c r="B8" s="2884" t="s">
        <v>532</v>
      </c>
      <c r="C8" s="523" t="s">
        <v>577</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296" t="s">
        <v>534</v>
      </c>
      <c r="Q8" s="3297"/>
      <c r="R8" s="1567" t="s">
        <v>8</v>
      </c>
      <c r="S8" s="1568">
        <f t="shared" si="0"/>
        <v>0</v>
      </c>
      <c r="T8" s="1567" t="s">
        <v>8</v>
      </c>
      <c r="U8" s="1568">
        <f t="shared" si="1"/>
        <v>0</v>
      </c>
      <c r="V8" s="1567" t="s">
        <v>8</v>
      </c>
      <c r="W8" s="1568">
        <f t="shared" si="2"/>
        <v>0</v>
      </c>
      <c r="X8" s="1569"/>
      <c r="Y8" s="3296" t="s">
        <v>534</v>
      </c>
      <c r="Z8" s="3297"/>
      <c r="AA8" s="1570" t="e">
        <f t="shared" ref="AA8:AA34" si="3">D8/F8</f>
        <v>#DIV/0!</v>
      </c>
      <c r="AB8" s="1570" t="e">
        <f t="shared" ref="AB8:AB34" si="4">D8/H8</f>
        <v>#DIV/0!</v>
      </c>
      <c r="AC8" s="1570" t="e">
        <f t="shared" ref="AC8:AC34" si="5">D8/J8</f>
        <v>#DIV/0!</v>
      </c>
    </row>
    <row r="9" spans="1:29" s="1218" customFormat="1" ht="15">
      <c r="A9" s="2878"/>
      <c r="B9" s="2885" t="s">
        <v>2762</v>
      </c>
      <c r="C9" s="855"/>
      <c r="D9" s="254">
        <v>100</v>
      </c>
      <c r="E9" s="858"/>
      <c r="F9" s="254">
        <f>SUMIF(51:51,E9,52:52)-SUMIF(51:51,C9,52:52)+100</f>
        <v>100</v>
      </c>
      <c r="G9" s="858"/>
      <c r="H9" s="254">
        <f>SUMIF(51:51,G9,52:52)-SUMIF(51:51,C9,52:52)+100</f>
        <v>100</v>
      </c>
      <c r="I9" s="858"/>
      <c r="J9" s="254">
        <f>SUMIF(51:51,I9,52:52)-SUMIF(51:51,C9,52:52)+100</f>
        <v>100</v>
      </c>
      <c r="K9" s="522"/>
      <c r="L9" s="2133"/>
      <c r="M9" s="2134"/>
      <c r="N9" s="2134"/>
      <c r="O9" s="2135"/>
      <c r="P9" s="3304" t="s">
        <v>536</v>
      </c>
      <c r="Q9" s="1149" t="str">
        <f t="shared" ref="Q9:Q14" si="6">B9</f>
        <v>用途</v>
      </c>
      <c r="R9" s="1567" t="s">
        <v>8</v>
      </c>
      <c r="S9" s="1568">
        <f t="shared" si="0"/>
        <v>100</v>
      </c>
      <c r="T9" s="1567" t="s">
        <v>8</v>
      </c>
      <c r="U9" s="1568">
        <f t="shared" si="1"/>
        <v>100</v>
      </c>
      <c r="V9" s="1567" t="s">
        <v>8</v>
      </c>
      <c r="W9" s="1568">
        <f t="shared" si="2"/>
        <v>100</v>
      </c>
      <c r="X9" s="1569"/>
      <c r="Y9" s="3261"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304"/>
      <c r="Q10" s="1149" t="str">
        <f t="shared" si="6"/>
        <v>土地使用年限（年）</v>
      </c>
      <c r="R10" s="1567" t="s">
        <v>8</v>
      </c>
      <c r="S10" s="1568">
        <f t="shared" si="0"/>
        <v>100</v>
      </c>
      <c r="T10" s="1567" t="s">
        <v>8</v>
      </c>
      <c r="U10" s="1568">
        <f t="shared" si="1"/>
        <v>100</v>
      </c>
      <c r="V10" s="1567" t="s">
        <v>8</v>
      </c>
      <c r="W10" s="1568">
        <f t="shared" si="2"/>
        <v>100</v>
      </c>
      <c r="X10" s="1569"/>
      <c r="Y10" s="3261"/>
      <c r="Z10" s="1148" t="str">
        <f t="shared" si="7"/>
        <v>土地使用年限（年）</v>
      </c>
      <c r="AA10" s="1570">
        <f t="shared" si="3"/>
        <v>1</v>
      </c>
      <c r="AB10" s="1570">
        <f t="shared" si="4"/>
        <v>1</v>
      </c>
      <c r="AC10" s="1570">
        <f t="shared" si="5"/>
        <v>1</v>
      </c>
    </row>
    <row r="11" spans="1:29" ht="15">
      <c r="A11" s="2881"/>
      <c r="B11" s="2887">
        <v>111</v>
      </c>
      <c r="C11" s="526"/>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304"/>
      <c r="Q11" s="1149">
        <f t="shared" si="6"/>
        <v>111</v>
      </c>
      <c r="R11" s="1567" t="s">
        <v>8</v>
      </c>
      <c r="S11" s="1568">
        <f t="shared" si="0"/>
        <v>100</v>
      </c>
      <c r="T11" s="1567" t="s">
        <v>8</v>
      </c>
      <c r="U11" s="1568">
        <f t="shared" si="1"/>
        <v>100</v>
      </c>
      <c r="V11" s="1567" t="s">
        <v>8</v>
      </c>
      <c r="W11" s="1568">
        <f t="shared" si="2"/>
        <v>100</v>
      </c>
      <c r="X11" s="1569"/>
      <c r="Y11" s="3261"/>
      <c r="Z11" s="1148">
        <f t="shared" si="7"/>
        <v>111</v>
      </c>
      <c r="AA11" s="1570">
        <f t="shared" si="3"/>
        <v>1</v>
      </c>
      <c r="AB11" s="1570">
        <f t="shared" si="4"/>
        <v>1</v>
      </c>
      <c r="AC11" s="1570">
        <f t="shared" si="5"/>
        <v>1</v>
      </c>
    </row>
    <row r="12" spans="1:29" s="1218" customFormat="1" ht="15">
      <c r="A12" s="2881"/>
      <c r="B12" s="2887">
        <v>111</v>
      </c>
      <c r="C12" s="526"/>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304"/>
      <c r="Q12" s="1149">
        <f t="shared" si="6"/>
        <v>111</v>
      </c>
      <c r="R12" s="1567" t="s">
        <v>8</v>
      </c>
      <c r="S12" s="1568">
        <f t="shared" si="0"/>
        <v>100</v>
      </c>
      <c r="T12" s="1567" t="s">
        <v>8</v>
      </c>
      <c r="U12" s="1568">
        <f t="shared" si="1"/>
        <v>100</v>
      </c>
      <c r="V12" s="1567" t="s">
        <v>8</v>
      </c>
      <c r="W12" s="1568">
        <f t="shared" si="2"/>
        <v>100</v>
      </c>
      <c r="X12" s="1569"/>
      <c r="Y12" s="3261"/>
      <c r="Z12" s="1148">
        <f t="shared" si="7"/>
        <v>111</v>
      </c>
      <c r="AA12" s="1570">
        <f>D12/F12</f>
        <v>1</v>
      </c>
      <c r="AB12" s="1570">
        <f>D12/H12</f>
        <v>1</v>
      </c>
      <c r="AC12" s="1570">
        <f>D12/J12</f>
        <v>1</v>
      </c>
    </row>
    <row r="13" spans="1:29" ht="15.75" thickBot="1">
      <c r="A13" s="2882"/>
      <c r="B13" s="2888">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304"/>
      <c r="Q13" s="1149">
        <f t="shared" si="6"/>
        <v>111</v>
      </c>
      <c r="R13" s="1567" t="s">
        <v>8</v>
      </c>
      <c r="S13" s="1568">
        <f t="shared" si="0"/>
        <v>100</v>
      </c>
      <c r="T13" s="1567" t="s">
        <v>8</v>
      </c>
      <c r="U13" s="1568">
        <f t="shared" si="1"/>
        <v>100</v>
      </c>
      <c r="V13" s="1567" t="s">
        <v>8</v>
      </c>
      <c r="W13" s="1568">
        <f t="shared" si="2"/>
        <v>100</v>
      </c>
      <c r="X13" s="1569"/>
      <c r="Y13" s="3261"/>
      <c r="Z13" s="1148">
        <f t="shared" si="7"/>
        <v>111</v>
      </c>
      <c r="AA13" s="1570">
        <f t="shared" si="3"/>
        <v>1</v>
      </c>
      <c r="AB13" s="1570">
        <f t="shared" si="4"/>
        <v>1</v>
      </c>
      <c r="AC13" s="1570">
        <f t="shared" si="5"/>
        <v>1</v>
      </c>
    </row>
    <row r="14" spans="1:29" ht="85.5">
      <c r="A14" s="2874" t="s">
        <v>2760</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06" t="s">
        <v>541</v>
      </c>
      <c r="Q14" s="1571" t="str">
        <f t="shared" si="6"/>
        <v>交通便捷度</v>
      </c>
      <c r="R14" s="1572" t="s">
        <v>8</v>
      </c>
      <c r="S14" s="1573">
        <f t="shared" si="0"/>
        <v>100</v>
      </c>
      <c r="T14" s="1572" t="s">
        <v>8</v>
      </c>
      <c r="U14" s="1573">
        <f t="shared" si="1"/>
        <v>100</v>
      </c>
      <c r="V14" s="1572" t="s">
        <v>8</v>
      </c>
      <c r="W14" s="1573">
        <f t="shared" si="2"/>
        <v>100</v>
      </c>
      <c r="X14" s="1566"/>
      <c r="Y14" s="3306" t="s">
        <v>541</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307"/>
      <c r="Q15" s="1571"/>
      <c r="R15" s="1572"/>
      <c r="S15" s="1573"/>
      <c r="T15" s="1572"/>
      <c r="U15" s="1573"/>
      <c r="V15" s="1572"/>
      <c r="W15" s="1573"/>
      <c r="X15" s="1566"/>
      <c r="Y15" s="3307"/>
      <c r="Z15" s="1574"/>
      <c r="AA15" s="1575">
        <v>1</v>
      </c>
      <c r="AB15" s="1575">
        <v>1</v>
      </c>
      <c r="AC15" s="1575">
        <v>1</v>
      </c>
    </row>
    <row r="16" spans="1:29" ht="42.75">
      <c r="A16" s="530"/>
      <c r="B16" s="2622" t="s">
        <v>2550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07"/>
      <c r="Q16" s="1571" t="str">
        <f>B16</f>
        <v>公共配套设施</v>
      </c>
      <c r="R16" s="1572" t="s">
        <v>8</v>
      </c>
      <c r="S16" s="1573">
        <f>F16</f>
        <v>100</v>
      </c>
      <c r="T16" s="1572" t="s">
        <v>8</v>
      </c>
      <c r="U16" s="1573">
        <f>H16</f>
        <v>100</v>
      </c>
      <c r="V16" s="1572" t="s">
        <v>8</v>
      </c>
      <c r="W16" s="1573">
        <f>J16</f>
        <v>100</v>
      </c>
      <c r="X16" s="1566"/>
      <c r="Y16" s="3307"/>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307"/>
      <c r="Q17" s="1571"/>
      <c r="R17" s="1572"/>
      <c r="S17" s="1573"/>
      <c r="T17" s="1572"/>
      <c r="U17" s="1573"/>
      <c r="V17" s="1572"/>
      <c r="W17" s="1573"/>
      <c r="X17" s="1566"/>
      <c r="Y17" s="3307"/>
      <c r="Z17" s="1574"/>
      <c r="AA17" s="1575">
        <v>1</v>
      </c>
      <c r="AB17" s="1575">
        <v>1</v>
      </c>
      <c r="AC17" s="1575">
        <v>1</v>
      </c>
    </row>
    <row r="18" spans="1:29" ht="28.5">
      <c r="A18" s="530"/>
      <c r="B18" s="2610" t="s">
        <v>2562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07"/>
      <c r="Q18" s="2598" t="str">
        <f>B18</f>
        <v>基础设施水平</v>
      </c>
      <c r="R18" s="1572" t="s">
        <v>8</v>
      </c>
      <c r="S18" s="1573">
        <f>F18</f>
        <v>100</v>
      </c>
      <c r="T18" s="1572" t="s">
        <v>8</v>
      </c>
      <c r="U18" s="1573">
        <f>H18</f>
        <v>100</v>
      </c>
      <c r="V18" s="1572" t="s">
        <v>8</v>
      </c>
      <c r="W18" s="1573">
        <f>J18</f>
        <v>100</v>
      </c>
      <c r="X18" s="2600"/>
      <c r="Y18" s="3307"/>
      <c r="Z18" s="2599"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1"/>
      <c r="L19" s="2140"/>
      <c r="M19" s="2132"/>
      <c r="N19" s="2132"/>
      <c r="O19" s="2139"/>
      <c r="P19" s="3307"/>
      <c r="Q19" s="2598"/>
      <c r="R19" s="1572"/>
      <c r="S19" s="1573"/>
      <c r="T19" s="1572"/>
      <c r="U19" s="1573"/>
      <c r="V19" s="1572"/>
      <c r="W19" s="1573"/>
      <c r="X19" s="2600"/>
      <c r="Y19" s="3307"/>
      <c r="Z19" s="2599"/>
      <c r="AA19" s="1575">
        <v>1</v>
      </c>
      <c r="AB19" s="1575">
        <v>1</v>
      </c>
      <c r="AC19" s="1575">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07"/>
      <c r="Q20" s="1571" t="str">
        <f>B20</f>
        <v>自然及人文环境</v>
      </c>
      <c r="R20" s="1572" t="s">
        <v>8</v>
      </c>
      <c r="S20" s="1573">
        <f>F20</f>
        <v>100</v>
      </c>
      <c r="T20" s="1572" t="s">
        <v>8</v>
      </c>
      <c r="U20" s="1573">
        <f>H20</f>
        <v>100</v>
      </c>
      <c r="V20" s="1572" t="s">
        <v>8</v>
      </c>
      <c r="W20" s="1573">
        <f>J20</f>
        <v>100</v>
      </c>
      <c r="X20" s="1566"/>
      <c r="Y20" s="3307"/>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307"/>
      <c r="Q21" s="1571"/>
      <c r="R21" s="1572"/>
      <c r="S21" s="1573"/>
      <c r="T21" s="1572"/>
      <c r="U21" s="1573"/>
      <c r="V21" s="1572"/>
      <c r="W21" s="1573"/>
      <c r="X21" s="1566"/>
      <c r="Y21" s="3307"/>
      <c r="Z21" s="1574"/>
      <c r="AA21" s="1575">
        <v>1</v>
      </c>
      <c r="AB21" s="1575">
        <v>1</v>
      </c>
      <c r="AC21" s="1575">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07"/>
      <c r="Q22" s="1571" t="str">
        <f>B22</f>
        <v>楼层</v>
      </c>
      <c r="R22" s="1572" t="s">
        <v>8</v>
      </c>
      <c r="S22" s="1573">
        <f>F22</f>
        <v>100</v>
      </c>
      <c r="T22" s="1572" t="s">
        <v>8</v>
      </c>
      <c r="U22" s="1573">
        <f>H22</f>
        <v>100</v>
      </c>
      <c r="V22" s="1572" t="s">
        <v>8</v>
      </c>
      <c r="W22" s="1573">
        <f>J22</f>
        <v>100</v>
      </c>
      <c r="X22" s="1566"/>
      <c r="Y22" s="3307"/>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07"/>
      <c r="Q23" s="1571">
        <f>B23</f>
        <v>111</v>
      </c>
      <c r="R23" s="1572" t="s">
        <v>8</v>
      </c>
      <c r="S23" s="1573">
        <f>F23</f>
        <v>100</v>
      </c>
      <c r="T23" s="1572" t="s">
        <v>8</v>
      </c>
      <c r="U23" s="1573">
        <f>H23</f>
        <v>100</v>
      </c>
      <c r="V23" s="1572" t="s">
        <v>8</v>
      </c>
      <c r="W23" s="1573">
        <f>J23</f>
        <v>100</v>
      </c>
      <c r="X23" s="1566"/>
      <c r="Y23" s="3307"/>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07"/>
      <c r="Q24" s="1571">
        <f t="shared" ref="Q24:Q34" si="11">B24</f>
        <v>111</v>
      </c>
      <c r="R24" s="1572" t="s">
        <v>8</v>
      </c>
      <c r="S24" s="1573">
        <f>F24</f>
        <v>100</v>
      </c>
      <c r="T24" s="1572" t="s">
        <v>8</v>
      </c>
      <c r="U24" s="1573">
        <f>H24</f>
        <v>100</v>
      </c>
      <c r="V24" s="1572" t="s">
        <v>8</v>
      </c>
      <c r="W24" s="1573">
        <f>J24</f>
        <v>100</v>
      </c>
      <c r="X24" s="1566"/>
      <c r="Y24" s="3307"/>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07"/>
      <c r="Q25" s="1149">
        <f t="shared" si="11"/>
        <v>111</v>
      </c>
      <c r="R25" s="1567" t="s">
        <v>8</v>
      </c>
      <c r="S25" s="1568">
        <f>F25</f>
        <v>100</v>
      </c>
      <c r="T25" s="1567" t="s">
        <v>8</v>
      </c>
      <c r="U25" s="1568">
        <f>H25</f>
        <v>100</v>
      </c>
      <c r="V25" s="1567" t="s">
        <v>8</v>
      </c>
      <c r="W25" s="1568">
        <f>J25</f>
        <v>100</v>
      </c>
      <c r="X25" s="1569"/>
      <c r="Y25" s="3307"/>
      <c r="Z25" s="1148">
        <f>Q25</f>
        <v>111</v>
      </c>
      <c r="AA25" s="1575">
        <f>D25/F25</f>
        <v>1</v>
      </c>
      <c r="AB25" s="1575">
        <f>D25/H25</f>
        <v>1</v>
      </c>
      <c r="AC25" s="1575">
        <f>D25/J25</f>
        <v>1</v>
      </c>
    </row>
    <row r="26" spans="1:29" ht="15">
      <c r="A26" s="2871" t="s">
        <v>2761</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08"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09" t="s">
        <v>822</v>
      </c>
      <c r="Z26" s="1574" t="str">
        <f t="shared" ref="Z26:Z34" si="15">Q26</f>
        <v>公共部分装修</v>
      </c>
      <c r="AA26" s="1575">
        <f t="shared" si="3"/>
        <v>1</v>
      </c>
      <c r="AB26" s="1575">
        <f t="shared" si="4"/>
        <v>1</v>
      </c>
      <c r="AC26" s="1575">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09"/>
      <c r="Q27" s="1604" t="str">
        <f t="shared" si="11"/>
        <v>成新率</v>
      </c>
      <c r="R27" s="1576" t="s">
        <v>8</v>
      </c>
      <c r="S27" s="1577" t="e">
        <f t="shared" si="12"/>
        <v>#N/A</v>
      </c>
      <c r="T27" s="1576" t="s">
        <v>8</v>
      </c>
      <c r="U27" s="1577" t="e">
        <f t="shared" si="13"/>
        <v>#N/A</v>
      </c>
      <c r="V27" s="1576" t="s">
        <v>8</v>
      </c>
      <c r="W27" s="1577" t="e">
        <f t="shared" si="14"/>
        <v>#N/A</v>
      </c>
      <c r="X27" s="1578"/>
      <c r="Y27" s="3309"/>
      <c r="Z27" s="1579" t="str">
        <f t="shared" si="15"/>
        <v>成新率</v>
      </c>
      <c r="AA27" s="1575" t="e">
        <f t="shared" si="3"/>
        <v>#N/A</v>
      </c>
      <c r="AB27" s="1575" t="e">
        <f t="shared" si="4"/>
        <v>#N/A</v>
      </c>
      <c r="AC27" s="1575"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09"/>
      <c r="Q28" s="1571" t="str">
        <f t="shared" si="11"/>
        <v>物业等级</v>
      </c>
      <c r="R28" s="1572" t="s">
        <v>8</v>
      </c>
      <c r="S28" s="1573">
        <f t="shared" si="12"/>
        <v>100</v>
      </c>
      <c r="T28" s="1572" t="s">
        <v>8</v>
      </c>
      <c r="U28" s="1573">
        <f t="shared" si="13"/>
        <v>100</v>
      </c>
      <c r="V28" s="1572" t="s">
        <v>8</v>
      </c>
      <c r="W28" s="1573">
        <f t="shared" si="14"/>
        <v>100</v>
      </c>
      <c r="X28" s="1566"/>
      <c r="Y28" s="3309"/>
      <c r="Z28" s="1574" t="str">
        <f t="shared" si="15"/>
        <v>物业等级</v>
      </c>
      <c r="AA28" s="1575">
        <f t="shared" si="3"/>
        <v>1</v>
      </c>
      <c r="AB28" s="1575">
        <f t="shared" si="4"/>
        <v>1</v>
      </c>
      <c r="AC28" s="1575">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09"/>
      <c r="Q29" s="1571" t="str">
        <f t="shared" si="11"/>
        <v>有无电梯</v>
      </c>
      <c r="R29" s="1572" t="s">
        <v>8</v>
      </c>
      <c r="S29" s="1573">
        <f t="shared" si="12"/>
        <v>100</v>
      </c>
      <c r="T29" s="1572" t="s">
        <v>8</v>
      </c>
      <c r="U29" s="1573">
        <f t="shared" si="13"/>
        <v>100</v>
      </c>
      <c r="V29" s="1572" t="s">
        <v>8</v>
      </c>
      <c r="W29" s="1573">
        <f t="shared" si="14"/>
        <v>100</v>
      </c>
      <c r="X29" s="1566"/>
      <c r="Y29" s="3309"/>
      <c r="Z29" s="1574" t="str">
        <f t="shared" si="15"/>
        <v>有无电梯</v>
      </c>
      <c r="AA29" s="1575">
        <f t="shared" si="3"/>
        <v>1</v>
      </c>
      <c r="AB29" s="1575">
        <f t="shared" si="4"/>
        <v>1</v>
      </c>
      <c r="AC29" s="1575">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09"/>
      <c r="Q30" s="1571" t="str">
        <f t="shared" si="11"/>
        <v>建筑面积</v>
      </c>
      <c r="R30" s="1572" t="s">
        <v>8</v>
      </c>
      <c r="S30" s="1573" t="e">
        <f t="shared" si="12"/>
        <v>#N/A</v>
      </c>
      <c r="T30" s="1572" t="s">
        <v>8</v>
      </c>
      <c r="U30" s="1573" t="e">
        <f t="shared" si="13"/>
        <v>#N/A</v>
      </c>
      <c r="V30" s="1572" t="s">
        <v>8</v>
      </c>
      <c r="W30" s="1573" t="e">
        <f t="shared" si="14"/>
        <v>#N/A</v>
      </c>
      <c r="X30" s="1566"/>
      <c r="Y30" s="3309"/>
      <c r="Z30" s="1574" t="str">
        <f t="shared" si="15"/>
        <v>建筑面积</v>
      </c>
      <c r="AA30" s="1575" t="e">
        <f t="shared" si="3"/>
        <v>#N/A</v>
      </c>
      <c r="AB30" s="1575" t="e">
        <f t="shared" si="4"/>
        <v>#N/A</v>
      </c>
      <c r="AC30" s="1575"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09"/>
      <c r="Q31" s="1149" t="str">
        <f t="shared" si="11"/>
        <v>是否封闭</v>
      </c>
      <c r="R31" s="1567" t="s">
        <v>8</v>
      </c>
      <c r="S31" s="1568">
        <f t="shared" si="12"/>
        <v>100</v>
      </c>
      <c r="T31" s="1567" t="s">
        <v>8</v>
      </c>
      <c r="U31" s="1568">
        <f t="shared" si="13"/>
        <v>100</v>
      </c>
      <c r="V31" s="1567" t="s">
        <v>8</v>
      </c>
      <c r="W31" s="1568">
        <f t="shared" si="14"/>
        <v>100</v>
      </c>
      <c r="X31" s="1569"/>
      <c r="Y31" s="3309"/>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09" t="s">
        <v>551</v>
      </c>
      <c r="Q32" s="1571">
        <f t="shared" si="11"/>
        <v>111</v>
      </c>
      <c r="R32" s="1572" t="s">
        <v>8</v>
      </c>
      <c r="S32" s="1573">
        <f t="shared" si="12"/>
        <v>100</v>
      </c>
      <c r="T32" s="1572" t="s">
        <v>8</v>
      </c>
      <c r="U32" s="1573">
        <f t="shared" si="13"/>
        <v>100</v>
      </c>
      <c r="V32" s="1572" t="s">
        <v>8</v>
      </c>
      <c r="W32" s="1573">
        <f t="shared" si="14"/>
        <v>100</v>
      </c>
      <c r="X32" s="1566"/>
      <c r="Y32" s="3309" t="s">
        <v>551</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09"/>
      <c r="Q33" s="1571">
        <f t="shared" si="11"/>
        <v>111</v>
      </c>
      <c r="R33" s="1572" t="s">
        <v>8</v>
      </c>
      <c r="S33" s="1573">
        <f t="shared" si="12"/>
        <v>100</v>
      </c>
      <c r="T33" s="1572" t="s">
        <v>8</v>
      </c>
      <c r="U33" s="1573">
        <f t="shared" si="13"/>
        <v>100</v>
      </c>
      <c r="V33" s="1572" t="s">
        <v>8</v>
      </c>
      <c r="W33" s="1573">
        <f t="shared" si="14"/>
        <v>100</v>
      </c>
      <c r="X33" s="1566"/>
      <c r="Y33" s="3309"/>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09"/>
      <c r="Q34" s="1571">
        <f t="shared" si="11"/>
        <v>111</v>
      </c>
      <c r="R34" s="1572" t="s">
        <v>8</v>
      </c>
      <c r="S34" s="1573">
        <f t="shared" si="12"/>
        <v>100</v>
      </c>
      <c r="T34" s="1572" t="s">
        <v>8</v>
      </c>
      <c r="U34" s="1573">
        <f t="shared" si="13"/>
        <v>100</v>
      </c>
      <c r="V34" s="1572" t="s">
        <v>8</v>
      </c>
      <c r="W34" s="1573">
        <f t="shared" si="14"/>
        <v>100</v>
      </c>
      <c r="X34" s="1566"/>
      <c r="Y34" s="3309"/>
      <c r="Z34" s="1574">
        <f t="shared" si="15"/>
        <v>111</v>
      </c>
      <c r="AA34" s="1575">
        <f t="shared" si="3"/>
        <v>1</v>
      </c>
      <c r="AB34" s="1575">
        <f t="shared" si="4"/>
        <v>1</v>
      </c>
      <c r="AC34" s="1575">
        <f t="shared" si="5"/>
        <v>1</v>
      </c>
    </row>
    <row r="35" spans="1:29" ht="15">
      <c r="A35" s="605" t="s">
        <v>737</v>
      </c>
      <c r="B35" s="885"/>
      <c r="C35" s="2646" t="s">
        <v>1</v>
      </c>
      <c r="D35" s="2647"/>
      <c r="E35" s="2648"/>
      <c r="F35" s="2649"/>
      <c r="G35" s="2650"/>
      <c r="H35" s="2651"/>
      <c r="I35" s="2648"/>
      <c r="J35" s="2651"/>
      <c r="K35" s="1610"/>
      <c r="L35" s="2142"/>
      <c r="M35" s="2143"/>
      <c r="N35" s="2132"/>
      <c r="O35" s="2143"/>
      <c r="P35" s="3304" t="str">
        <f>A35</f>
        <v>成交单价（元/平方米）</v>
      </c>
      <c r="Q35" s="3304"/>
      <c r="R35" s="3406">
        <f>E35</f>
        <v>0</v>
      </c>
      <c r="S35" s="3406"/>
      <c r="T35" s="3406">
        <f>G35</f>
        <v>0</v>
      </c>
      <c r="U35" s="3406"/>
      <c r="V35" s="3406">
        <f>I35</f>
        <v>0</v>
      </c>
      <c r="W35" s="3406"/>
      <c r="X35" s="1558"/>
      <c r="Y35" s="1580"/>
      <c r="Z35" s="1558"/>
      <c r="AA35" s="1558"/>
      <c r="AB35" s="1558"/>
      <c r="AC35" s="1558"/>
    </row>
    <row r="36" spans="1:29" ht="15.75" thickBot="1">
      <c r="A36" s="613" t="s">
        <v>2766</v>
      </c>
      <c r="B36" s="886"/>
      <c r="C36" s="2652" t="e">
        <f>R37</f>
        <v>#DIV/0!</v>
      </c>
      <c r="D36" s="2653"/>
      <c r="E36" s="2654" t="e">
        <f>R36</f>
        <v>#DIV/0!</v>
      </c>
      <c r="F36" s="2654"/>
      <c r="G36" s="2652" t="e">
        <f>T36</f>
        <v>#DIV/0!</v>
      </c>
      <c r="H36" s="2653"/>
      <c r="I36" s="2654" t="e">
        <f>V36</f>
        <v>#DIV/0!</v>
      </c>
      <c r="J36" s="2653"/>
      <c r="K36" s="1611"/>
      <c r="L36" s="2142"/>
      <c r="M36" s="2143"/>
      <c r="N36" s="2132"/>
      <c r="O36" s="2143"/>
      <c r="P36" s="3304" t="str">
        <f>A36</f>
        <v>比较价格（元/平方米）</v>
      </c>
      <c r="Q36" s="3304"/>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1558"/>
      <c r="Y36" s="1558"/>
      <c r="Z36" s="1558"/>
      <c r="AA36" s="1558"/>
      <c r="AB36" s="1558"/>
      <c r="AC36" s="1558"/>
    </row>
    <row r="37" spans="1:29" ht="15.75" thickBot="1">
      <c r="A37" s="619" t="s">
        <v>2938</v>
      </c>
      <c r="B37" s="620"/>
      <c r="C37" s="2655" t="e">
        <f>R37</f>
        <v>#DIV/0!</v>
      </c>
      <c r="D37" s="2655"/>
      <c r="E37" s="2655"/>
      <c r="F37" s="2655"/>
      <c r="G37" s="2655"/>
      <c r="H37" s="2655"/>
      <c r="I37" s="2655"/>
      <c r="J37" s="2655"/>
      <c r="K37" s="1612"/>
      <c r="L37" s="2142"/>
      <c r="M37" s="2143"/>
      <c r="N37" s="2143"/>
      <c r="O37" s="2143"/>
      <c r="P37" s="3327" t="str">
        <f>A37</f>
        <v>估价对象XX用房的比较价格（楼面单价，元/平方米）</v>
      </c>
      <c r="Q37" s="3328"/>
      <c r="R37" s="3405" t="e">
        <f>IF(F1="售价",ROUND(AVERAGE(R36:V36),0),ROUND(AVERAGE(R36:V36),1))</f>
        <v>#DIV/0!</v>
      </c>
      <c r="S37" s="3405"/>
      <c r="T37" s="3405"/>
      <c r="U37" s="3405"/>
      <c r="V37" s="3405"/>
      <c r="W37" s="3405"/>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575</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530</v>
      </c>
      <c r="B46" s="644"/>
      <c r="C46" s="2823" t="str">
        <f>YEAR(C7)&amp;"-"&amp;MONTH(C7)</f>
        <v>2017-11</v>
      </c>
      <c r="D46" s="2825">
        <f>EDATE(C46,-1)</f>
        <v>43009</v>
      </c>
      <c r="E46" s="2825">
        <f t="shared" ref="E46:O46" si="16">EDATE(D46,-1)</f>
        <v>42979</v>
      </c>
      <c r="F46" s="2825">
        <f t="shared" si="16"/>
        <v>42948</v>
      </c>
      <c r="G46" s="2825">
        <f t="shared" si="16"/>
        <v>42917</v>
      </c>
      <c r="H46" s="2825">
        <f t="shared" si="16"/>
        <v>42887</v>
      </c>
      <c r="I46" s="2825">
        <f t="shared" si="16"/>
        <v>42856</v>
      </c>
      <c r="J46" s="2825">
        <f t="shared" si="16"/>
        <v>42826</v>
      </c>
      <c r="K46" s="2825">
        <f t="shared" si="16"/>
        <v>42795</v>
      </c>
      <c r="L46" s="2825">
        <f t="shared" si="16"/>
        <v>42767</v>
      </c>
      <c r="M46" s="2825">
        <f t="shared" si="16"/>
        <v>42736</v>
      </c>
      <c r="N46" s="2825">
        <f t="shared" si="16"/>
        <v>42705</v>
      </c>
      <c r="O46" s="2825">
        <f t="shared" si="16"/>
        <v>42675</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576</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532</v>
      </c>
      <c r="B49" s="646"/>
      <c r="C49" s="658" t="s">
        <v>577</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578</v>
      </c>
      <c r="B51" s="663" t="s">
        <v>535</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2561</v>
      </c>
      <c r="C63" s="706" t="s">
        <v>580</v>
      </c>
      <c r="D63" s="706" t="s">
        <v>581</v>
      </c>
      <c r="E63" s="706" t="s">
        <v>582</v>
      </c>
      <c r="F63" s="706" t="s">
        <v>583</v>
      </c>
      <c r="G63" s="706" t="s">
        <v>584</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6" t="s">
        <v>2562</v>
      </c>
      <c r="C65" s="2617" t="s">
        <v>2563</v>
      </c>
      <c r="D65" s="2617" t="s">
        <v>2564</v>
      </c>
      <c r="E65" s="2617" t="s">
        <v>2565</v>
      </c>
      <c r="F65" s="2617" t="s">
        <v>2566</v>
      </c>
      <c r="G65" s="2617" t="s">
        <v>2567</v>
      </c>
      <c r="H65" s="672"/>
      <c r="I65" s="672"/>
      <c r="J65" s="672"/>
      <c r="K65" s="672"/>
      <c r="L65" s="672"/>
      <c r="M65" s="2620"/>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745</v>
      </c>
      <c r="C67" s="706" t="s">
        <v>580</v>
      </c>
      <c r="D67" s="706" t="s">
        <v>581</v>
      </c>
      <c r="E67" s="706" t="s">
        <v>582</v>
      </c>
      <c r="F67" s="706" t="s">
        <v>583</v>
      </c>
      <c r="G67" s="706" t="s">
        <v>584</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746</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552</v>
      </c>
      <c r="B77" s="663" t="s">
        <v>752</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818</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826</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828</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D19" zoomScale="80" zoomScaleNormal="80" workbookViewId="0">
      <selection activeCell="E44" sqref="E44"/>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1727</v>
      </c>
      <c r="B1" s="736"/>
      <c r="C1" s="771" t="s">
        <v>2987</v>
      </c>
      <c r="D1" s="3089" t="s">
        <v>3076</v>
      </c>
      <c r="E1" s="2409" t="s">
        <v>2376</v>
      </c>
      <c r="F1" s="2410">
        <f ca="1">J53</f>
        <v>34.29</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3">
        <f ca="1">C40+J29+L46</f>
        <v>52324</v>
      </c>
      <c r="C2" s="2055"/>
      <c r="D2" s="2053"/>
      <c r="E2" s="2054"/>
      <c r="F2" s="2054"/>
      <c r="G2" s="1589"/>
      <c r="H2" s="2055"/>
      <c r="I2" s="2055"/>
      <c r="J2" s="2055"/>
      <c r="K2" s="2056"/>
      <c r="L2" s="2055"/>
      <c r="M2" s="2055"/>
    </row>
    <row r="3" spans="1:33" ht="18" customHeight="1" thickBot="1">
      <c r="A3" s="831" t="s">
        <v>1729</v>
      </c>
      <c r="B3" s="832">
        <f ca="1">IF(ISERROR(B2*10000/F43),0,ROUND(B2*10000/F43,0))</f>
        <v>6317</v>
      </c>
      <c r="C3" s="2055"/>
      <c r="D3" s="2053"/>
      <c r="E3" s="2054"/>
      <c r="F3" s="2054"/>
      <c r="G3" s="1589"/>
      <c r="H3" s="774" t="s">
        <v>696</v>
      </c>
      <c r="I3" s="1361"/>
      <c r="J3" s="1361"/>
      <c r="K3" s="1590"/>
      <c r="L3" s="1361"/>
      <c r="M3" s="1361"/>
    </row>
    <row r="4" spans="1:33" ht="18" customHeight="1">
      <c r="A4" s="3496" t="s">
        <v>1730</v>
      </c>
      <c r="B4" s="3497" t="s">
        <v>1731</v>
      </c>
      <c r="C4" s="3497" t="s">
        <v>1732</v>
      </c>
      <c r="D4" s="3497" t="s">
        <v>634</v>
      </c>
      <c r="E4" s="3498" t="s">
        <v>1733</v>
      </c>
      <c r="F4" s="3499"/>
      <c r="G4" s="1591"/>
      <c r="H4" s="775" t="s">
        <v>1734</v>
      </c>
      <c r="I4" s="776" t="s">
        <v>1735</v>
      </c>
      <c r="J4" s="776" t="s">
        <v>1736</v>
      </c>
      <c r="K4" s="776" t="s">
        <v>1737</v>
      </c>
      <c r="L4" s="777" t="s">
        <v>1738</v>
      </c>
      <c r="M4" s="778"/>
    </row>
    <row r="5" spans="1:33" ht="18" customHeight="1">
      <c r="A5" s="3500">
        <v>1</v>
      </c>
      <c r="B5" s="780" t="s">
        <v>2461</v>
      </c>
      <c r="C5" s="77">
        <f ca="1">C6+C10+C12</f>
        <v>3603</v>
      </c>
      <c r="D5" s="3501" t="s">
        <v>2464</v>
      </c>
      <c r="E5" s="3502"/>
      <c r="F5" s="2569"/>
      <c r="G5" s="1591"/>
      <c r="H5" s="779">
        <v>1</v>
      </c>
      <c r="I5" s="780" t="s">
        <v>2461</v>
      </c>
      <c r="J5" s="55">
        <f ca="1">J6+J10+J12</f>
        <v>0</v>
      </c>
      <c r="K5" s="2518" t="s">
        <v>2464</v>
      </c>
      <c r="L5" s="2512"/>
      <c r="M5" s="2513"/>
    </row>
    <row r="6" spans="1:33" ht="18" customHeight="1">
      <c r="A6" s="3503" t="s">
        <v>1826</v>
      </c>
      <c r="B6" s="3367" t="s">
        <v>2466</v>
      </c>
      <c r="C6" s="3504">
        <f ca="1">ROUND(F6*F8*F7*(1-F9)/10000,0)</f>
        <v>3598</v>
      </c>
      <c r="D6" s="2585" t="s">
        <v>2465</v>
      </c>
      <c r="E6" s="3121" t="s">
        <v>1740</v>
      </c>
      <c r="F6" s="3505">
        <f ca="1">INDIRECT("'数据-取费表'!u"&amp;$G$1)</f>
        <v>1.4</v>
      </c>
      <c r="G6" s="1591"/>
      <c r="H6" s="2525" t="s">
        <v>2472</v>
      </c>
      <c r="I6" s="3367" t="s">
        <v>2466</v>
      </c>
      <c r="J6" s="781">
        <f ca="1">ROUND(M6*M8*M7*(1-M9)/10000,0)</f>
        <v>0</v>
      </c>
      <c r="K6" s="341" t="s">
        <v>1739</v>
      </c>
      <c r="L6" s="782" t="s">
        <v>1740</v>
      </c>
      <c r="M6" s="783">
        <f ca="1">INDIRECT("'数据-取费表'!z"&amp;$G$1)</f>
        <v>0</v>
      </c>
    </row>
    <row r="7" spans="1:33" ht="18" customHeight="1">
      <c r="A7" s="3506"/>
      <c r="B7" s="3368"/>
      <c r="C7" s="3507"/>
      <c r="D7" s="3508"/>
      <c r="E7" s="3121" t="s">
        <v>1741</v>
      </c>
      <c r="F7" s="3505">
        <f ca="1">IF(INDIRECT("'数据-取费表'!ah"&amp;$G$1)="",INDIRECT("'数据-取费表'!k"&amp;$G$1),INDIRECT("'数据-取费表'!ah"&amp;$G$1))</f>
        <v>82827.8</v>
      </c>
      <c r="G7" s="1591"/>
      <c r="H7" s="2511"/>
      <c r="I7" s="3368"/>
      <c r="J7" s="786"/>
      <c r="K7" s="787"/>
      <c r="L7" s="782" t="s">
        <v>1741</v>
      </c>
      <c r="M7" s="783">
        <f ca="1">F7</f>
        <v>82827.8</v>
      </c>
    </row>
    <row r="8" spans="1:33" ht="18" customHeight="1">
      <c r="A8" s="3509"/>
      <c r="B8" s="3369"/>
      <c r="C8" s="3507"/>
      <c r="D8" s="3508"/>
      <c r="E8" s="3121" t="s">
        <v>1742</v>
      </c>
      <c r="F8" s="3505">
        <f ca="1">INDIRECT("'数据-取费表'!ai"&amp;$G$1)</f>
        <v>365</v>
      </c>
      <c r="G8" s="1591"/>
      <c r="H8" s="2511"/>
      <c r="I8" s="3369"/>
      <c r="J8" s="786"/>
      <c r="K8" s="787"/>
      <c r="L8" s="782" t="s">
        <v>1742</v>
      </c>
      <c r="M8" s="783">
        <f ca="1">INDIRECT("'数据-取费表'!ai"&amp;$G$1)</f>
        <v>365</v>
      </c>
    </row>
    <row r="9" spans="1:33" ht="18" customHeight="1">
      <c r="A9" s="3510"/>
      <c r="B9" s="3370"/>
      <c r="C9" s="3507"/>
      <c r="D9" s="3508"/>
      <c r="E9" s="3121" t="s">
        <v>1743</v>
      </c>
      <c r="F9" s="3511">
        <f ca="1">INDIRECT("'数据-取费表'!w"&amp;$G$1)</f>
        <v>0.15</v>
      </c>
      <c r="G9" s="1591"/>
      <c r="H9" s="2526"/>
      <c r="I9" s="3369"/>
      <c r="J9" s="786"/>
      <c r="K9" s="787"/>
      <c r="L9" s="793" t="s">
        <v>1743</v>
      </c>
      <c r="M9" s="794">
        <f ca="1">INDIRECT("'数据-取费表'!ab"&amp;$G$1)</f>
        <v>0</v>
      </c>
    </row>
    <row r="10" spans="1:33" ht="18" customHeight="1">
      <c r="A10" s="3503" t="s">
        <v>2470</v>
      </c>
      <c r="B10" s="2516" t="s">
        <v>2462</v>
      </c>
      <c r="C10" s="3512">
        <f ca="1">ROUND(IF(F10="押一",F6*F8*F7/12*F11,IF(F10="押二",F6*F8*F7/12*2*F11,IF(F10="押三",F6*F8*F7/12*3*F11,C11*F11)))/10000,0)</f>
        <v>5</v>
      </c>
      <c r="D10" s="2516" t="s">
        <v>2469</v>
      </c>
      <c r="E10" s="3513" t="s">
        <v>2467</v>
      </c>
      <c r="F10" s="3514" t="s">
        <v>3083</v>
      </c>
      <c r="G10" s="1591"/>
      <c r="H10" s="2580" t="s">
        <v>2473</v>
      </c>
      <c r="I10" s="2585" t="s">
        <v>2462</v>
      </c>
      <c r="J10" s="781">
        <f ca="1">ROUND(IF(M10="押一",M6*M8*M7/12*M11,IF(M10="押二",M6*M8*M7/12*2*M11,IF(M10="押三",M6*M8*M7/12*3*M11,J11*M11)))/10000,0)</f>
        <v>0</v>
      </c>
      <c r="K10" s="2522" t="s">
        <v>2469</v>
      </c>
      <c r="L10" s="2519" t="s">
        <v>2467</v>
      </c>
      <c r="M10" s="2640"/>
    </row>
    <row r="11" spans="1:33" ht="18" customHeight="1">
      <c r="A11" s="3515"/>
      <c r="B11" s="2517" t="s">
        <v>2577</v>
      </c>
      <c r="C11" s="3516"/>
      <c r="D11" s="3508"/>
      <c r="E11" s="3513" t="s">
        <v>2468</v>
      </c>
      <c r="F11" s="3517">
        <f ca="1">'数据-取费表'!B39</f>
        <v>1.4999999999999999E-2</v>
      </c>
      <c r="G11" s="1591"/>
      <c r="H11" s="2581"/>
      <c r="I11" s="2517" t="s">
        <v>2577</v>
      </c>
      <c r="J11" s="2520"/>
      <c r="K11" s="2582"/>
      <c r="L11" s="2519" t="s">
        <v>2468</v>
      </c>
      <c r="M11" s="2514">
        <f ca="1">'数据-取费表'!B39</f>
        <v>1.4999999999999999E-2</v>
      </c>
    </row>
    <row r="12" spans="1:33" ht="18" customHeight="1" thickBot="1">
      <c r="A12" s="3518" t="s">
        <v>2471</v>
      </c>
      <c r="B12" s="2558" t="s">
        <v>2463</v>
      </c>
      <c r="C12" s="3519"/>
      <c r="D12" s="3520"/>
      <c r="E12" s="3521"/>
      <c r="F12" s="3522"/>
      <c r="G12" s="1591"/>
      <c r="H12" s="2570" t="s">
        <v>2474</v>
      </c>
      <c r="I12" s="2583" t="s">
        <v>2463</v>
      </c>
      <c r="J12" s="2584"/>
      <c r="K12" s="2560"/>
      <c r="L12" s="2561"/>
      <c r="M12" s="2573"/>
    </row>
    <row r="13" spans="1:33" ht="18" customHeight="1" thickTop="1">
      <c r="A13" s="3523">
        <v>2</v>
      </c>
      <c r="B13" s="3524" t="s">
        <v>1744</v>
      </c>
      <c r="C13" s="3525">
        <f ca="1">ROUND(C29*F13,0)</f>
        <v>33459</v>
      </c>
      <c r="D13" s="819" t="s">
        <v>2299</v>
      </c>
      <c r="E13" s="819" t="s">
        <v>1746</v>
      </c>
      <c r="F13" s="3526">
        <f ca="1">INDIRECT("'数据-取费表'!y"&amp;$G$1)</f>
        <v>1</v>
      </c>
      <c r="G13" s="1591"/>
      <c r="H13" s="1827">
        <v>2</v>
      </c>
      <c r="I13" s="1825" t="s">
        <v>1744</v>
      </c>
      <c r="J13" s="1817">
        <f ca="1">ROUND(J14*J15,0)</f>
        <v>0</v>
      </c>
      <c r="K13" s="1819" t="s">
        <v>1745</v>
      </c>
      <c r="L13" s="2571"/>
      <c r="M13" s="2572"/>
    </row>
    <row r="14" spans="1:33" ht="18" customHeight="1">
      <c r="A14" s="3527" t="s">
        <v>1886</v>
      </c>
      <c r="B14" s="3121" t="s">
        <v>646</v>
      </c>
      <c r="C14" s="3528">
        <f ca="1">INDIRECT("'数据-取费表'!m"&amp;$G$1)+INDIRECT("'数据-取费表'!t"&amp;$G$1)</f>
        <v>20707</v>
      </c>
      <c r="D14" s="3120" t="s">
        <v>1747</v>
      </c>
      <c r="E14" s="3119"/>
      <c r="F14" s="3529"/>
      <c r="G14" s="1591"/>
      <c r="H14" s="1647" t="s">
        <v>1832</v>
      </c>
      <c r="I14" s="2229" t="s">
        <v>2832</v>
      </c>
      <c r="J14" s="53">
        <f ca="1">C29</f>
        <v>33459</v>
      </c>
      <c r="K14" s="26"/>
      <c r="L14" s="799"/>
      <c r="M14" s="800"/>
    </row>
    <row r="15" spans="1:33" s="2062" customFormat="1" ht="18" customHeight="1" thickBot="1">
      <c r="A15" s="3527" t="s">
        <v>1887</v>
      </c>
      <c r="B15" s="3121" t="s">
        <v>648</v>
      </c>
      <c r="C15" s="17">
        <f ca="1">ROUND(C14*F15,0)</f>
        <v>621</v>
      </c>
      <c r="D15" s="814" t="s">
        <v>1748</v>
      </c>
      <c r="E15" s="814" t="s">
        <v>1749</v>
      </c>
      <c r="F15" s="3530">
        <f>'数据-取费表'!B33</f>
        <v>0.03</v>
      </c>
      <c r="G15" s="1592"/>
      <c r="H15" s="2570" t="s">
        <v>1891</v>
      </c>
      <c r="I15" s="2565" t="s">
        <v>1746</v>
      </c>
      <c r="J15" s="2574">
        <f ca="1">INDIRECT("'数据-取费表'!ad"&amp;$G$1)</f>
        <v>0</v>
      </c>
      <c r="K15" s="2575"/>
      <c r="L15" s="2576"/>
      <c r="M15" s="2577"/>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3527" t="s">
        <v>1888</v>
      </c>
      <c r="B16" s="3121" t="s">
        <v>651</v>
      </c>
      <c r="C16" s="17">
        <f ca="1">ROUND(INDIRECT("'数据-取费表'!m"&amp;$G$1)*F16,0)</f>
        <v>0</v>
      </c>
      <c r="D16" s="3121" t="s">
        <v>1748</v>
      </c>
      <c r="E16" s="3121" t="s">
        <v>1749</v>
      </c>
      <c r="F16" s="3531">
        <f ca="1">IF(INDIRECT("'数据-取费表'!c"&amp;$G$1)="住宅",'数据-取费表'!B34,0)</f>
        <v>0</v>
      </c>
      <c r="G16" s="1591"/>
      <c r="H16" s="1827" t="s">
        <v>1750</v>
      </c>
      <c r="I16" s="1825" t="s">
        <v>1751</v>
      </c>
      <c r="J16" s="790">
        <f ca="1">ROUND(J17+J22+J23+J24,0)</f>
        <v>806</v>
      </c>
      <c r="K16" s="1819" t="s">
        <v>1752</v>
      </c>
      <c r="L16" s="2508"/>
      <c r="M16" s="2513"/>
    </row>
    <row r="17" spans="1:33" s="2062" customFormat="1" ht="18" customHeight="1">
      <c r="A17" s="3527" t="s">
        <v>1889</v>
      </c>
      <c r="B17" s="3121" t="s">
        <v>654</v>
      </c>
      <c r="C17" s="17">
        <f ca="1">ROUND(F17*(F43+INDIRECT("'数据-取费表'!S"&amp;$G$1))/10000,0)</f>
        <v>1242</v>
      </c>
      <c r="D17" s="3121" t="s">
        <v>1753</v>
      </c>
      <c r="E17" s="3121" t="s">
        <v>1754</v>
      </c>
      <c r="F17" s="818">
        <f>'数据-取费表'!B35</f>
        <v>150</v>
      </c>
      <c r="G17" s="1592"/>
      <c r="H17" s="1647" t="s">
        <v>1832</v>
      </c>
      <c r="I17" s="782" t="s">
        <v>657</v>
      </c>
      <c r="J17" s="53">
        <f ca="1">ROUND(IF(项目基本情况!B11="自然人",J5*M17,J18+J19+J20),0)</f>
        <v>304</v>
      </c>
      <c r="K17" s="2507" t="s">
        <v>1755</v>
      </c>
      <c r="L17" s="2506" t="s">
        <v>1756</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3527" t="s">
        <v>1890</v>
      </c>
      <c r="B18" s="3121" t="s">
        <v>660</v>
      </c>
      <c r="C18" s="17">
        <f ca="1">ROUND(C14*F18,0)</f>
        <v>311</v>
      </c>
      <c r="D18" s="3121" t="s">
        <v>1748</v>
      </c>
      <c r="E18" s="3121" t="s">
        <v>1749</v>
      </c>
      <c r="F18" s="3531">
        <f>'数据-取费表'!B36</f>
        <v>1.4999999999999999E-2</v>
      </c>
      <c r="G18" s="1592"/>
      <c r="H18" s="1646" t="s">
        <v>1886</v>
      </c>
      <c r="I18" s="782" t="s">
        <v>1757</v>
      </c>
      <c r="J18" s="53">
        <f ca="1">ROUND(J5*M18/1.05,1)</f>
        <v>0</v>
      </c>
      <c r="K18" s="2506" t="s">
        <v>1758</v>
      </c>
      <c r="L18" s="782" t="s">
        <v>1749</v>
      </c>
      <c r="M18" s="807">
        <f>'数据-取费表'!B41</f>
        <v>6.3840000000000008E-2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3532" t="s">
        <v>1832</v>
      </c>
      <c r="B19" s="3121" t="s">
        <v>663</v>
      </c>
      <c r="C19" s="17">
        <f ca="1">SUM(C14:C18)</f>
        <v>22881</v>
      </c>
      <c r="D19" s="3426" t="s">
        <v>1759</v>
      </c>
      <c r="E19" s="3118"/>
      <c r="F19" s="818"/>
      <c r="G19" s="1591"/>
      <c r="H19" s="1646" t="s">
        <v>1887</v>
      </c>
      <c r="I19" s="782" t="s">
        <v>1760</v>
      </c>
      <c r="J19" s="53">
        <f ca="1">IF(K19="按租金收入计税",ROUND(J5*M19,1),ROUND(C29*F33*0.7,1))</f>
        <v>281.10000000000002</v>
      </c>
      <c r="K19" s="809" t="s">
        <v>666</v>
      </c>
      <c r="L19" s="782" t="s">
        <v>1749</v>
      </c>
      <c r="M19" s="807">
        <f>IF(K19="按租金收入计税",'数据-取费表'!B51,'数据-取费表'!B50)</f>
        <v>1.2E-2</v>
      </c>
    </row>
    <row r="20" spans="1:33" s="2062" customFormat="1" ht="18" customHeight="1">
      <c r="A20" s="3532" t="s">
        <v>1891</v>
      </c>
      <c r="B20" s="3121" t="s">
        <v>667</v>
      </c>
      <c r="C20" s="17">
        <f ca="1">ROUND(C19*F20,0)</f>
        <v>343</v>
      </c>
      <c r="D20" s="810" t="s">
        <v>1761</v>
      </c>
      <c r="E20" s="3121" t="s">
        <v>1749</v>
      </c>
      <c r="F20" s="3531">
        <f>'数据-取费表'!B37</f>
        <v>1.4999999999999999E-2</v>
      </c>
      <c r="G20" s="1592"/>
      <c r="H20" s="1649" t="s">
        <v>1882</v>
      </c>
      <c r="I20" s="341" t="s">
        <v>1762</v>
      </c>
      <c r="J20" s="54">
        <f ca="1">ROUND(M20*M21/10000,0)</f>
        <v>23</v>
      </c>
      <c r="K20" s="812" t="s">
        <v>1763</v>
      </c>
      <c r="L20" s="782" t="s">
        <v>1764</v>
      </c>
      <c r="M20" s="638">
        <f>'数据-取费表'!B52</f>
        <v>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3532" t="s">
        <v>1892</v>
      </c>
      <c r="B21" s="3121" t="s">
        <v>1765</v>
      </c>
      <c r="C21" s="17" t="s">
        <v>1766</v>
      </c>
      <c r="D21" s="810" t="s">
        <v>2300</v>
      </c>
      <c r="E21" s="3121" t="s">
        <v>1767</v>
      </c>
      <c r="F21" s="3531">
        <f>'数据-取费表'!B38</f>
        <v>0.03</v>
      </c>
      <c r="G21" s="1592"/>
      <c r="H21" s="2527"/>
      <c r="I21" s="791"/>
      <c r="J21" s="69"/>
      <c r="K21" s="814"/>
      <c r="L21" s="782" t="s">
        <v>1768</v>
      </c>
      <c r="M21" s="783">
        <f ca="1">INDIRECT("'数据-取费表'!r"&amp;$G$1)</f>
        <v>37649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3532" t="s">
        <v>1893</v>
      </c>
      <c r="B22" s="3121" t="s">
        <v>1769</v>
      </c>
      <c r="C22" s="17"/>
      <c r="D22" s="3476" t="str">
        <f>IF(F23&lt;=1,"单利计息。","复利计息。")&amp;"建造成本、管理费用、销售费用产生的利息。"</f>
        <v>复利计息。建造成本、管理费用、销售费用产生的利息。</v>
      </c>
      <c r="E22" s="3118"/>
      <c r="F22" s="818"/>
      <c r="G22" s="1591"/>
      <c r="H22" s="1647" t="s">
        <v>1891</v>
      </c>
      <c r="I22" s="782" t="s">
        <v>1770</v>
      </c>
      <c r="J22" s="53">
        <f ca="1">ROUND(J14*M22,0)</f>
        <v>502</v>
      </c>
      <c r="K22" s="2506" t="s">
        <v>1771</v>
      </c>
      <c r="L22" s="782" t="s">
        <v>1749</v>
      </c>
      <c r="M22" s="815">
        <f ca="1">INDIRECT("'数据-取费表'!Ak"&amp;$G$1)</f>
        <v>1.4999999999999999E-2</v>
      </c>
    </row>
    <row r="23" spans="1:33" s="2062" customFormat="1" ht="18" customHeight="1">
      <c r="A23" s="3527" t="s">
        <v>1833</v>
      </c>
      <c r="B23" s="3121" t="s">
        <v>2539</v>
      </c>
      <c r="C23" s="17">
        <f ca="1">ROUND(IF('数据-取费表'!B22&lt;=1,(C19+C20)*F24*F23/2,(C19+C20)*(POWER((1+F24),F23/2)-1)),0)</f>
        <v>1103</v>
      </c>
      <c r="D23" s="3533" t="str">
        <f>IF(F23&lt;=1,"(建造成本+管理费用)×利率×(建设周期÷2)","(建造成本+管理费用)×((1+利率)^(建设周期÷2)-1)")</f>
        <v>(建造成本+管理费用)×((1+利率)^(建设周期÷2)-1)</v>
      </c>
      <c r="E23" s="3121" t="s">
        <v>1772</v>
      </c>
      <c r="F23" s="3534">
        <f>'数据-取费表'!B20</f>
        <v>2</v>
      </c>
      <c r="G23" s="1592"/>
      <c r="H23" s="1647" t="s">
        <v>1892</v>
      </c>
      <c r="I23" s="782" t="s">
        <v>680</v>
      </c>
      <c r="J23" s="53">
        <f ca="1">ROUND(J13*M23,0)</f>
        <v>0</v>
      </c>
      <c r="K23" s="2506" t="s">
        <v>1773</v>
      </c>
      <c r="L23" s="782" t="s">
        <v>1749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3527" t="s">
        <v>1834</v>
      </c>
      <c r="B24" s="3121" t="s">
        <v>1774</v>
      </c>
      <c r="C24" s="17">
        <f ca="1">ROUND(IF('数据-取费表'!B22&lt;=1,F21*F24*F23/2,F21*(POWER((1+F24),F23/2)-1)),4)</f>
        <v>1.4E-3</v>
      </c>
      <c r="D24" s="3533" t="str">
        <f>IF(F23&lt;=1,"销售费用×利率×(建设周期÷2)","销售费用×((1+利率)^(建设周期÷2)-1)")</f>
        <v>销售费用×((1+利率)^(建设周期÷2)-1)</v>
      </c>
      <c r="E24" s="3121" t="s">
        <v>1775</v>
      </c>
      <c r="F24" s="3535">
        <f ca="1">'数据-取费表'!B40</f>
        <v>4.7500000000000001E-2</v>
      </c>
      <c r="G24" s="1592"/>
      <c r="H24" s="2570" t="s">
        <v>1893</v>
      </c>
      <c r="I24" s="2565" t="s">
        <v>667</v>
      </c>
      <c r="J24" s="2563">
        <f ca="1">ROUND(J5*M24,0)</f>
        <v>0</v>
      </c>
      <c r="K24" s="2564" t="s">
        <v>1776</v>
      </c>
      <c r="L24" s="2565" t="s">
        <v>1749</v>
      </c>
      <c r="M24" s="2562">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3536" t="s">
        <v>1842</v>
      </c>
      <c r="B25" s="3121" t="s">
        <v>685</v>
      </c>
      <c r="C25" s="17"/>
      <c r="D25" s="3426" t="s">
        <v>1777</v>
      </c>
      <c r="E25" s="3118"/>
      <c r="F25" s="818"/>
      <c r="G25" s="1591"/>
      <c r="H25" s="1827" t="s">
        <v>1778</v>
      </c>
      <c r="I25" s="2974" t="s">
        <v>2828</v>
      </c>
      <c r="J25" s="790">
        <f ca="1">J5-J16</f>
        <v>-806</v>
      </c>
      <c r="K25" s="2567" t="s">
        <v>1779</v>
      </c>
      <c r="L25" s="2568"/>
      <c r="M25" s="2569"/>
    </row>
    <row r="26" spans="1:33" ht="18" customHeight="1">
      <c r="A26" s="3527" t="s">
        <v>1833</v>
      </c>
      <c r="B26" s="3121" t="s">
        <v>2440</v>
      </c>
      <c r="C26" s="17">
        <f ca="1">ROUND((C19+C20)*F26,0)</f>
        <v>5806</v>
      </c>
      <c r="D26" s="810" t="s">
        <v>1780</v>
      </c>
      <c r="E26" s="812" t="s">
        <v>1781</v>
      </c>
      <c r="F26" s="3511">
        <f ca="1">INDIRECT("'数据-取费表'!q"&amp;$G$1)</f>
        <v>0.25</v>
      </c>
      <c r="G26" s="1591"/>
      <c r="H26" s="2523" t="s">
        <v>1782</v>
      </c>
      <c r="I26" s="2230" t="s">
        <v>2833</v>
      </c>
      <c r="J26" s="781">
        <f ca="1">IF(J5&lt;&gt;0,ROUND(J25*(1-((1+M28)/(1+M26))^M27)/(M26-M28),0),0)</f>
        <v>0</v>
      </c>
      <c r="K26" s="812" t="s">
        <v>1783</v>
      </c>
      <c r="L26" s="782" t="s">
        <v>2421</v>
      </c>
      <c r="M26" s="792">
        <f ca="1">INDIRECT("'数据-取费表'!I"&amp;$G$1)</f>
        <v>0.05</v>
      </c>
    </row>
    <row r="27" spans="1:33" ht="18" customHeight="1">
      <c r="A27" s="3527" t="s">
        <v>1834</v>
      </c>
      <c r="B27" s="3121" t="s">
        <v>687</v>
      </c>
      <c r="C27" s="17">
        <f ca="1">ROUND(F21*F26,4)</f>
        <v>7.4999999999999997E-3</v>
      </c>
      <c r="D27" s="810" t="s">
        <v>1784</v>
      </c>
      <c r="E27" s="814"/>
      <c r="F27" s="3530"/>
      <c r="G27" s="1591"/>
      <c r="H27" s="2524"/>
      <c r="I27" s="785"/>
      <c r="J27" s="786"/>
      <c r="K27" s="819" t="s">
        <v>1785</v>
      </c>
      <c r="L27" s="782" t="s">
        <v>1786</v>
      </c>
      <c r="M27" s="820">
        <f ca="1">INDIRECT("'数据-取费表'!ag"&amp;$G$1)</f>
        <v>0</v>
      </c>
    </row>
    <row r="28" spans="1:33" s="2062" customFormat="1" ht="18" customHeight="1">
      <c r="A28" s="3536" t="s">
        <v>1843</v>
      </c>
      <c r="B28" s="3121" t="s">
        <v>688</v>
      </c>
      <c r="C28" s="17">
        <f>ROUND(F28/(1+'数据-取费表'!C42),4)</f>
        <v>6.0499999999999998E-2</v>
      </c>
      <c r="D28" s="810" t="s">
        <v>2301</v>
      </c>
      <c r="E28" s="3121" t="s">
        <v>1787</v>
      </c>
      <c r="F28" s="3531">
        <f>'数据-取费表'!B41</f>
        <v>6.3840000000000008E-2</v>
      </c>
      <c r="G28" s="1592"/>
      <c r="H28" s="1827"/>
      <c r="I28" s="789"/>
      <c r="J28" s="790"/>
      <c r="K28" s="814"/>
      <c r="L28" s="782" t="s">
        <v>1788</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3537" t="s">
        <v>1894</v>
      </c>
      <c r="B29" s="3521" t="s">
        <v>2302</v>
      </c>
      <c r="C29" s="3538">
        <f ca="1">ROUND((C19+C20+C23+C26)/(1-F21-C24-C27-C28),0)</f>
        <v>33459</v>
      </c>
      <c r="D29" s="2564"/>
      <c r="E29" s="2564"/>
      <c r="F29" s="3539"/>
      <c r="G29" s="1592"/>
      <c r="H29" s="821" t="s">
        <v>1789</v>
      </c>
      <c r="I29" s="822" t="s">
        <v>1790</v>
      </c>
      <c r="J29" s="823">
        <f ca="1">ROUND(J26/(1+F40)^F41,0)</f>
        <v>0</v>
      </c>
      <c r="K29" s="824" t="s">
        <v>1791</v>
      </c>
      <c r="L29" s="825"/>
      <c r="M29" s="826">
        <f ca="1">INDIRECT("'数据-取费表'!k"&amp;$G$1)</f>
        <v>82827.8</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3523" t="s">
        <v>1895</v>
      </c>
      <c r="B30" s="3524" t="s">
        <v>1792</v>
      </c>
      <c r="C30" s="3525">
        <f ca="1">ROUND(C31+C36+C37+C38,0)</f>
        <v>1111</v>
      </c>
      <c r="D30" s="2567" t="s">
        <v>1793</v>
      </c>
      <c r="E30" s="2568"/>
      <c r="F30" s="2569"/>
      <c r="G30" s="2060"/>
      <c r="H30" s="2063"/>
      <c r="I30" s="2064"/>
      <c r="J30" s="2065"/>
      <c r="K30" s="2066"/>
      <c r="L30" s="2067"/>
      <c r="M30" s="2068"/>
    </row>
    <row r="31" spans="1:33" ht="18" customHeight="1">
      <c r="A31" s="3532" t="s">
        <v>1832</v>
      </c>
      <c r="B31" s="3121" t="s">
        <v>657</v>
      </c>
      <c r="C31" s="17">
        <f ca="1">ROUND(IF(项目基本情况!B11="自然人",C5*F31,C32+C33+C34),1)</f>
        <v>522.79999999999995</v>
      </c>
      <c r="D31" s="3120" t="s">
        <v>1794</v>
      </c>
      <c r="E31" s="3121" t="s">
        <v>1795</v>
      </c>
      <c r="F31" s="808" t="str">
        <f ca="1">IF(项目基本情况!B11="企业","",IF(INDIRECT("'数据-取费表'!c"&amp;$G$1)="住宅",5%,IF(F6*F7*F8/12/(1+'数据-取费表'!C42)&gt;20000,12%,7%)))</f>
        <v/>
      </c>
      <c r="G31" s="2060"/>
      <c r="H31" s="2063"/>
      <c r="I31" s="2064"/>
      <c r="J31" s="2065"/>
      <c r="K31" s="2066"/>
      <c r="L31" s="2067"/>
      <c r="M31" s="2068"/>
    </row>
    <row r="32" spans="1:33" ht="18" customHeight="1">
      <c r="A32" s="3527" t="s">
        <v>1833</v>
      </c>
      <c r="B32" s="3121" t="s">
        <v>1796</v>
      </c>
      <c r="C32" s="17">
        <f ca="1">ROUND(C5*F32/1.05,1)</f>
        <v>219.1</v>
      </c>
      <c r="D32" s="3121" t="s">
        <v>1797</v>
      </c>
      <c r="E32" s="3121" t="s">
        <v>1798</v>
      </c>
      <c r="F32" s="3531">
        <f>'数据-取费表'!B41</f>
        <v>6.3840000000000008E-2</v>
      </c>
      <c r="G32" s="2060"/>
      <c r="H32" s="2069"/>
      <c r="I32" s="2070"/>
      <c r="J32" s="2071"/>
      <c r="K32" s="2072"/>
      <c r="L32" s="2073"/>
      <c r="M32" s="2074"/>
    </row>
    <row r="33" spans="1:18" ht="18" customHeight="1">
      <c r="A33" s="3527" t="s">
        <v>1834</v>
      </c>
      <c r="B33" s="3121" t="s">
        <v>1799</v>
      </c>
      <c r="C33" s="17">
        <f ca="1">IF(D33="按租金收入计税",ROUND(C5*F33,1),IF(D33="按房产原值计税",ROUND(C29*F33*0.7,1),INDIRECT("'数据-取费表'!Aj"&amp;$G$1)))</f>
        <v>281.10000000000002</v>
      </c>
      <c r="D33" s="809" t="s">
        <v>1682</v>
      </c>
      <c r="E33" s="3121" t="s">
        <v>1798</v>
      </c>
      <c r="F33" s="3531">
        <f>IF(D33="按租金收入计税",'数据-取费表'!B51,'数据-取费表'!B50)</f>
        <v>1.2E-2</v>
      </c>
      <c r="G33" s="2060"/>
      <c r="H33" s="2075"/>
      <c r="I33" s="2075"/>
      <c r="J33" s="2075"/>
      <c r="K33" s="2076"/>
      <c r="L33" s="2075"/>
      <c r="M33" s="2075"/>
    </row>
    <row r="34" spans="1:18" ht="18" customHeight="1">
      <c r="A34" s="3540" t="s">
        <v>1835</v>
      </c>
      <c r="B34" s="3541" t="s">
        <v>1800</v>
      </c>
      <c r="C34" s="41">
        <f ca="1">ROUND(F34*F35/10000,1)</f>
        <v>22.6</v>
      </c>
      <c r="D34" s="812" t="s">
        <v>1801</v>
      </c>
      <c r="E34" s="3121" t="s">
        <v>1802</v>
      </c>
      <c r="F34" s="3534">
        <f>'数据-取费表'!B52</f>
        <v>6</v>
      </c>
      <c r="G34" s="2060"/>
      <c r="H34" s="2063"/>
      <c r="I34" s="833" t="s">
        <v>1815</v>
      </c>
      <c r="J34" s="834"/>
      <c r="K34" s="2078"/>
      <c r="L34" s="2077"/>
      <c r="M34" s="2077"/>
    </row>
    <row r="35" spans="1:18" ht="18" customHeight="1">
      <c r="A35" s="3542"/>
      <c r="B35" s="3543"/>
      <c r="C35" s="73"/>
      <c r="D35" s="814"/>
      <c r="E35" s="3121" t="s">
        <v>1803</v>
      </c>
      <c r="F35" s="3505">
        <f ca="1">INDIRECT("'数据-取费表'!r"&amp;$G$1)</f>
        <v>37649</v>
      </c>
      <c r="G35" s="2060"/>
      <c r="H35" s="2063"/>
      <c r="I35" s="835" t="s">
        <v>1816</v>
      </c>
      <c r="J35" s="836">
        <f ca="1">ROUND(C13*J36,0)</f>
        <v>2677</v>
      </c>
      <c r="K35" s="2076"/>
      <c r="L35" s="2075"/>
      <c r="M35" s="2075"/>
    </row>
    <row r="36" spans="1:18" ht="18" customHeight="1">
      <c r="A36" s="3532" t="s">
        <v>1891</v>
      </c>
      <c r="B36" s="3121" t="s">
        <v>1804</v>
      </c>
      <c r="C36" s="17">
        <f ca="1">ROUND(C29*F36,1)</f>
        <v>501.9</v>
      </c>
      <c r="D36" s="3121" t="s">
        <v>1805</v>
      </c>
      <c r="E36" s="3121" t="s">
        <v>1798</v>
      </c>
      <c r="F36" s="3544">
        <f ca="1">INDIRECT("'数据-取费表'!Ak"&amp;$G$1)</f>
        <v>1.4999999999999999E-2</v>
      </c>
      <c r="G36" s="2060"/>
      <c r="H36" s="2075"/>
      <c r="I36" s="837" t="s">
        <v>1817</v>
      </c>
      <c r="J36" s="838">
        <f ca="1">INDIRECT("'数据-取费表'!j"&amp;$G$1)</f>
        <v>0.08</v>
      </c>
      <c r="K36" s="2080"/>
      <c r="L36" s="2075"/>
      <c r="M36" s="2075"/>
    </row>
    <row r="37" spans="1:18" ht="18" customHeight="1">
      <c r="A37" s="3532" t="s">
        <v>1892</v>
      </c>
      <c r="B37" s="3121" t="s">
        <v>680</v>
      </c>
      <c r="C37" s="17">
        <f ca="1">ROUND(C13*F37,1)</f>
        <v>50.2</v>
      </c>
      <c r="D37" s="3121" t="s">
        <v>1806</v>
      </c>
      <c r="E37" s="3121" t="s">
        <v>1798</v>
      </c>
      <c r="F37" s="3545">
        <f ca="1">INDIRECT("'数据-取费表'!Al"&amp;$G$1)</f>
        <v>1.5E-3</v>
      </c>
      <c r="G37" s="2060"/>
      <c r="H37" s="2075"/>
      <c r="I37" s="839" t="s">
        <v>1818</v>
      </c>
      <c r="J37" s="840"/>
      <c r="K37" s="2080"/>
      <c r="L37" s="2075"/>
      <c r="M37" s="2075"/>
    </row>
    <row r="38" spans="1:18" ht="18" customHeight="1" thickBot="1">
      <c r="A38" s="3546" t="s">
        <v>1893</v>
      </c>
      <c r="B38" s="2564" t="s">
        <v>667</v>
      </c>
      <c r="C38" s="3538">
        <f ca="1">ROUND(C5*F38,1)</f>
        <v>36</v>
      </c>
      <c r="D38" s="2564" t="s">
        <v>1807</v>
      </c>
      <c r="E38" s="2564" t="s">
        <v>1798</v>
      </c>
      <c r="F38" s="3522">
        <f ca="1">INDIRECT("'数据-取费表'!Am"&amp;$G$1)</f>
        <v>0.01</v>
      </c>
      <c r="G38" s="2060"/>
      <c r="H38" s="2075"/>
      <c r="I38" s="841" t="s">
        <v>1819</v>
      </c>
      <c r="J38" s="842"/>
      <c r="K38" s="2081"/>
      <c r="L38" s="2075"/>
      <c r="M38" s="2075"/>
    </row>
    <row r="39" spans="1:18" ht="24.6" customHeight="1" thickTop="1">
      <c r="A39" s="3523" t="s">
        <v>1896</v>
      </c>
      <c r="B39" s="2974" t="s">
        <v>2828</v>
      </c>
      <c r="C39" s="3525">
        <f ca="1">C5-C30</f>
        <v>2492</v>
      </c>
      <c r="D39" s="2567" t="s">
        <v>1808</v>
      </c>
      <c r="E39" s="2568"/>
      <c r="F39" s="2569"/>
      <c r="G39" s="2060"/>
      <c r="H39" s="2075"/>
      <c r="I39" s="835" t="s">
        <v>1820</v>
      </c>
      <c r="J39" s="843">
        <f ca="1">ROUND(J35/C39,3)</f>
        <v>1.0740000000000001</v>
      </c>
      <c r="K39" s="2081"/>
      <c r="L39" s="2075"/>
      <c r="M39" s="2075"/>
    </row>
    <row r="40" spans="1:18" ht="18" customHeight="1">
      <c r="A40" s="3500" t="s">
        <v>1897</v>
      </c>
      <c r="B40" s="2230" t="s">
        <v>2303</v>
      </c>
      <c r="C40" s="3504">
        <f ca="1">ROUND(C39*(1-((1+F42)/(1+F40))^F41)/(F40-F42),0)</f>
        <v>52324</v>
      </c>
      <c r="D40" s="812" t="s">
        <v>1809</v>
      </c>
      <c r="E40" s="3121" t="s">
        <v>2421</v>
      </c>
      <c r="F40" s="3511">
        <f ca="1">INDIRECT("'数据-取费表'!I"&amp;$G$1)</f>
        <v>0.05</v>
      </c>
      <c r="G40" s="2060"/>
      <c r="H40" s="2060"/>
      <c r="I40" s="835" t="s">
        <v>1821</v>
      </c>
      <c r="J40" s="843">
        <f ca="1">1-J39</f>
        <v>-7.4000000000000066E-2</v>
      </c>
      <c r="K40" s="2081"/>
      <c r="L40" s="2060"/>
      <c r="M40" s="2060"/>
    </row>
    <row r="41" spans="1:18" ht="18" customHeight="1">
      <c r="A41" s="3510"/>
      <c r="B41" s="785"/>
      <c r="C41" s="3507"/>
      <c r="D41" s="819" t="s">
        <v>1810</v>
      </c>
      <c r="E41" s="3121" t="s">
        <v>2970</v>
      </c>
      <c r="F41" s="3547">
        <f ca="1">IF(INDIRECT("'数据-取费表'!af"&amp;$G$1)=0,INDIRECT("'数据-取费表'!ae"&amp;$G$1),INDIRECT("'数据-取费表'!af"&amp;$G$1))</f>
        <v>34.29</v>
      </c>
      <c r="G41" s="2060"/>
      <c r="H41" s="1986"/>
      <c r="I41" s="841" t="s">
        <v>1822</v>
      </c>
      <c r="J41" s="844"/>
      <c r="K41" s="2080"/>
      <c r="L41" s="1986"/>
      <c r="M41" s="1986"/>
    </row>
    <row r="42" spans="1:18" ht="18" customHeight="1">
      <c r="A42" s="3515"/>
      <c r="B42" s="789"/>
      <c r="C42" s="3525"/>
      <c r="D42" s="814"/>
      <c r="E42" s="3121" t="s">
        <v>1811</v>
      </c>
      <c r="F42" s="3511">
        <f ca="1">INDIRECT("'数据-取费表'!v"&amp;$G$1)</f>
        <v>0.02</v>
      </c>
      <c r="G42" s="2060"/>
      <c r="H42" s="1986"/>
      <c r="I42" s="845" t="s">
        <v>1823</v>
      </c>
      <c r="J42" s="843">
        <f ca="1">ROUND(C13/C40,3)</f>
        <v>0.63900000000000001</v>
      </c>
      <c r="K42" s="2080"/>
      <c r="L42" s="1986"/>
      <c r="M42" s="1986"/>
    </row>
    <row r="43" spans="1:18" ht="18" customHeight="1" thickBot="1">
      <c r="A43" s="821" t="s">
        <v>1789</v>
      </c>
      <c r="B43" s="822" t="s">
        <v>1812</v>
      </c>
      <c r="C43" s="823">
        <f ca="1">ROUND(C40*10000/F43,0)</f>
        <v>6317</v>
      </c>
      <c r="D43" s="824" t="s">
        <v>1813</v>
      </c>
      <c r="E43" s="825" t="s">
        <v>1814</v>
      </c>
      <c r="F43" s="826">
        <f ca="1">INDIRECT("'数据-取费表'!k"&amp;$G$1)</f>
        <v>82827.8</v>
      </c>
      <c r="G43" s="2060"/>
      <c r="H43" s="1986"/>
      <c r="I43" s="845" t="s">
        <v>1824</v>
      </c>
      <c r="J43" s="846">
        <f ca="1">1-J42</f>
        <v>0.36099999999999999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3">
        <f ca="1">C67-C40</f>
        <v>-66231</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636</v>
      </c>
      <c r="C47" s="2593">
        <f ca="1">C48+C52+C54</f>
        <v>0</v>
      </c>
      <c r="D47" s="2083"/>
      <c r="E47" s="2083"/>
      <c r="F47" s="2083"/>
      <c r="I47" s="2380" t="s">
        <v>2345</v>
      </c>
      <c r="J47" s="2385" t="s">
        <v>3045</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2" t="s">
        <v>2541</v>
      </c>
      <c r="B48" s="2663" t="s">
        <v>2542</v>
      </c>
      <c r="C48" s="2372">
        <f ca="1">ROUND(F48*F50*F49*(1-F51)/10000,0)</f>
        <v>0</v>
      </c>
      <c r="D48" s="2373" t="s">
        <v>637</v>
      </c>
      <c r="E48" s="2374" t="s">
        <v>2298</v>
      </c>
      <c r="F48" s="2375"/>
      <c r="G48" s="2088"/>
      <c r="I48" s="2381" t="s">
        <v>2346</v>
      </c>
      <c r="J48" s="2388" t="s">
        <v>2352</v>
      </c>
      <c r="K48" s="2389" t="s">
        <v>2353</v>
      </c>
      <c r="L48" s="2390">
        <f ca="1">INDIRECT("'数据-取费表'!f"&amp;$G$1)</f>
        <v>36.29</v>
      </c>
      <c r="O48" s="2420" t="s">
        <v>2381</v>
      </c>
      <c r="P48" s="2421" t="s">
        <v>2407</v>
      </c>
      <c r="Q48" s="2422">
        <f ca="1">C40+J29</f>
        <v>52324</v>
      </c>
      <c r="R48" s="2421" t="s">
        <v>2382</v>
      </c>
    </row>
    <row r="49" spans="1:18" s="2057" customFormat="1" ht="18" customHeight="1" thickBot="1">
      <c r="A49" s="784"/>
      <c r="B49" s="785"/>
      <c r="C49" s="786"/>
      <c r="D49" s="787"/>
      <c r="E49" s="782" t="s">
        <v>1741</v>
      </c>
      <c r="F49" s="783">
        <f ca="1">F7</f>
        <v>82827.8</v>
      </c>
      <c r="G49" s="2088"/>
      <c r="H49" s="2091"/>
      <c r="I49" s="2381" t="s">
        <v>2347</v>
      </c>
      <c r="J49" s="2391">
        <v>2019</v>
      </c>
      <c r="K49" s="2392" t="s">
        <v>2354</v>
      </c>
      <c r="L49" s="2393"/>
      <c r="O49" s="2420" t="s">
        <v>2383</v>
      </c>
      <c r="P49" s="2421" t="s">
        <v>2408</v>
      </c>
      <c r="Q49" s="2422" t="str">
        <f ca="1">J60</f>
        <v>0</v>
      </c>
      <c r="R49" s="2421" t="s">
        <v>2384</v>
      </c>
    </row>
    <row r="50" spans="1:18" s="2057" customFormat="1" ht="18" customHeight="1" thickBot="1">
      <c r="A50" s="784"/>
      <c r="B50" s="785"/>
      <c r="C50" s="786"/>
      <c r="D50" s="787"/>
      <c r="E50" s="782" t="s">
        <v>1742</v>
      </c>
      <c r="F50" s="783">
        <f ca="1">F8</f>
        <v>365</v>
      </c>
      <c r="G50" s="2093"/>
      <c r="H50" s="2091"/>
      <c r="I50" s="2381" t="s">
        <v>2348</v>
      </c>
      <c r="J50" s="2394">
        <f>SUMPRODUCT((I63:I65=J47)*(J62:L62=J48)*(J63:L65))</f>
        <v>60</v>
      </c>
      <c r="K50" s="2392" t="s">
        <v>2355</v>
      </c>
      <c r="L50" s="2393"/>
      <c r="O50" s="2423" t="s">
        <v>2385</v>
      </c>
      <c r="P50" s="2421" t="s">
        <v>2409</v>
      </c>
      <c r="Q50" s="2422">
        <f ca="1">C29</f>
        <v>33459</v>
      </c>
      <c r="R50" s="2421" t="s">
        <v>2382</v>
      </c>
    </row>
    <row r="51" spans="1:18" s="2057" customFormat="1" ht="18" customHeight="1" thickBot="1">
      <c r="A51" s="784"/>
      <c r="B51" s="785"/>
      <c r="C51" s="786"/>
      <c r="D51" s="787"/>
      <c r="E51" s="782" t="s">
        <v>641</v>
      </c>
      <c r="F51" s="2369"/>
      <c r="H51" s="2091"/>
      <c r="I51" s="2382" t="s">
        <v>2349</v>
      </c>
      <c r="J51" s="2395">
        <f>IF(J49="",J50,J49+J50-YEAR('数据-取费表'!B2))</f>
        <v>62</v>
      </c>
      <c r="K51" s="2381" t="s">
        <v>2356</v>
      </c>
      <c r="L51" s="2396">
        <f ca="1">ROUND(-PV(INDIRECT("'数据-取费表'!h"&amp;$G$1),L48,(C39-C13*J36),0),0)</f>
        <v>-3274</v>
      </c>
      <c r="O51" s="2423" t="s">
        <v>2386</v>
      </c>
      <c r="P51" s="2421" t="s">
        <v>2387</v>
      </c>
      <c r="Q51" s="2424" t="e">
        <f ca="1">J58</f>
        <v>#VALUE!</v>
      </c>
      <c r="R51" s="2425"/>
    </row>
    <row r="52" spans="1:18" s="2057" customFormat="1" ht="18" customHeight="1" thickBot="1">
      <c r="A52" s="779" t="s">
        <v>2540</v>
      </c>
      <c r="B52" s="2516" t="s">
        <v>2462</v>
      </c>
      <c r="C52" s="797">
        <f ca="1">ROUND(IF(F52="押一",F48*F50*F49/12*F11,IF(F52="押二",F48*F50*F49/12*2*F11,IF(F52="押三",F48*F50*F49/12*3*F11,C53*F11)))/10000,0)</f>
        <v>0</v>
      </c>
      <c r="D52" s="2522" t="s">
        <v>2469</v>
      </c>
      <c r="E52" s="2519" t="s">
        <v>2467</v>
      </c>
      <c r="F52" s="2640"/>
      <c r="I52" s="2383" t="s">
        <v>2423</v>
      </c>
      <c r="J52" s="2397">
        <v>0.08</v>
      </c>
      <c r="K52" s="2383" t="s">
        <v>2422</v>
      </c>
      <c r="L52" s="2397"/>
      <c r="O52" s="2423" t="s">
        <v>2388</v>
      </c>
      <c r="P52" s="2421" t="s">
        <v>2389</v>
      </c>
      <c r="Q52" s="2424">
        <f>J52</f>
        <v>0.08</v>
      </c>
      <c r="R52" s="2425"/>
    </row>
    <row r="53" spans="1:18" s="2057" customFormat="1" ht="39.75" customHeight="1" thickBot="1">
      <c r="A53" s="784"/>
      <c r="B53" s="2517" t="s">
        <v>2577</v>
      </c>
      <c r="C53" s="2520"/>
      <c r="D53" s="2522"/>
      <c r="E53" s="2519"/>
      <c r="F53" s="798"/>
      <c r="I53" s="2384" t="s">
        <v>2350</v>
      </c>
      <c r="J53" s="2398">
        <f ca="1">IF(M47="住宅",J51,IF(D1="——",MIN(J51,L48),IF(D1="土地（套用方法）",MIN(J51,L48-'数据-取费表'!B20))))</f>
        <v>34.29</v>
      </c>
      <c r="K53" s="3412" t="s">
        <v>2972</v>
      </c>
      <c r="L53" s="3413"/>
      <c r="O53" s="2423" t="s">
        <v>2390</v>
      </c>
      <c r="P53" s="2421" t="s">
        <v>2391</v>
      </c>
      <c r="Q53" s="2422">
        <f ca="1">J53</f>
        <v>34.29</v>
      </c>
      <c r="R53" s="2421" t="s">
        <v>2392</v>
      </c>
    </row>
    <row r="54" spans="1:18" s="2057" customFormat="1" ht="18" customHeight="1" thickBot="1">
      <c r="A54" s="2557" t="s">
        <v>2471</v>
      </c>
      <c r="B54" s="2558" t="s">
        <v>2463</v>
      </c>
      <c r="C54" s="2559"/>
      <c r="D54" s="2522"/>
      <c r="E54" s="2519"/>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52324</v>
      </c>
      <c r="R54" s="2425" t="s">
        <v>2394</v>
      </c>
    </row>
    <row r="55" spans="1:18" s="2057" customFormat="1" ht="18" customHeight="1" thickTop="1" thickBot="1">
      <c r="A55" s="795">
        <v>2</v>
      </c>
      <c r="B55" s="796" t="s">
        <v>645</v>
      </c>
      <c r="C55" s="797">
        <f ca="1">C13</f>
        <v>33459</v>
      </c>
      <c r="D55" s="793"/>
      <c r="E55" s="793"/>
      <c r="F55" s="798"/>
      <c r="I55" s="3060" t="s">
        <v>2357</v>
      </c>
      <c r="J55" s="3059" t="e">
        <f ca="1">ROUND(IF(J47="钢混",J57/J50,1-(1-2%)*(J50-J57)/J50),3)</f>
        <v>#VALUE!</v>
      </c>
      <c r="K55" s="2399" t="s">
        <v>2358</v>
      </c>
      <c r="L55" s="2400"/>
      <c r="O55" s="2426" t="s">
        <v>2413</v>
      </c>
      <c r="P55" s="1591"/>
      <c r="Q55" s="1603"/>
      <c r="R55" s="1591"/>
    </row>
    <row r="56" spans="1:18" s="2057" customFormat="1" ht="42.75" customHeight="1" thickBot="1">
      <c r="A56" s="1648"/>
      <c r="B56" s="2229" t="s">
        <v>2304</v>
      </c>
      <c r="C56" s="53">
        <f ca="1">C29</f>
        <v>33459</v>
      </c>
      <c r="D56" s="2659"/>
      <c r="E56" s="782"/>
      <c r="F56" s="807"/>
      <c r="I56" s="2401" t="s">
        <v>2359</v>
      </c>
      <c r="J56" s="3083" t="s">
        <v>1680</v>
      </c>
      <c r="K56" s="2381" t="s">
        <v>2364</v>
      </c>
      <c r="L56" s="2390" t="str">
        <f ca="1">IF(L48&lt;J51,"——",L48-J51)</f>
        <v>——</v>
      </c>
      <c r="O56" s="2417" t="s">
        <v>2377</v>
      </c>
      <c r="P56" s="2418" t="s">
        <v>2378</v>
      </c>
      <c r="Q56" s="2419" t="s">
        <v>2379</v>
      </c>
      <c r="R56" s="2418" t="s">
        <v>2380</v>
      </c>
    </row>
    <row r="57" spans="1:18" s="2057" customFormat="1" ht="28.5" customHeight="1" thickBot="1">
      <c r="A57" s="795" t="s">
        <v>1750</v>
      </c>
      <c r="B57" s="796" t="s">
        <v>652</v>
      </c>
      <c r="C57" s="797">
        <f ca="1">ROUND(C58+C63+C64+C65,0)</f>
        <v>856</v>
      </c>
      <c r="D57" s="26" t="s">
        <v>1752</v>
      </c>
      <c r="E57" s="2660"/>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52324</v>
      </c>
      <c r="R57" s="2421" t="s">
        <v>2382</v>
      </c>
    </row>
    <row r="58" spans="1:18" s="2057" customFormat="1" ht="28.5" customHeight="1" thickBot="1">
      <c r="A58" s="1647" t="s">
        <v>1826</v>
      </c>
      <c r="B58" s="782" t="s">
        <v>657</v>
      </c>
      <c r="C58" s="53">
        <f ca="1">ROUND(IF(项目基本情况!B11="自然人",C47*F58,C59+C60+C61),1)</f>
        <v>303.7</v>
      </c>
      <c r="D58" s="2658" t="s">
        <v>658</v>
      </c>
      <c r="E58" s="2659" t="s">
        <v>691</v>
      </c>
      <c r="F58" s="808" t="str">
        <f ca="1">IF(项目基本情况!B11="企业","",IF(INDIRECT("'数据-取费表'!c"&amp;$G$1)="住宅",5%,IF(F48*F49*F50/12/(1+'数据-取费表'!C42)&gt;20000,12%,7%)))</f>
        <v/>
      </c>
      <c r="I58" s="2402" t="s">
        <v>2361</v>
      </c>
      <c r="J58" s="3061"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6" t="s">
        <v>1833</v>
      </c>
      <c r="B59" s="782" t="s">
        <v>661</v>
      </c>
      <c r="C59" s="53">
        <f ca="1">ROUND(C47*F59/1.05,1)</f>
        <v>0</v>
      </c>
      <c r="D59" s="2659" t="s">
        <v>1758</v>
      </c>
      <c r="E59" s="782" t="s">
        <v>1749</v>
      </c>
      <c r="F59" s="807">
        <f t="shared" ref="F59:F65" si="0">F32</f>
        <v>6.3840000000000008E-2</v>
      </c>
      <c r="I59" s="2402" t="s">
        <v>2362</v>
      </c>
      <c r="J59" s="2404"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6" t="s">
        <v>1834</v>
      </c>
      <c r="B60" s="782" t="s">
        <v>1760</v>
      </c>
      <c r="C60" s="53">
        <f ca="1">IF(D60="按租金收入计税",ROUND(C47*F60,1),IF(D60="按房产原值计税",ROUND(C56*F60*0.7,1),INDIRECT("'数据-取费表'!Aj"&amp;$G$1)))</f>
        <v>281.10000000000002</v>
      </c>
      <c r="D60" s="2659" t="str">
        <f>D33</f>
        <v>按房产原值计税</v>
      </c>
      <c r="E60" s="782" t="s">
        <v>1749</v>
      </c>
      <c r="F60" s="807">
        <f t="shared" si="0"/>
        <v>1.2E-2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49" t="s">
        <v>1835</v>
      </c>
      <c r="B61" s="341" t="s">
        <v>669</v>
      </c>
      <c r="C61" s="54">
        <f ca="1">ROUND(F61*F62/10000,1)</f>
        <v>22.6</v>
      </c>
      <c r="D61" s="812" t="s">
        <v>670</v>
      </c>
      <c r="E61" s="782" t="s">
        <v>671</v>
      </c>
      <c r="F61" s="638">
        <f t="shared" si="0"/>
        <v>6</v>
      </c>
      <c r="K61" s="2084"/>
      <c r="O61" s="2423" t="s">
        <v>2388</v>
      </c>
      <c r="P61" s="2421" t="s">
        <v>2396</v>
      </c>
      <c r="Q61" s="2422" t="e">
        <f ca="1">L58</f>
        <v>#DIV/0!</v>
      </c>
      <c r="R61" s="2425" t="s">
        <v>2397</v>
      </c>
    </row>
    <row r="62" spans="1:18" s="2057" customFormat="1" ht="15.75" thickBot="1">
      <c r="A62" s="813"/>
      <c r="B62" s="791"/>
      <c r="C62" s="69"/>
      <c r="D62" s="814"/>
      <c r="E62" s="782" t="s">
        <v>675</v>
      </c>
      <c r="F62" s="783">
        <f t="shared" ca="1" si="0"/>
        <v>37649</v>
      </c>
      <c r="I62" s="2407" t="s">
        <v>2369</v>
      </c>
      <c r="J62" s="2408" t="s">
        <v>2370</v>
      </c>
      <c r="K62" s="2408" t="s">
        <v>2371</v>
      </c>
      <c r="L62" s="2408" t="s">
        <v>2352</v>
      </c>
      <c r="M62" s="3062" t="s">
        <v>2947</v>
      </c>
      <c r="O62" s="2423" t="s">
        <v>2390</v>
      </c>
      <c r="P62" s="2421" t="str">
        <f>K59</f>
        <v>建设期及建筑物耐用年限下的土地年期修正系数Kn</v>
      </c>
      <c r="Q62" s="2422" t="e">
        <f ca="1">L59</f>
        <v>#DIV/0!</v>
      </c>
      <c r="R62" s="2425" t="s">
        <v>2399</v>
      </c>
    </row>
    <row r="63" spans="1:18" s="2057" customFormat="1" ht="15.75" thickBot="1">
      <c r="A63" s="1647" t="s">
        <v>1891</v>
      </c>
      <c r="B63" s="782" t="s">
        <v>677</v>
      </c>
      <c r="C63" s="53">
        <f ca="1">ROUND(C56*F63,1)</f>
        <v>501.9</v>
      </c>
      <c r="D63" s="2659" t="s">
        <v>1805</v>
      </c>
      <c r="E63" s="782" t="s">
        <v>1749</v>
      </c>
      <c r="F63" s="815">
        <f t="shared" ca="1" si="0"/>
        <v>1.4999999999999999E-2</v>
      </c>
      <c r="I63" s="2407" t="s">
        <v>2372</v>
      </c>
      <c r="J63" s="2408">
        <v>70</v>
      </c>
      <c r="K63" s="2408">
        <v>50</v>
      </c>
      <c r="L63" s="2408">
        <v>80</v>
      </c>
      <c r="M63" s="3063">
        <v>0.02</v>
      </c>
      <c r="O63" s="2420" t="s">
        <v>2393</v>
      </c>
      <c r="P63" s="2421" t="s">
        <v>2410</v>
      </c>
      <c r="Q63" s="2422">
        <f ca="1">Q57+Q58</f>
        <v>52324</v>
      </c>
      <c r="R63" s="2425" t="s">
        <v>2394</v>
      </c>
    </row>
    <row r="64" spans="1:18" s="2057" customFormat="1" ht="16.5" thickBot="1">
      <c r="A64" s="1647" t="s">
        <v>1892</v>
      </c>
      <c r="B64" s="782" t="s">
        <v>680</v>
      </c>
      <c r="C64" s="53">
        <f ca="1">ROUND(C55*F64,1)</f>
        <v>50.2</v>
      </c>
      <c r="D64" s="2659" t="s">
        <v>681</v>
      </c>
      <c r="E64" s="782" t="s">
        <v>1749</v>
      </c>
      <c r="F64" s="816">
        <f t="shared" ca="1" si="0"/>
        <v>1.5E-3</v>
      </c>
      <c r="I64" s="2407" t="s">
        <v>2373</v>
      </c>
      <c r="J64" s="2408">
        <v>50</v>
      </c>
      <c r="K64" s="2408">
        <v>35</v>
      </c>
      <c r="L64" s="2408">
        <v>60</v>
      </c>
      <c r="M64" s="3064">
        <v>0</v>
      </c>
      <c r="O64" s="2426" t="s">
        <v>2417</v>
      </c>
      <c r="P64" s="1591"/>
      <c r="Q64" s="1603"/>
      <c r="R64" s="1591"/>
    </row>
    <row r="65" spans="1:18" s="2057" customFormat="1" ht="15.75" thickBot="1">
      <c r="A65" s="1647" t="s">
        <v>1893</v>
      </c>
      <c r="B65" s="782" t="s">
        <v>667</v>
      </c>
      <c r="C65" s="53">
        <f ca="1">ROUND(C47*F65,1)</f>
        <v>0</v>
      </c>
      <c r="D65" s="2659" t="s">
        <v>684</v>
      </c>
      <c r="E65" s="782" t="s">
        <v>1749</v>
      </c>
      <c r="F65" s="792">
        <f t="shared" ca="1" si="0"/>
        <v>0.01</v>
      </c>
      <c r="I65" s="2407" t="s">
        <v>2374</v>
      </c>
      <c r="J65" s="2408">
        <v>40</v>
      </c>
      <c r="K65" s="2408">
        <v>30</v>
      </c>
      <c r="L65" s="2408">
        <v>50</v>
      </c>
      <c r="M65" s="3063">
        <v>0.02</v>
      </c>
      <c r="O65" s="2417" t="s">
        <v>2377</v>
      </c>
      <c r="P65" s="2418" t="s">
        <v>2378</v>
      </c>
      <c r="Q65" s="2419" t="s">
        <v>2379</v>
      </c>
      <c r="R65" s="2418" t="s">
        <v>2380</v>
      </c>
    </row>
    <row r="66" spans="1:18" s="2057" customFormat="1" ht="24.75" thickBot="1">
      <c r="A66" s="795" t="s">
        <v>1778</v>
      </c>
      <c r="B66" s="2975" t="s">
        <v>2828</v>
      </c>
      <c r="C66" s="797">
        <f ca="1">C47-C57</f>
        <v>-856</v>
      </c>
      <c r="D66" s="2658" t="s">
        <v>701</v>
      </c>
      <c r="E66" s="2657"/>
      <c r="F66" s="818"/>
      <c r="K66" s="2084"/>
      <c r="O66" s="2420" t="s">
        <v>2381</v>
      </c>
      <c r="P66" s="2421" t="s">
        <v>2411</v>
      </c>
      <c r="Q66" s="2422">
        <f ca="1">C40+J29</f>
        <v>52324</v>
      </c>
      <c r="R66" s="2421" t="s">
        <v>2382</v>
      </c>
    </row>
    <row r="67" spans="1:18" s="2057" customFormat="1" ht="20.25" thickBot="1">
      <c r="A67" s="779" t="s">
        <v>1782</v>
      </c>
      <c r="B67" s="2230" t="s">
        <v>2303</v>
      </c>
      <c r="C67" s="781">
        <f ca="1">ROUND(C66*(1-((1+F69)/(1+F67))^F68)/(F67-F69),0)</f>
        <v>-13907</v>
      </c>
      <c r="D67" s="812" t="s">
        <v>705</v>
      </c>
      <c r="E67" s="782" t="s">
        <v>706</v>
      </c>
      <c r="F67" s="792">
        <f ca="1">F40</f>
        <v>0.05</v>
      </c>
      <c r="K67" s="2084"/>
      <c r="O67" s="2420" t="s">
        <v>2383</v>
      </c>
      <c r="P67" s="2421" t="s">
        <v>2414</v>
      </c>
      <c r="Q67" s="2422">
        <f ca="1">L60</f>
        <v>0</v>
      </c>
      <c r="R67" s="2425" t="s">
        <v>2416</v>
      </c>
    </row>
    <row r="68" spans="1:18" ht="21.75" thickBot="1">
      <c r="A68" s="784"/>
      <c r="B68" s="785"/>
      <c r="C68" s="786"/>
      <c r="D68" s="819" t="s">
        <v>1810</v>
      </c>
      <c r="E68" s="782" t="s">
        <v>1786</v>
      </c>
      <c r="F68" s="820">
        <f ca="1">F41</f>
        <v>34.29</v>
      </c>
      <c r="O68" s="2423" t="s">
        <v>2385</v>
      </c>
      <c r="P68" s="2421" t="s">
        <v>2415</v>
      </c>
      <c r="Q68" s="2427">
        <f ca="1">L51</f>
        <v>-3274</v>
      </c>
      <c r="R68" s="2428" t="s">
        <v>2418</v>
      </c>
    </row>
    <row r="69" spans="1:18" ht="20.25" thickBot="1">
      <c r="A69" s="788"/>
      <c r="B69" s="789"/>
      <c r="C69" s="790"/>
      <c r="D69" s="814"/>
      <c r="E69" s="782" t="s">
        <v>711</v>
      </c>
      <c r="F69" s="2369"/>
      <c r="O69" s="2423" t="s">
        <v>2386</v>
      </c>
      <c r="P69" s="2429" t="s">
        <v>2400</v>
      </c>
      <c r="Q69" s="2422">
        <f ca="1">ROUND(Q70-Q71*Q72,0)</f>
        <v>-185</v>
      </c>
      <c r="R69" s="2425"/>
    </row>
    <row r="70" spans="1:18" ht="15.75" thickBot="1">
      <c r="A70" s="821" t="s">
        <v>1789</v>
      </c>
      <c r="B70" s="822" t="s">
        <v>1812</v>
      </c>
      <c r="C70" s="823">
        <f ca="1">ROUND(C67*10000/F70,0)</f>
        <v>-1679</v>
      </c>
      <c r="D70" s="824" t="s">
        <v>1813</v>
      </c>
      <c r="E70" s="825" t="s">
        <v>1814</v>
      </c>
      <c r="F70" s="826">
        <f ca="1">F43</f>
        <v>82827.8</v>
      </c>
      <c r="O70" s="2423" t="s">
        <v>2401</v>
      </c>
      <c r="P70" s="2429" t="s">
        <v>2402</v>
      </c>
      <c r="Q70" s="2422">
        <f ca="1">C39</f>
        <v>2492</v>
      </c>
      <c r="R70" s="2421" t="s">
        <v>2382</v>
      </c>
    </row>
    <row r="71" spans="1:18" ht="15.75" thickBot="1">
      <c r="O71" s="2423" t="s">
        <v>2403</v>
      </c>
      <c r="P71" s="2429" t="s">
        <v>2404</v>
      </c>
      <c r="Q71" s="2422">
        <f ca="1">C13</f>
        <v>33459</v>
      </c>
      <c r="R71" s="2421" t="s">
        <v>2382</v>
      </c>
    </row>
    <row r="72" spans="1:18" ht="15.75" thickBot="1">
      <c r="O72" s="2423" t="s">
        <v>2405</v>
      </c>
      <c r="P72" s="2429" t="s">
        <v>2406</v>
      </c>
      <c r="Q72" s="2424">
        <f ca="1">J36</f>
        <v>0.08</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52324</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2305</v>
      </c>
      <c r="C1" s="3417" t="s">
        <v>2306</v>
      </c>
      <c r="D1" s="3418"/>
      <c r="E1" s="3418"/>
      <c r="F1" s="3418"/>
      <c r="G1" s="3418"/>
      <c r="H1" s="3418"/>
      <c r="I1" s="3418"/>
      <c r="J1" s="3418"/>
      <c r="K1" s="3418"/>
      <c r="L1" s="3418"/>
      <c r="M1" s="3418"/>
      <c r="N1" s="3418"/>
      <c r="O1" s="3418"/>
      <c r="P1" s="3418"/>
      <c r="Q1" s="3418"/>
      <c r="R1" s="3418"/>
      <c r="S1" s="3419"/>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47" t="s">
        <v>2931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49" t="s">
        <v>2930</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49" t="s">
        <v>2929</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4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47" t="s">
        <v>2944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47" t="s">
        <v>2928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47" t="s">
        <v>2927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829</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830</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831</v>
      </c>
      <c r="B22" s="53">
        <f>SUM(B24:B10000)</f>
        <v>0</v>
      </c>
      <c r="C22" s="3414" t="s">
        <v>20</v>
      </c>
      <c r="D22" s="3415"/>
      <c r="E22" s="3415"/>
      <c r="F22" s="3415"/>
      <c r="G22" s="3415"/>
      <c r="H22" s="3415"/>
      <c r="I22" s="3415"/>
      <c r="J22" s="3415"/>
      <c r="K22" s="3415"/>
      <c r="L22" s="3415"/>
      <c r="M22" s="3415"/>
      <c r="N22" s="3415"/>
      <c r="O22" s="3415"/>
      <c r="P22" s="3415"/>
      <c r="Q22" s="3416"/>
      <c r="R22" s="488"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4"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37.5">
      <c r="A4" s="1789" t="str">
        <f>"受贵公司委托，我公司对"&amp;项目基本情况!K2&amp;项目基本情况!B9&amp;"进行了预评估。"</f>
        <v>受贵公司委托，我公司对湖北省天门市竟陵永丰村出让国有建设用地使用权抵押价格进行了预评估。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93.75">
      <c r="A7" s="2837" t="s">
        <v>2754</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根据《国有土地使用证》[天国用（2014）第0716号]，本次评估估价对象证载（地类）用途为商业。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39" t="s">
        <v>2755</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5" customWidth="1"/>
    <col min="2" max="2" width="13.25" style="2911" customWidth="1"/>
    <col min="3" max="3" width="15.625" style="2911" customWidth="1"/>
    <col min="4" max="4" width="9.375" style="2911" bestFit="1" customWidth="1"/>
    <col min="5" max="5" width="13.5" style="2911" customWidth="1"/>
    <col min="6" max="6" width="9" style="2911"/>
    <col min="7" max="7" width="9.375" style="2911" bestFit="1" customWidth="1"/>
    <col min="8" max="9" width="9" style="2911"/>
    <col min="10" max="10" width="9.375" style="2911" bestFit="1" customWidth="1"/>
    <col min="11" max="11" width="4" style="2905" customWidth="1"/>
    <col min="12" max="12" width="5.125" style="2911" customWidth="1"/>
    <col min="13" max="13" width="13.75" style="2911" customWidth="1"/>
    <col min="14" max="256" width="9" style="2911"/>
    <col min="257" max="257" width="4.875" style="2903" customWidth="1"/>
    <col min="258" max="258" width="13.25" style="2903" customWidth="1"/>
    <col min="259" max="259" width="15.625" style="2903" customWidth="1"/>
    <col min="260" max="260" width="9.375" style="2903" bestFit="1" customWidth="1"/>
    <col min="261" max="261" width="13.5" style="2903" customWidth="1"/>
    <col min="262" max="262" width="9" style="2903"/>
    <col min="263" max="263" width="9.375" style="2903" bestFit="1" customWidth="1"/>
    <col min="264" max="265" width="9" style="2903"/>
    <col min="266" max="266" width="9.375" style="2903" bestFit="1" customWidth="1"/>
    <col min="267" max="267" width="4" style="2903" customWidth="1"/>
    <col min="268" max="268" width="5.125" style="2903" customWidth="1"/>
    <col min="269" max="269" width="13.75" style="2903" customWidth="1"/>
    <col min="270" max="512" width="9" style="2903"/>
    <col min="513" max="513" width="4.875" style="2903" customWidth="1"/>
    <col min="514" max="514" width="13.25" style="2903" customWidth="1"/>
    <col min="515" max="515" width="15.625" style="2903" customWidth="1"/>
    <col min="516" max="516" width="9.375" style="2903" bestFit="1" customWidth="1"/>
    <col min="517" max="517" width="13.5" style="2903" customWidth="1"/>
    <col min="518" max="518" width="9" style="2903"/>
    <col min="519" max="519" width="9.375" style="2903" bestFit="1" customWidth="1"/>
    <col min="520" max="521" width="9" style="2903"/>
    <col min="522" max="522" width="9.375" style="2903" bestFit="1" customWidth="1"/>
    <col min="523" max="523" width="4" style="2903" customWidth="1"/>
    <col min="524" max="524" width="5.125" style="2903" customWidth="1"/>
    <col min="525" max="525" width="13.75" style="2903" customWidth="1"/>
    <col min="526" max="768" width="9" style="2903"/>
    <col min="769" max="769" width="4.875" style="2903" customWidth="1"/>
    <col min="770" max="770" width="13.25" style="2903" customWidth="1"/>
    <col min="771" max="771" width="15.625" style="2903" customWidth="1"/>
    <col min="772" max="772" width="9.375" style="2903" bestFit="1" customWidth="1"/>
    <col min="773" max="773" width="13.5" style="2903" customWidth="1"/>
    <col min="774" max="774" width="9" style="2903"/>
    <col min="775" max="775" width="9.375" style="2903" bestFit="1" customWidth="1"/>
    <col min="776" max="777" width="9" style="2903"/>
    <col min="778" max="778" width="9.375" style="2903" bestFit="1" customWidth="1"/>
    <col min="779" max="779" width="4" style="2903" customWidth="1"/>
    <col min="780" max="780" width="5.125" style="2903" customWidth="1"/>
    <col min="781" max="781" width="13.75" style="2903" customWidth="1"/>
    <col min="782" max="1024" width="9" style="2903"/>
    <col min="1025" max="1025" width="4.875" style="2903" customWidth="1"/>
    <col min="1026" max="1026" width="13.25" style="2903" customWidth="1"/>
    <col min="1027" max="1027" width="15.625" style="2903" customWidth="1"/>
    <col min="1028" max="1028" width="9.375" style="2903" bestFit="1" customWidth="1"/>
    <col min="1029" max="1029" width="13.5" style="2903" customWidth="1"/>
    <col min="1030" max="1030" width="9" style="2903"/>
    <col min="1031" max="1031" width="9.375" style="2903" bestFit="1" customWidth="1"/>
    <col min="1032" max="1033" width="9" style="2903"/>
    <col min="1034" max="1034" width="9.375" style="2903" bestFit="1" customWidth="1"/>
    <col min="1035" max="1035" width="4" style="2903" customWidth="1"/>
    <col min="1036" max="1036" width="5.125" style="2903" customWidth="1"/>
    <col min="1037" max="1037" width="13.75" style="2903" customWidth="1"/>
    <col min="1038" max="1280" width="9" style="2903"/>
    <col min="1281" max="1281" width="4.875" style="2903" customWidth="1"/>
    <col min="1282" max="1282" width="13.25" style="2903" customWidth="1"/>
    <col min="1283" max="1283" width="15.625" style="2903" customWidth="1"/>
    <col min="1284" max="1284" width="9.375" style="2903" bestFit="1" customWidth="1"/>
    <col min="1285" max="1285" width="13.5" style="2903" customWidth="1"/>
    <col min="1286" max="1286" width="9" style="2903"/>
    <col min="1287" max="1287" width="9.375" style="2903" bestFit="1" customWidth="1"/>
    <col min="1288" max="1289" width="9" style="2903"/>
    <col min="1290" max="1290" width="9.375" style="2903" bestFit="1" customWidth="1"/>
    <col min="1291" max="1291" width="4" style="2903" customWidth="1"/>
    <col min="1292" max="1292" width="5.125" style="2903" customWidth="1"/>
    <col min="1293" max="1293" width="13.75" style="2903" customWidth="1"/>
    <col min="1294" max="1536" width="9" style="2903"/>
    <col min="1537" max="1537" width="4.875" style="2903" customWidth="1"/>
    <col min="1538" max="1538" width="13.25" style="2903" customWidth="1"/>
    <col min="1539" max="1539" width="15.625" style="2903" customWidth="1"/>
    <col min="1540" max="1540" width="9.375" style="2903" bestFit="1" customWidth="1"/>
    <col min="1541" max="1541" width="13.5" style="2903" customWidth="1"/>
    <col min="1542" max="1542" width="9" style="2903"/>
    <col min="1543" max="1543" width="9.375" style="2903" bestFit="1" customWidth="1"/>
    <col min="1544" max="1545" width="9" style="2903"/>
    <col min="1546" max="1546" width="9.375" style="2903" bestFit="1" customWidth="1"/>
    <col min="1547" max="1547" width="4" style="2903" customWidth="1"/>
    <col min="1548" max="1548" width="5.125" style="2903" customWidth="1"/>
    <col min="1549" max="1549" width="13.75" style="2903" customWidth="1"/>
    <col min="1550" max="1792" width="9" style="2903"/>
    <col min="1793" max="1793" width="4.875" style="2903" customWidth="1"/>
    <col min="1794" max="1794" width="13.25" style="2903" customWidth="1"/>
    <col min="1795" max="1795" width="15.625" style="2903" customWidth="1"/>
    <col min="1796" max="1796" width="9.375" style="2903" bestFit="1" customWidth="1"/>
    <col min="1797" max="1797" width="13.5" style="2903" customWidth="1"/>
    <col min="1798" max="1798" width="9" style="2903"/>
    <col min="1799" max="1799" width="9.375" style="2903" bestFit="1" customWidth="1"/>
    <col min="1800" max="1801" width="9" style="2903"/>
    <col min="1802" max="1802" width="9.375" style="2903" bestFit="1" customWidth="1"/>
    <col min="1803" max="1803" width="4" style="2903" customWidth="1"/>
    <col min="1804" max="1804" width="5.125" style="2903" customWidth="1"/>
    <col min="1805" max="1805" width="13.75" style="2903" customWidth="1"/>
    <col min="1806" max="2048" width="9" style="2903"/>
    <col min="2049" max="2049" width="4.875" style="2903" customWidth="1"/>
    <col min="2050" max="2050" width="13.25" style="2903" customWidth="1"/>
    <col min="2051" max="2051" width="15.625" style="2903" customWidth="1"/>
    <col min="2052" max="2052" width="9.375" style="2903" bestFit="1" customWidth="1"/>
    <col min="2053" max="2053" width="13.5" style="2903" customWidth="1"/>
    <col min="2054" max="2054" width="9" style="2903"/>
    <col min="2055" max="2055" width="9.375" style="2903" bestFit="1" customWidth="1"/>
    <col min="2056" max="2057" width="9" style="2903"/>
    <col min="2058" max="2058" width="9.375" style="2903" bestFit="1" customWidth="1"/>
    <col min="2059" max="2059" width="4" style="2903" customWidth="1"/>
    <col min="2060" max="2060" width="5.125" style="2903" customWidth="1"/>
    <col min="2061" max="2061" width="13.75" style="2903" customWidth="1"/>
    <col min="2062" max="2304" width="9" style="2903"/>
    <col min="2305" max="2305" width="4.875" style="2903" customWidth="1"/>
    <col min="2306" max="2306" width="13.25" style="2903" customWidth="1"/>
    <col min="2307" max="2307" width="15.625" style="2903" customWidth="1"/>
    <col min="2308" max="2308" width="9.375" style="2903" bestFit="1" customWidth="1"/>
    <col min="2309" max="2309" width="13.5" style="2903" customWidth="1"/>
    <col min="2310" max="2310" width="9" style="2903"/>
    <col min="2311" max="2311" width="9.375" style="2903" bestFit="1" customWidth="1"/>
    <col min="2312" max="2313" width="9" style="2903"/>
    <col min="2314" max="2314" width="9.375" style="2903" bestFit="1" customWidth="1"/>
    <col min="2315" max="2315" width="4" style="2903" customWidth="1"/>
    <col min="2316" max="2316" width="5.125" style="2903" customWidth="1"/>
    <col min="2317" max="2317" width="13.75" style="2903" customWidth="1"/>
    <col min="2318" max="2560" width="9" style="2903"/>
    <col min="2561" max="2561" width="4.875" style="2903" customWidth="1"/>
    <col min="2562" max="2562" width="13.25" style="2903" customWidth="1"/>
    <col min="2563" max="2563" width="15.625" style="2903" customWidth="1"/>
    <col min="2564" max="2564" width="9.375" style="2903" bestFit="1" customWidth="1"/>
    <col min="2565" max="2565" width="13.5" style="2903" customWidth="1"/>
    <col min="2566" max="2566" width="9" style="2903"/>
    <col min="2567" max="2567" width="9.375" style="2903" bestFit="1" customWidth="1"/>
    <col min="2568" max="2569" width="9" style="2903"/>
    <col min="2570" max="2570" width="9.375" style="2903" bestFit="1" customWidth="1"/>
    <col min="2571" max="2571" width="4" style="2903" customWidth="1"/>
    <col min="2572" max="2572" width="5.125" style="2903" customWidth="1"/>
    <col min="2573" max="2573" width="13.75" style="2903" customWidth="1"/>
    <col min="2574" max="2816" width="9" style="2903"/>
    <col min="2817" max="2817" width="4.875" style="2903" customWidth="1"/>
    <col min="2818" max="2818" width="13.25" style="2903" customWidth="1"/>
    <col min="2819" max="2819" width="15.625" style="2903" customWidth="1"/>
    <col min="2820" max="2820" width="9.375" style="2903" bestFit="1" customWidth="1"/>
    <col min="2821" max="2821" width="13.5" style="2903" customWidth="1"/>
    <col min="2822" max="2822" width="9" style="2903"/>
    <col min="2823" max="2823" width="9.375" style="2903" bestFit="1" customWidth="1"/>
    <col min="2824" max="2825" width="9" style="2903"/>
    <col min="2826" max="2826" width="9.375" style="2903" bestFit="1" customWidth="1"/>
    <col min="2827" max="2827" width="4" style="2903" customWidth="1"/>
    <col min="2828" max="2828" width="5.125" style="2903" customWidth="1"/>
    <col min="2829" max="2829" width="13.75" style="2903" customWidth="1"/>
    <col min="2830" max="3072" width="9" style="2903"/>
    <col min="3073" max="3073" width="4.875" style="2903" customWidth="1"/>
    <col min="3074" max="3074" width="13.25" style="2903" customWidth="1"/>
    <col min="3075" max="3075" width="15.625" style="2903" customWidth="1"/>
    <col min="3076" max="3076" width="9.375" style="2903" bestFit="1" customWidth="1"/>
    <col min="3077" max="3077" width="13.5" style="2903" customWidth="1"/>
    <col min="3078" max="3078" width="9" style="2903"/>
    <col min="3079" max="3079" width="9.375" style="2903" bestFit="1" customWidth="1"/>
    <col min="3080" max="3081" width="9" style="2903"/>
    <col min="3082" max="3082" width="9.375" style="2903" bestFit="1" customWidth="1"/>
    <col min="3083" max="3083" width="4" style="2903" customWidth="1"/>
    <col min="3084" max="3084" width="5.125" style="2903" customWidth="1"/>
    <col min="3085" max="3085" width="13.75" style="2903" customWidth="1"/>
    <col min="3086" max="3328" width="9" style="2903"/>
    <col min="3329" max="3329" width="4.875" style="2903" customWidth="1"/>
    <col min="3330" max="3330" width="13.25" style="2903" customWidth="1"/>
    <col min="3331" max="3331" width="15.625" style="2903" customWidth="1"/>
    <col min="3332" max="3332" width="9.375" style="2903" bestFit="1" customWidth="1"/>
    <col min="3333" max="3333" width="13.5" style="2903" customWidth="1"/>
    <col min="3334" max="3334" width="9" style="2903"/>
    <col min="3335" max="3335" width="9.375" style="2903" bestFit="1" customWidth="1"/>
    <col min="3336" max="3337" width="9" style="2903"/>
    <col min="3338" max="3338" width="9.375" style="2903" bestFit="1" customWidth="1"/>
    <col min="3339" max="3339" width="4" style="2903" customWidth="1"/>
    <col min="3340" max="3340" width="5.125" style="2903" customWidth="1"/>
    <col min="3341" max="3341" width="13.75" style="2903" customWidth="1"/>
    <col min="3342" max="3584" width="9" style="2903"/>
    <col min="3585" max="3585" width="4.875" style="2903" customWidth="1"/>
    <col min="3586" max="3586" width="13.25" style="2903" customWidth="1"/>
    <col min="3587" max="3587" width="15.625" style="2903" customWidth="1"/>
    <col min="3588" max="3588" width="9.375" style="2903" bestFit="1" customWidth="1"/>
    <col min="3589" max="3589" width="13.5" style="2903" customWidth="1"/>
    <col min="3590" max="3590" width="9" style="2903"/>
    <col min="3591" max="3591" width="9.375" style="2903" bestFit="1" customWidth="1"/>
    <col min="3592" max="3593" width="9" style="2903"/>
    <col min="3594" max="3594" width="9.375" style="2903" bestFit="1" customWidth="1"/>
    <col min="3595" max="3595" width="4" style="2903" customWidth="1"/>
    <col min="3596" max="3596" width="5.125" style="2903" customWidth="1"/>
    <col min="3597" max="3597" width="13.75" style="2903" customWidth="1"/>
    <col min="3598" max="3840" width="9" style="2903"/>
    <col min="3841" max="3841" width="4.875" style="2903" customWidth="1"/>
    <col min="3842" max="3842" width="13.25" style="2903" customWidth="1"/>
    <col min="3843" max="3843" width="15.625" style="2903" customWidth="1"/>
    <col min="3844" max="3844" width="9.375" style="2903" bestFit="1" customWidth="1"/>
    <col min="3845" max="3845" width="13.5" style="2903" customWidth="1"/>
    <col min="3846" max="3846" width="9" style="2903"/>
    <col min="3847" max="3847" width="9.375" style="2903" bestFit="1" customWidth="1"/>
    <col min="3848" max="3849" width="9" style="2903"/>
    <col min="3850" max="3850" width="9.375" style="2903" bestFit="1" customWidth="1"/>
    <col min="3851" max="3851" width="4" style="2903" customWidth="1"/>
    <col min="3852" max="3852" width="5.125" style="2903" customWidth="1"/>
    <col min="3853" max="3853" width="13.75" style="2903" customWidth="1"/>
    <col min="3854" max="4096" width="9" style="2903"/>
    <col min="4097" max="4097" width="4.875" style="2903" customWidth="1"/>
    <col min="4098" max="4098" width="13.25" style="2903" customWidth="1"/>
    <col min="4099" max="4099" width="15.625" style="2903" customWidth="1"/>
    <col min="4100" max="4100" width="9.375" style="2903" bestFit="1" customWidth="1"/>
    <col min="4101" max="4101" width="13.5" style="2903" customWidth="1"/>
    <col min="4102" max="4102" width="9" style="2903"/>
    <col min="4103" max="4103" width="9.375" style="2903" bestFit="1" customWidth="1"/>
    <col min="4104" max="4105" width="9" style="2903"/>
    <col min="4106" max="4106" width="9.375" style="2903" bestFit="1" customWidth="1"/>
    <col min="4107" max="4107" width="4" style="2903" customWidth="1"/>
    <col min="4108" max="4108" width="5.125" style="2903" customWidth="1"/>
    <col min="4109" max="4109" width="13.75" style="2903" customWidth="1"/>
    <col min="4110" max="4352" width="9" style="2903"/>
    <col min="4353" max="4353" width="4.875" style="2903" customWidth="1"/>
    <col min="4354" max="4354" width="13.25" style="2903" customWidth="1"/>
    <col min="4355" max="4355" width="15.625" style="2903" customWidth="1"/>
    <col min="4356" max="4356" width="9.375" style="2903" bestFit="1" customWidth="1"/>
    <col min="4357" max="4357" width="13.5" style="2903" customWidth="1"/>
    <col min="4358" max="4358" width="9" style="2903"/>
    <col min="4359" max="4359" width="9.375" style="2903" bestFit="1" customWidth="1"/>
    <col min="4360" max="4361" width="9" style="2903"/>
    <col min="4362" max="4362" width="9.375" style="2903" bestFit="1" customWidth="1"/>
    <col min="4363" max="4363" width="4" style="2903" customWidth="1"/>
    <col min="4364" max="4364" width="5.125" style="2903" customWidth="1"/>
    <col min="4365" max="4365" width="13.75" style="2903" customWidth="1"/>
    <col min="4366" max="4608" width="9" style="2903"/>
    <col min="4609" max="4609" width="4.875" style="2903" customWidth="1"/>
    <col min="4610" max="4610" width="13.25" style="2903" customWidth="1"/>
    <col min="4611" max="4611" width="15.625" style="2903" customWidth="1"/>
    <col min="4612" max="4612" width="9.375" style="2903" bestFit="1" customWidth="1"/>
    <col min="4613" max="4613" width="13.5" style="2903" customWidth="1"/>
    <col min="4614" max="4614" width="9" style="2903"/>
    <col min="4615" max="4615" width="9.375" style="2903" bestFit="1" customWidth="1"/>
    <col min="4616" max="4617" width="9" style="2903"/>
    <col min="4618" max="4618" width="9.375" style="2903" bestFit="1" customWidth="1"/>
    <col min="4619" max="4619" width="4" style="2903" customWidth="1"/>
    <col min="4620" max="4620" width="5.125" style="2903" customWidth="1"/>
    <col min="4621" max="4621" width="13.75" style="2903" customWidth="1"/>
    <col min="4622" max="4864" width="9" style="2903"/>
    <col min="4865" max="4865" width="4.875" style="2903" customWidth="1"/>
    <col min="4866" max="4866" width="13.25" style="2903" customWidth="1"/>
    <col min="4867" max="4867" width="15.625" style="2903" customWidth="1"/>
    <col min="4868" max="4868" width="9.375" style="2903" bestFit="1" customWidth="1"/>
    <col min="4869" max="4869" width="13.5" style="2903" customWidth="1"/>
    <col min="4870" max="4870" width="9" style="2903"/>
    <col min="4871" max="4871" width="9.375" style="2903" bestFit="1" customWidth="1"/>
    <col min="4872" max="4873" width="9" style="2903"/>
    <col min="4874" max="4874" width="9.375" style="2903" bestFit="1" customWidth="1"/>
    <col min="4875" max="4875" width="4" style="2903" customWidth="1"/>
    <col min="4876" max="4876" width="5.125" style="2903" customWidth="1"/>
    <col min="4877" max="4877" width="13.75" style="2903" customWidth="1"/>
    <col min="4878" max="5120" width="9" style="2903"/>
    <col min="5121" max="5121" width="4.875" style="2903" customWidth="1"/>
    <col min="5122" max="5122" width="13.25" style="2903" customWidth="1"/>
    <col min="5123" max="5123" width="15.625" style="2903" customWidth="1"/>
    <col min="5124" max="5124" width="9.375" style="2903" bestFit="1" customWidth="1"/>
    <col min="5125" max="5125" width="13.5" style="2903" customWidth="1"/>
    <col min="5126" max="5126" width="9" style="2903"/>
    <col min="5127" max="5127" width="9.375" style="2903" bestFit="1" customWidth="1"/>
    <col min="5128" max="5129" width="9" style="2903"/>
    <col min="5130" max="5130" width="9.375" style="2903" bestFit="1" customWidth="1"/>
    <col min="5131" max="5131" width="4" style="2903" customWidth="1"/>
    <col min="5132" max="5132" width="5.125" style="2903" customWidth="1"/>
    <col min="5133" max="5133" width="13.75" style="2903" customWidth="1"/>
    <col min="5134" max="5376" width="9" style="2903"/>
    <col min="5377" max="5377" width="4.875" style="2903" customWidth="1"/>
    <col min="5378" max="5378" width="13.25" style="2903" customWidth="1"/>
    <col min="5379" max="5379" width="15.625" style="2903" customWidth="1"/>
    <col min="5380" max="5380" width="9.375" style="2903" bestFit="1" customWidth="1"/>
    <col min="5381" max="5381" width="13.5" style="2903" customWidth="1"/>
    <col min="5382" max="5382" width="9" style="2903"/>
    <col min="5383" max="5383" width="9.375" style="2903" bestFit="1" customWidth="1"/>
    <col min="5384" max="5385" width="9" style="2903"/>
    <col min="5386" max="5386" width="9.375" style="2903" bestFit="1" customWidth="1"/>
    <col min="5387" max="5387" width="4" style="2903" customWidth="1"/>
    <col min="5388" max="5388" width="5.125" style="2903" customWidth="1"/>
    <col min="5389" max="5389" width="13.75" style="2903" customWidth="1"/>
    <col min="5390" max="5632" width="9" style="2903"/>
    <col min="5633" max="5633" width="4.875" style="2903" customWidth="1"/>
    <col min="5634" max="5634" width="13.25" style="2903" customWidth="1"/>
    <col min="5635" max="5635" width="15.625" style="2903" customWidth="1"/>
    <col min="5636" max="5636" width="9.375" style="2903" bestFit="1" customWidth="1"/>
    <col min="5637" max="5637" width="13.5" style="2903" customWidth="1"/>
    <col min="5638" max="5638" width="9" style="2903"/>
    <col min="5639" max="5639" width="9.375" style="2903" bestFit="1" customWidth="1"/>
    <col min="5640" max="5641" width="9" style="2903"/>
    <col min="5642" max="5642" width="9.375" style="2903" bestFit="1" customWidth="1"/>
    <col min="5643" max="5643" width="4" style="2903" customWidth="1"/>
    <col min="5644" max="5644" width="5.125" style="2903" customWidth="1"/>
    <col min="5645" max="5645" width="13.75" style="2903" customWidth="1"/>
    <col min="5646" max="5888" width="9" style="2903"/>
    <col min="5889" max="5889" width="4.875" style="2903" customWidth="1"/>
    <col min="5890" max="5890" width="13.25" style="2903" customWidth="1"/>
    <col min="5891" max="5891" width="15.625" style="2903" customWidth="1"/>
    <col min="5892" max="5892" width="9.375" style="2903" bestFit="1" customWidth="1"/>
    <col min="5893" max="5893" width="13.5" style="2903" customWidth="1"/>
    <col min="5894" max="5894" width="9" style="2903"/>
    <col min="5895" max="5895" width="9.375" style="2903" bestFit="1" customWidth="1"/>
    <col min="5896" max="5897" width="9" style="2903"/>
    <col min="5898" max="5898" width="9.375" style="2903" bestFit="1" customWidth="1"/>
    <col min="5899" max="5899" width="4" style="2903" customWidth="1"/>
    <col min="5900" max="5900" width="5.125" style="2903" customWidth="1"/>
    <col min="5901" max="5901" width="13.75" style="2903" customWidth="1"/>
    <col min="5902" max="6144" width="9" style="2903"/>
    <col min="6145" max="6145" width="4.875" style="2903" customWidth="1"/>
    <col min="6146" max="6146" width="13.25" style="2903" customWidth="1"/>
    <col min="6147" max="6147" width="15.625" style="2903" customWidth="1"/>
    <col min="6148" max="6148" width="9.375" style="2903" bestFit="1" customWidth="1"/>
    <col min="6149" max="6149" width="13.5" style="2903" customWidth="1"/>
    <col min="6150" max="6150" width="9" style="2903"/>
    <col min="6151" max="6151" width="9.375" style="2903" bestFit="1" customWidth="1"/>
    <col min="6152" max="6153" width="9" style="2903"/>
    <col min="6154" max="6154" width="9.375" style="2903" bestFit="1" customWidth="1"/>
    <col min="6155" max="6155" width="4" style="2903" customWidth="1"/>
    <col min="6156" max="6156" width="5.125" style="2903" customWidth="1"/>
    <col min="6157" max="6157" width="13.75" style="2903" customWidth="1"/>
    <col min="6158" max="6400" width="9" style="2903"/>
    <col min="6401" max="6401" width="4.875" style="2903" customWidth="1"/>
    <col min="6402" max="6402" width="13.25" style="2903" customWidth="1"/>
    <col min="6403" max="6403" width="15.625" style="2903" customWidth="1"/>
    <col min="6404" max="6404" width="9.375" style="2903" bestFit="1" customWidth="1"/>
    <col min="6405" max="6405" width="13.5" style="2903" customWidth="1"/>
    <col min="6406" max="6406" width="9" style="2903"/>
    <col min="6407" max="6407" width="9.375" style="2903" bestFit="1" customWidth="1"/>
    <col min="6408" max="6409" width="9" style="2903"/>
    <col min="6410" max="6410" width="9.375" style="2903" bestFit="1" customWidth="1"/>
    <col min="6411" max="6411" width="4" style="2903" customWidth="1"/>
    <col min="6412" max="6412" width="5.125" style="2903" customWidth="1"/>
    <col min="6413" max="6413" width="13.75" style="2903" customWidth="1"/>
    <col min="6414" max="6656" width="9" style="2903"/>
    <col min="6657" max="6657" width="4.875" style="2903" customWidth="1"/>
    <col min="6658" max="6658" width="13.25" style="2903" customWidth="1"/>
    <col min="6659" max="6659" width="15.625" style="2903" customWidth="1"/>
    <col min="6660" max="6660" width="9.375" style="2903" bestFit="1" customWidth="1"/>
    <col min="6661" max="6661" width="13.5" style="2903" customWidth="1"/>
    <col min="6662" max="6662" width="9" style="2903"/>
    <col min="6663" max="6663" width="9.375" style="2903" bestFit="1" customWidth="1"/>
    <col min="6664" max="6665" width="9" style="2903"/>
    <col min="6666" max="6666" width="9.375" style="2903" bestFit="1" customWidth="1"/>
    <col min="6667" max="6667" width="4" style="2903" customWidth="1"/>
    <col min="6668" max="6668" width="5.125" style="2903" customWidth="1"/>
    <col min="6669" max="6669" width="13.75" style="2903" customWidth="1"/>
    <col min="6670" max="6912" width="9" style="2903"/>
    <col min="6913" max="6913" width="4.875" style="2903" customWidth="1"/>
    <col min="6914" max="6914" width="13.25" style="2903" customWidth="1"/>
    <col min="6915" max="6915" width="15.625" style="2903" customWidth="1"/>
    <col min="6916" max="6916" width="9.375" style="2903" bestFit="1" customWidth="1"/>
    <col min="6917" max="6917" width="13.5" style="2903" customWidth="1"/>
    <col min="6918" max="6918" width="9" style="2903"/>
    <col min="6919" max="6919" width="9.375" style="2903" bestFit="1" customWidth="1"/>
    <col min="6920" max="6921" width="9" style="2903"/>
    <col min="6922" max="6922" width="9.375" style="2903" bestFit="1" customWidth="1"/>
    <col min="6923" max="6923" width="4" style="2903" customWidth="1"/>
    <col min="6924" max="6924" width="5.125" style="2903" customWidth="1"/>
    <col min="6925" max="6925" width="13.75" style="2903" customWidth="1"/>
    <col min="6926" max="7168" width="9" style="2903"/>
    <col min="7169" max="7169" width="4.875" style="2903" customWidth="1"/>
    <col min="7170" max="7170" width="13.25" style="2903" customWidth="1"/>
    <col min="7171" max="7171" width="15.625" style="2903" customWidth="1"/>
    <col min="7172" max="7172" width="9.375" style="2903" bestFit="1" customWidth="1"/>
    <col min="7173" max="7173" width="13.5" style="2903" customWidth="1"/>
    <col min="7174" max="7174" width="9" style="2903"/>
    <col min="7175" max="7175" width="9.375" style="2903" bestFit="1" customWidth="1"/>
    <col min="7176" max="7177" width="9" style="2903"/>
    <col min="7178" max="7178" width="9.375" style="2903" bestFit="1" customWidth="1"/>
    <col min="7179" max="7179" width="4" style="2903" customWidth="1"/>
    <col min="7180" max="7180" width="5.125" style="2903" customWidth="1"/>
    <col min="7181" max="7181" width="13.75" style="2903" customWidth="1"/>
    <col min="7182" max="7424" width="9" style="2903"/>
    <col min="7425" max="7425" width="4.875" style="2903" customWidth="1"/>
    <col min="7426" max="7426" width="13.25" style="2903" customWidth="1"/>
    <col min="7427" max="7427" width="15.625" style="2903" customWidth="1"/>
    <col min="7428" max="7428" width="9.375" style="2903" bestFit="1" customWidth="1"/>
    <col min="7429" max="7429" width="13.5" style="2903" customWidth="1"/>
    <col min="7430" max="7430" width="9" style="2903"/>
    <col min="7431" max="7431" width="9.375" style="2903" bestFit="1" customWidth="1"/>
    <col min="7432" max="7433" width="9" style="2903"/>
    <col min="7434" max="7434" width="9.375" style="2903" bestFit="1" customWidth="1"/>
    <col min="7435" max="7435" width="4" style="2903" customWidth="1"/>
    <col min="7436" max="7436" width="5.125" style="2903" customWidth="1"/>
    <col min="7437" max="7437" width="13.75" style="2903" customWidth="1"/>
    <col min="7438" max="7680" width="9" style="2903"/>
    <col min="7681" max="7681" width="4.875" style="2903" customWidth="1"/>
    <col min="7682" max="7682" width="13.25" style="2903" customWidth="1"/>
    <col min="7683" max="7683" width="15.625" style="2903" customWidth="1"/>
    <col min="7684" max="7684" width="9.375" style="2903" bestFit="1" customWidth="1"/>
    <col min="7685" max="7685" width="13.5" style="2903" customWidth="1"/>
    <col min="7686" max="7686" width="9" style="2903"/>
    <col min="7687" max="7687" width="9.375" style="2903" bestFit="1" customWidth="1"/>
    <col min="7688" max="7689" width="9" style="2903"/>
    <col min="7690" max="7690" width="9.375" style="2903" bestFit="1" customWidth="1"/>
    <col min="7691" max="7691" width="4" style="2903" customWidth="1"/>
    <col min="7692" max="7692" width="5.125" style="2903" customWidth="1"/>
    <col min="7693" max="7693" width="13.75" style="2903" customWidth="1"/>
    <col min="7694" max="7936" width="9" style="2903"/>
    <col min="7937" max="7937" width="4.875" style="2903" customWidth="1"/>
    <col min="7938" max="7938" width="13.25" style="2903" customWidth="1"/>
    <col min="7939" max="7939" width="15.625" style="2903" customWidth="1"/>
    <col min="7940" max="7940" width="9.375" style="2903" bestFit="1" customWidth="1"/>
    <col min="7941" max="7941" width="13.5" style="2903" customWidth="1"/>
    <col min="7942" max="7942" width="9" style="2903"/>
    <col min="7943" max="7943" width="9.375" style="2903" bestFit="1" customWidth="1"/>
    <col min="7944" max="7945" width="9" style="2903"/>
    <col min="7946" max="7946" width="9.375" style="2903" bestFit="1" customWidth="1"/>
    <col min="7947" max="7947" width="4" style="2903" customWidth="1"/>
    <col min="7948" max="7948" width="5.125" style="2903" customWidth="1"/>
    <col min="7949" max="7949" width="13.75" style="2903" customWidth="1"/>
    <col min="7950" max="8192" width="9" style="2903"/>
    <col min="8193" max="8193" width="4.875" style="2903" customWidth="1"/>
    <col min="8194" max="8194" width="13.25" style="2903" customWidth="1"/>
    <col min="8195" max="8195" width="15.625" style="2903" customWidth="1"/>
    <col min="8196" max="8196" width="9.375" style="2903" bestFit="1" customWidth="1"/>
    <col min="8197" max="8197" width="13.5" style="2903" customWidth="1"/>
    <col min="8198" max="8198" width="9" style="2903"/>
    <col min="8199" max="8199" width="9.375" style="2903" bestFit="1" customWidth="1"/>
    <col min="8200" max="8201" width="9" style="2903"/>
    <col min="8202" max="8202" width="9.375" style="2903" bestFit="1" customWidth="1"/>
    <col min="8203" max="8203" width="4" style="2903" customWidth="1"/>
    <col min="8204" max="8204" width="5.125" style="2903" customWidth="1"/>
    <col min="8205" max="8205" width="13.75" style="2903" customWidth="1"/>
    <col min="8206" max="8448" width="9" style="2903"/>
    <col min="8449" max="8449" width="4.875" style="2903" customWidth="1"/>
    <col min="8450" max="8450" width="13.25" style="2903" customWidth="1"/>
    <col min="8451" max="8451" width="15.625" style="2903" customWidth="1"/>
    <col min="8452" max="8452" width="9.375" style="2903" bestFit="1" customWidth="1"/>
    <col min="8453" max="8453" width="13.5" style="2903" customWidth="1"/>
    <col min="8454" max="8454" width="9" style="2903"/>
    <col min="8455" max="8455" width="9.375" style="2903" bestFit="1" customWidth="1"/>
    <col min="8456" max="8457" width="9" style="2903"/>
    <col min="8458" max="8458" width="9.375" style="2903" bestFit="1" customWidth="1"/>
    <col min="8459" max="8459" width="4" style="2903" customWidth="1"/>
    <col min="8460" max="8460" width="5.125" style="2903" customWidth="1"/>
    <col min="8461" max="8461" width="13.75" style="2903" customWidth="1"/>
    <col min="8462" max="8704" width="9" style="2903"/>
    <col min="8705" max="8705" width="4.875" style="2903" customWidth="1"/>
    <col min="8706" max="8706" width="13.25" style="2903" customWidth="1"/>
    <col min="8707" max="8707" width="15.625" style="2903" customWidth="1"/>
    <col min="8708" max="8708" width="9.375" style="2903" bestFit="1" customWidth="1"/>
    <col min="8709" max="8709" width="13.5" style="2903" customWidth="1"/>
    <col min="8710" max="8710" width="9" style="2903"/>
    <col min="8711" max="8711" width="9.375" style="2903" bestFit="1" customWidth="1"/>
    <col min="8712" max="8713" width="9" style="2903"/>
    <col min="8714" max="8714" width="9.375" style="2903" bestFit="1" customWidth="1"/>
    <col min="8715" max="8715" width="4" style="2903" customWidth="1"/>
    <col min="8716" max="8716" width="5.125" style="2903" customWidth="1"/>
    <col min="8717" max="8717" width="13.75" style="2903" customWidth="1"/>
    <col min="8718" max="8960" width="9" style="2903"/>
    <col min="8961" max="8961" width="4.875" style="2903" customWidth="1"/>
    <col min="8962" max="8962" width="13.25" style="2903" customWidth="1"/>
    <col min="8963" max="8963" width="15.625" style="2903" customWidth="1"/>
    <col min="8964" max="8964" width="9.375" style="2903" bestFit="1" customWidth="1"/>
    <col min="8965" max="8965" width="13.5" style="2903" customWidth="1"/>
    <col min="8966" max="8966" width="9" style="2903"/>
    <col min="8967" max="8967" width="9.375" style="2903" bestFit="1" customWidth="1"/>
    <col min="8968" max="8969" width="9" style="2903"/>
    <col min="8970" max="8970" width="9.375" style="2903" bestFit="1" customWidth="1"/>
    <col min="8971" max="8971" width="4" style="2903" customWidth="1"/>
    <col min="8972" max="8972" width="5.125" style="2903" customWidth="1"/>
    <col min="8973" max="8973" width="13.75" style="2903" customWidth="1"/>
    <col min="8974" max="9216" width="9" style="2903"/>
    <col min="9217" max="9217" width="4.875" style="2903" customWidth="1"/>
    <col min="9218" max="9218" width="13.25" style="2903" customWidth="1"/>
    <col min="9219" max="9219" width="15.625" style="2903" customWidth="1"/>
    <col min="9220" max="9220" width="9.375" style="2903" bestFit="1" customWidth="1"/>
    <col min="9221" max="9221" width="13.5" style="2903" customWidth="1"/>
    <col min="9222" max="9222" width="9" style="2903"/>
    <col min="9223" max="9223" width="9.375" style="2903" bestFit="1" customWidth="1"/>
    <col min="9224" max="9225" width="9" style="2903"/>
    <col min="9226" max="9226" width="9.375" style="2903" bestFit="1" customWidth="1"/>
    <col min="9227" max="9227" width="4" style="2903" customWidth="1"/>
    <col min="9228" max="9228" width="5.125" style="2903" customWidth="1"/>
    <col min="9229" max="9229" width="13.75" style="2903" customWidth="1"/>
    <col min="9230" max="9472" width="9" style="2903"/>
    <col min="9473" max="9473" width="4.875" style="2903" customWidth="1"/>
    <col min="9474" max="9474" width="13.25" style="2903" customWidth="1"/>
    <col min="9475" max="9475" width="15.625" style="2903" customWidth="1"/>
    <col min="9476" max="9476" width="9.375" style="2903" bestFit="1" customWidth="1"/>
    <col min="9477" max="9477" width="13.5" style="2903" customWidth="1"/>
    <col min="9478" max="9478" width="9" style="2903"/>
    <col min="9479" max="9479" width="9.375" style="2903" bestFit="1" customWidth="1"/>
    <col min="9480" max="9481" width="9" style="2903"/>
    <col min="9482" max="9482" width="9.375" style="2903" bestFit="1" customWidth="1"/>
    <col min="9483" max="9483" width="4" style="2903" customWidth="1"/>
    <col min="9484" max="9484" width="5.125" style="2903" customWidth="1"/>
    <col min="9485" max="9485" width="13.75" style="2903" customWidth="1"/>
    <col min="9486" max="9728" width="9" style="2903"/>
    <col min="9729" max="9729" width="4.875" style="2903" customWidth="1"/>
    <col min="9730" max="9730" width="13.25" style="2903" customWidth="1"/>
    <col min="9731" max="9731" width="15.625" style="2903" customWidth="1"/>
    <col min="9732" max="9732" width="9.375" style="2903" bestFit="1" customWidth="1"/>
    <col min="9733" max="9733" width="13.5" style="2903" customWidth="1"/>
    <col min="9734" max="9734" width="9" style="2903"/>
    <col min="9735" max="9735" width="9.375" style="2903" bestFit="1" customWidth="1"/>
    <col min="9736" max="9737" width="9" style="2903"/>
    <col min="9738" max="9738" width="9.375" style="2903" bestFit="1" customWidth="1"/>
    <col min="9739" max="9739" width="4" style="2903" customWidth="1"/>
    <col min="9740" max="9740" width="5.125" style="2903" customWidth="1"/>
    <col min="9741" max="9741" width="13.75" style="2903" customWidth="1"/>
    <col min="9742" max="9984" width="9" style="2903"/>
    <col min="9985" max="9985" width="4.875" style="2903" customWidth="1"/>
    <col min="9986" max="9986" width="13.25" style="2903" customWidth="1"/>
    <col min="9987" max="9987" width="15.625" style="2903" customWidth="1"/>
    <col min="9988" max="9988" width="9.375" style="2903" bestFit="1" customWidth="1"/>
    <col min="9989" max="9989" width="13.5" style="2903" customWidth="1"/>
    <col min="9990" max="9990" width="9" style="2903"/>
    <col min="9991" max="9991" width="9.375" style="2903" bestFit="1" customWidth="1"/>
    <col min="9992" max="9993" width="9" style="2903"/>
    <col min="9994" max="9994" width="9.375" style="2903" bestFit="1" customWidth="1"/>
    <col min="9995" max="9995" width="4" style="2903" customWidth="1"/>
    <col min="9996" max="9996" width="5.125" style="2903" customWidth="1"/>
    <col min="9997" max="9997" width="13.75" style="2903" customWidth="1"/>
    <col min="9998" max="10240" width="9" style="2903"/>
    <col min="10241" max="10241" width="4.875" style="2903" customWidth="1"/>
    <col min="10242" max="10242" width="13.25" style="2903" customWidth="1"/>
    <col min="10243" max="10243" width="15.625" style="2903" customWidth="1"/>
    <col min="10244" max="10244" width="9.375" style="2903" bestFit="1" customWidth="1"/>
    <col min="10245" max="10245" width="13.5" style="2903" customWidth="1"/>
    <col min="10246" max="10246" width="9" style="2903"/>
    <col min="10247" max="10247" width="9.375" style="2903" bestFit="1" customWidth="1"/>
    <col min="10248" max="10249" width="9" style="2903"/>
    <col min="10250" max="10250" width="9.375" style="2903" bestFit="1" customWidth="1"/>
    <col min="10251" max="10251" width="4" style="2903" customWidth="1"/>
    <col min="10252" max="10252" width="5.125" style="2903" customWidth="1"/>
    <col min="10253" max="10253" width="13.75" style="2903" customWidth="1"/>
    <col min="10254" max="10496" width="9" style="2903"/>
    <col min="10497" max="10497" width="4.875" style="2903" customWidth="1"/>
    <col min="10498" max="10498" width="13.25" style="2903" customWidth="1"/>
    <col min="10499" max="10499" width="15.625" style="2903" customWidth="1"/>
    <col min="10500" max="10500" width="9.375" style="2903" bestFit="1" customWidth="1"/>
    <col min="10501" max="10501" width="13.5" style="2903" customWidth="1"/>
    <col min="10502" max="10502" width="9" style="2903"/>
    <col min="10503" max="10503" width="9.375" style="2903" bestFit="1" customWidth="1"/>
    <col min="10504" max="10505" width="9" style="2903"/>
    <col min="10506" max="10506" width="9.375" style="2903" bestFit="1" customWidth="1"/>
    <col min="10507" max="10507" width="4" style="2903" customWidth="1"/>
    <col min="10508" max="10508" width="5.125" style="2903" customWidth="1"/>
    <col min="10509" max="10509" width="13.75" style="2903" customWidth="1"/>
    <col min="10510" max="10752" width="9" style="2903"/>
    <col min="10753" max="10753" width="4.875" style="2903" customWidth="1"/>
    <col min="10754" max="10754" width="13.25" style="2903" customWidth="1"/>
    <col min="10755" max="10755" width="15.625" style="2903" customWidth="1"/>
    <col min="10756" max="10756" width="9.375" style="2903" bestFit="1" customWidth="1"/>
    <col min="10757" max="10757" width="13.5" style="2903" customWidth="1"/>
    <col min="10758" max="10758" width="9" style="2903"/>
    <col min="10759" max="10759" width="9.375" style="2903" bestFit="1" customWidth="1"/>
    <col min="10760" max="10761" width="9" style="2903"/>
    <col min="10762" max="10762" width="9.375" style="2903" bestFit="1" customWidth="1"/>
    <col min="10763" max="10763" width="4" style="2903" customWidth="1"/>
    <col min="10764" max="10764" width="5.125" style="2903" customWidth="1"/>
    <col min="10765" max="10765" width="13.75" style="2903" customWidth="1"/>
    <col min="10766" max="11008" width="9" style="2903"/>
    <col min="11009" max="11009" width="4.875" style="2903" customWidth="1"/>
    <col min="11010" max="11010" width="13.25" style="2903" customWidth="1"/>
    <col min="11011" max="11011" width="15.625" style="2903" customWidth="1"/>
    <col min="11012" max="11012" width="9.375" style="2903" bestFit="1" customWidth="1"/>
    <col min="11013" max="11013" width="13.5" style="2903" customWidth="1"/>
    <col min="11014" max="11014" width="9" style="2903"/>
    <col min="11015" max="11015" width="9.375" style="2903" bestFit="1" customWidth="1"/>
    <col min="11016" max="11017" width="9" style="2903"/>
    <col min="11018" max="11018" width="9.375" style="2903" bestFit="1" customWidth="1"/>
    <col min="11019" max="11019" width="4" style="2903" customWidth="1"/>
    <col min="11020" max="11020" width="5.125" style="2903" customWidth="1"/>
    <col min="11021" max="11021" width="13.75" style="2903" customWidth="1"/>
    <col min="11022" max="11264" width="9" style="2903"/>
    <col min="11265" max="11265" width="4.875" style="2903" customWidth="1"/>
    <col min="11266" max="11266" width="13.25" style="2903" customWidth="1"/>
    <col min="11267" max="11267" width="15.625" style="2903" customWidth="1"/>
    <col min="11268" max="11268" width="9.375" style="2903" bestFit="1" customWidth="1"/>
    <col min="11269" max="11269" width="13.5" style="2903" customWidth="1"/>
    <col min="11270" max="11270" width="9" style="2903"/>
    <col min="11271" max="11271" width="9.375" style="2903" bestFit="1" customWidth="1"/>
    <col min="11272" max="11273" width="9" style="2903"/>
    <col min="11274" max="11274" width="9.375" style="2903" bestFit="1" customWidth="1"/>
    <col min="11275" max="11275" width="4" style="2903" customWidth="1"/>
    <col min="11276" max="11276" width="5.125" style="2903" customWidth="1"/>
    <col min="11277" max="11277" width="13.75" style="2903" customWidth="1"/>
    <col min="11278" max="11520" width="9" style="2903"/>
    <col min="11521" max="11521" width="4.875" style="2903" customWidth="1"/>
    <col min="11522" max="11522" width="13.25" style="2903" customWidth="1"/>
    <col min="11523" max="11523" width="15.625" style="2903" customWidth="1"/>
    <col min="11524" max="11524" width="9.375" style="2903" bestFit="1" customWidth="1"/>
    <col min="11525" max="11525" width="13.5" style="2903" customWidth="1"/>
    <col min="11526" max="11526" width="9" style="2903"/>
    <col min="11527" max="11527" width="9.375" style="2903" bestFit="1" customWidth="1"/>
    <col min="11528" max="11529" width="9" style="2903"/>
    <col min="11530" max="11530" width="9.375" style="2903" bestFit="1" customWidth="1"/>
    <col min="11531" max="11531" width="4" style="2903" customWidth="1"/>
    <col min="11532" max="11532" width="5.125" style="2903" customWidth="1"/>
    <col min="11533" max="11533" width="13.75" style="2903" customWidth="1"/>
    <col min="11534" max="11776" width="9" style="2903"/>
    <col min="11777" max="11777" width="4.875" style="2903" customWidth="1"/>
    <col min="11778" max="11778" width="13.25" style="2903" customWidth="1"/>
    <col min="11779" max="11779" width="15.625" style="2903" customWidth="1"/>
    <col min="11780" max="11780" width="9.375" style="2903" bestFit="1" customWidth="1"/>
    <col min="11781" max="11781" width="13.5" style="2903" customWidth="1"/>
    <col min="11782" max="11782" width="9" style="2903"/>
    <col min="11783" max="11783" width="9.375" style="2903" bestFit="1" customWidth="1"/>
    <col min="11784" max="11785" width="9" style="2903"/>
    <col min="11786" max="11786" width="9.375" style="2903" bestFit="1" customWidth="1"/>
    <col min="11787" max="11787" width="4" style="2903" customWidth="1"/>
    <col min="11788" max="11788" width="5.125" style="2903" customWidth="1"/>
    <col min="11789" max="11789" width="13.75" style="2903" customWidth="1"/>
    <col min="11790" max="12032" width="9" style="2903"/>
    <col min="12033" max="12033" width="4.875" style="2903" customWidth="1"/>
    <col min="12034" max="12034" width="13.25" style="2903" customWidth="1"/>
    <col min="12035" max="12035" width="15.625" style="2903" customWidth="1"/>
    <col min="12036" max="12036" width="9.375" style="2903" bestFit="1" customWidth="1"/>
    <col min="12037" max="12037" width="13.5" style="2903" customWidth="1"/>
    <col min="12038" max="12038" width="9" style="2903"/>
    <col min="12039" max="12039" width="9.375" style="2903" bestFit="1" customWidth="1"/>
    <col min="12040" max="12041" width="9" style="2903"/>
    <col min="12042" max="12042" width="9.375" style="2903" bestFit="1" customWidth="1"/>
    <col min="12043" max="12043" width="4" style="2903" customWidth="1"/>
    <col min="12044" max="12044" width="5.125" style="2903" customWidth="1"/>
    <col min="12045" max="12045" width="13.75" style="2903" customWidth="1"/>
    <col min="12046" max="12288" width="9" style="2903"/>
    <col min="12289" max="12289" width="4.875" style="2903" customWidth="1"/>
    <col min="12290" max="12290" width="13.25" style="2903" customWidth="1"/>
    <col min="12291" max="12291" width="15.625" style="2903" customWidth="1"/>
    <col min="12292" max="12292" width="9.375" style="2903" bestFit="1" customWidth="1"/>
    <col min="12293" max="12293" width="13.5" style="2903" customWidth="1"/>
    <col min="12294" max="12294" width="9" style="2903"/>
    <col min="12295" max="12295" width="9.375" style="2903" bestFit="1" customWidth="1"/>
    <col min="12296" max="12297" width="9" style="2903"/>
    <col min="12298" max="12298" width="9.375" style="2903" bestFit="1" customWidth="1"/>
    <col min="12299" max="12299" width="4" style="2903" customWidth="1"/>
    <col min="12300" max="12300" width="5.125" style="2903" customWidth="1"/>
    <col min="12301" max="12301" width="13.75" style="2903" customWidth="1"/>
    <col min="12302" max="12544" width="9" style="2903"/>
    <col min="12545" max="12545" width="4.875" style="2903" customWidth="1"/>
    <col min="12546" max="12546" width="13.25" style="2903" customWidth="1"/>
    <col min="12547" max="12547" width="15.625" style="2903" customWidth="1"/>
    <col min="12548" max="12548" width="9.375" style="2903" bestFit="1" customWidth="1"/>
    <col min="12549" max="12549" width="13.5" style="2903" customWidth="1"/>
    <col min="12550" max="12550" width="9" style="2903"/>
    <col min="12551" max="12551" width="9.375" style="2903" bestFit="1" customWidth="1"/>
    <col min="12552" max="12553" width="9" style="2903"/>
    <col min="12554" max="12554" width="9.375" style="2903" bestFit="1" customWidth="1"/>
    <col min="12555" max="12555" width="4" style="2903" customWidth="1"/>
    <col min="12556" max="12556" width="5.125" style="2903" customWidth="1"/>
    <col min="12557" max="12557" width="13.75" style="2903" customWidth="1"/>
    <col min="12558" max="12800" width="9" style="2903"/>
    <col min="12801" max="12801" width="4.875" style="2903" customWidth="1"/>
    <col min="12802" max="12802" width="13.25" style="2903" customWidth="1"/>
    <col min="12803" max="12803" width="15.625" style="2903" customWidth="1"/>
    <col min="12804" max="12804" width="9.375" style="2903" bestFit="1" customWidth="1"/>
    <col min="12805" max="12805" width="13.5" style="2903" customWidth="1"/>
    <col min="12806" max="12806" width="9" style="2903"/>
    <col min="12807" max="12807" width="9.375" style="2903" bestFit="1" customWidth="1"/>
    <col min="12808" max="12809" width="9" style="2903"/>
    <col min="12810" max="12810" width="9.375" style="2903" bestFit="1" customWidth="1"/>
    <col min="12811" max="12811" width="4" style="2903" customWidth="1"/>
    <col min="12812" max="12812" width="5.125" style="2903" customWidth="1"/>
    <col min="12813" max="12813" width="13.75" style="2903" customWidth="1"/>
    <col min="12814" max="13056" width="9" style="2903"/>
    <col min="13057" max="13057" width="4.875" style="2903" customWidth="1"/>
    <col min="13058" max="13058" width="13.25" style="2903" customWidth="1"/>
    <col min="13059" max="13059" width="15.625" style="2903" customWidth="1"/>
    <col min="13060" max="13060" width="9.375" style="2903" bestFit="1" customWidth="1"/>
    <col min="13061" max="13061" width="13.5" style="2903" customWidth="1"/>
    <col min="13062" max="13062" width="9" style="2903"/>
    <col min="13063" max="13063" width="9.375" style="2903" bestFit="1" customWidth="1"/>
    <col min="13064" max="13065" width="9" style="2903"/>
    <col min="13066" max="13066" width="9.375" style="2903" bestFit="1" customWidth="1"/>
    <col min="13067" max="13067" width="4" style="2903" customWidth="1"/>
    <col min="13068" max="13068" width="5.125" style="2903" customWidth="1"/>
    <col min="13069" max="13069" width="13.75" style="2903" customWidth="1"/>
    <col min="13070" max="13312" width="9" style="2903"/>
    <col min="13313" max="13313" width="4.875" style="2903" customWidth="1"/>
    <col min="13314" max="13314" width="13.25" style="2903" customWidth="1"/>
    <col min="13315" max="13315" width="15.625" style="2903" customWidth="1"/>
    <col min="13316" max="13316" width="9.375" style="2903" bestFit="1" customWidth="1"/>
    <col min="13317" max="13317" width="13.5" style="2903" customWidth="1"/>
    <col min="13318" max="13318" width="9" style="2903"/>
    <col min="13319" max="13319" width="9.375" style="2903" bestFit="1" customWidth="1"/>
    <col min="13320" max="13321" width="9" style="2903"/>
    <col min="13322" max="13322" width="9.375" style="2903" bestFit="1" customWidth="1"/>
    <col min="13323" max="13323" width="4" style="2903" customWidth="1"/>
    <col min="13324" max="13324" width="5.125" style="2903" customWidth="1"/>
    <col min="13325" max="13325" width="13.75" style="2903" customWidth="1"/>
    <col min="13326" max="13568" width="9" style="2903"/>
    <col min="13569" max="13569" width="4.875" style="2903" customWidth="1"/>
    <col min="13570" max="13570" width="13.25" style="2903" customWidth="1"/>
    <col min="13571" max="13571" width="15.625" style="2903" customWidth="1"/>
    <col min="13572" max="13572" width="9.375" style="2903" bestFit="1" customWidth="1"/>
    <col min="13573" max="13573" width="13.5" style="2903" customWidth="1"/>
    <col min="13574" max="13574" width="9" style="2903"/>
    <col min="13575" max="13575" width="9.375" style="2903" bestFit="1" customWidth="1"/>
    <col min="13576" max="13577" width="9" style="2903"/>
    <col min="13578" max="13578" width="9.375" style="2903" bestFit="1" customWidth="1"/>
    <col min="13579" max="13579" width="4" style="2903" customWidth="1"/>
    <col min="13580" max="13580" width="5.125" style="2903" customWidth="1"/>
    <col min="13581" max="13581" width="13.75" style="2903" customWidth="1"/>
    <col min="13582" max="13824" width="9" style="2903"/>
    <col min="13825" max="13825" width="4.875" style="2903" customWidth="1"/>
    <col min="13826" max="13826" width="13.25" style="2903" customWidth="1"/>
    <col min="13827" max="13827" width="15.625" style="2903" customWidth="1"/>
    <col min="13828" max="13828" width="9.375" style="2903" bestFit="1" customWidth="1"/>
    <col min="13829" max="13829" width="13.5" style="2903" customWidth="1"/>
    <col min="13830" max="13830" width="9" style="2903"/>
    <col min="13831" max="13831" width="9.375" style="2903" bestFit="1" customWidth="1"/>
    <col min="13832" max="13833" width="9" style="2903"/>
    <col min="13834" max="13834" width="9.375" style="2903" bestFit="1" customWidth="1"/>
    <col min="13835" max="13835" width="4" style="2903" customWidth="1"/>
    <col min="13836" max="13836" width="5.125" style="2903" customWidth="1"/>
    <col min="13837" max="13837" width="13.75" style="2903" customWidth="1"/>
    <col min="13838" max="14080" width="9" style="2903"/>
    <col min="14081" max="14081" width="4.875" style="2903" customWidth="1"/>
    <col min="14082" max="14082" width="13.25" style="2903" customWidth="1"/>
    <col min="14083" max="14083" width="15.625" style="2903" customWidth="1"/>
    <col min="14084" max="14084" width="9.375" style="2903" bestFit="1" customWidth="1"/>
    <col min="14085" max="14085" width="13.5" style="2903" customWidth="1"/>
    <col min="14086" max="14086" width="9" style="2903"/>
    <col min="14087" max="14087" width="9.375" style="2903" bestFit="1" customWidth="1"/>
    <col min="14088" max="14089" width="9" style="2903"/>
    <col min="14090" max="14090" width="9.375" style="2903" bestFit="1" customWidth="1"/>
    <col min="14091" max="14091" width="4" style="2903" customWidth="1"/>
    <col min="14092" max="14092" width="5.125" style="2903" customWidth="1"/>
    <col min="14093" max="14093" width="13.75" style="2903" customWidth="1"/>
    <col min="14094" max="14336" width="9" style="2903"/>
    <col min="14337" max="14337" width="4.875" style="2903" customWidth="1"/>
    <col min="14338" max="14338" width="13.25" style="2903" customWidth="1"/>
    <col min="14339" max="14339" width="15.625" style="2903" customWidth="1"/>
    <col min="14340" max="14340" width="9.375" style="2903" bestFit="1" customWidth="1"/>
    <col min="14341" max="14341" width="13.5" style="2903" customWidth="1"/>
    <col min="14342" max="14342" width="9" style="2903"/>
    <col min="14343" max="14343" width="9.375" style="2903" bestFit="1" customWidth="1"/>
    <col min="14344" max="14345" width="9" style="2903"/>
    <col min="14346" max="14346" width="9.375" style="2903" bestFit="1" customWidth="1"/>
    <col min="14347" max="14347" width="4" style="2903" customWidth="1"/>
    <col min="14348" max="14348" width="5.125" style="2903" customWidth="1"/>
    <col min="14349" max="14349" width="13.75" style="2903" customWidth="1"/>
    <col min="14350" max="14592" width="9" style="2903"/>
    <col min="14593" max="14593" width="4.875" style="2903" customWidth="1"/>
    <col min="14594" max="14594" width="13.25" style="2903" customWidth="1"/>
    <col min="14595" max="14595" width="15.625" style="2903" customWidth="1"/>
    <col min="14596" max="14596" width="9.375" style="2903" bestFit="1" customWidth="1"/>
    <col min="14597" max="14597" width="13.5" style="2903" customWidth="1"/>
    <col min="14598" max="14598" width="9" style="2903"/>
    <col min="14599" max="14599" width="9.375" style="2903" bestFit="1" customWidth="1"/>
    <col min="14600" max="14601" width="9" style="2903"/>
    <col min="14602" max="14602" width="9.375" style="2903" bestFit="1" customWidth="1"/>
    <col min="14603" max="14603" width="4" style="2903" customWidth="1"/>
    <col min="14604" max="14604" width="5.125" style="2903" customWidth="1"/>
    <col min="14605" max="14605" width="13.75" style="2903" customWidth="1"/>
    <col min="14606" max="14848" width="9" style="2903"/>
    <col min="14849" max="14849" width="4.875" style="2903" customWidth="1"/>
    <col min="14850" max="14850" width="13.25" style="2903" customWidth="1"/>
    <col min="14851" max="14851" width="15.625" style="2903" customWidth="1"/>
    <col min="14852" max="14852" width="9.375" style="2903" bestFit="1" customWidth="1"/>
    <col min="14853" max="14853" width="13.5" style="2903" customWidth="1"/>
    <col min="14854" max="14854" width="9" style="2903"/>
    <col min="14855" max="14855" width="9.375" style="2903" bestFit="1" customWidth="1"/>
    <col min="14856" max="14857" width="9" style="2903"/>
    <col min="14858" max="14858" width="9.375" style="2903" bestFit="1" customWidth="1"/>
    <col min="14859" max="14859" width="4" style="2903" customWidth="1"/>
    <col min="14860" max="14860" width="5.125" style="2903" customWidth="1"/>
    <col min="14861" max="14861" width="13.75" style="2903" customWidth="1"/>
    <col min="14862" max="15104" width="9" style="2903"/>
    <col min="15105" max="15105" width="4.875" style="2903" customWidth="1"/>
    <col min="15106" max="15106" width="13.25" style="2903" customWidth="1"/>
    <col min="15107" max="15107" width="15.625" style="2903" customWidth="1"/>
    <col min="15108" max="15108" width="9.375" style="2903" bestFit="1" customWidth="1"/>
    <col min="15109" max="15109" width="13.5" style="2903" customWidth="1"/>
    <col min="15110" max="15110" width="9" style="2903"/>
    <col min="15111" max="15111" width="9.375" style="2903" bestFit="1" customWidth="1"/>
    <col min="15112" max="15113" width="9" style="2903"/>
    <col min="15114" max="15114" width="9.375" style="2903" bestFit="1" customWidth="1"/>
    <col min="15115" max="15115" width="4" style="2903" customWidth="1"/>
    <col min="15116" max="15116" width="5.125" style="2903" customWidth="1"/>
    <col min="15117" max="15117" width="13.75" style="2903" customWidth="1"/>
    <col min="15118" max="15360" width="9" style="2903"/>
    <col min="15361" max="15361" width="4.875" style="2903" customWidth="1"/>
    <col min="15362" max="15362" width="13.25" style="2903" customWidth="1"/>
    <col min="15363" max="15363" width="15.625" style="2903" customWidth="1"/>
    <col min="15364" max="15364" width="9.375" style="2903" bestFit="1" customWidth="1"/>
    <col min="15365" max="15365" width="13.5" style="2903" customWidth="1"/>
    <col min="15366" max="15366" width="9" style="2903"/>
    <col min="15367" max="15367" width="9.375" style="2903" bestFit="1" customWidth="1"/>
    <col min="15368" max="15369" width="9" style="2903"/>
    <col min="15370" max="15370" width="9.375" style="2903" bestFit="1" customWidth="1"/>
    <col min="15371" max="15371" width="4" style="2903" customWidth="1"/>
    <col min="15372" max="15372" width="5.125" style="2903" customWidth="1"/>
    <col min="15373" max="15373" width="13.75" style="2903" customWidth="1"/>
    <col min="15374" max="15616" width="9" style="2903"/>
    <col min="15617" max="15617" width="4.875" style="2903" customWidth="1"/>
    <col min="15618" max="15618" width="13.25" style="2903" customWidth="1"/>
    <col min="15619" max="15619" width="15.625" style="2903" customWidth="1"/>
    <col min="15620" max="15620" width="9.375" style="2903" bestFit="1" customWidth="1"/>
    <col min="15621" max="15621" width="13.5" style="2903" customWidth="1"/>
    <col min="15622" max="15622" width="9" style="2903"/>
    <col min="15623" max="15623" width="9.375" style="2903" bestFit="1" customWidth="1"/>
    <col min="15624" max="15625" width="9" style="2903"/>
    <col min="15626" max="15626" width="9.375" style="2903" bestFit="1" customWidth="1"/>
    <col min="15627" max="15627" width="4" style="2903" customWidth="1"/>
    <col min="15628" max="15628" width="5.125" style="2903" customWidth="1"/>
    <col min="15629" max="15629" width="13.75" style="2903" customWidth="1"/>
    <col min="15630" max="15872" width="9" style="2903"/>
    <col min="15873" max="15873" width="4.875" style="2903" customWidth="1"/>
    <col min="15874" max="15874" width="13.25" style="2903" customWidth="1"/>
    <col min="15875" max="15875" width="15.625" style="2903" customWidth="1"/>
    <col min="15876" max="15876" width="9.375" style="2903" bestFit="1" customWidth="1"/>
    <col min="15877" max="15877" width="13.5" style="2903" customWidth="1"/>
    <col min="15878" max="15878" width="9" style="2903"/>
    <col min="15879" max="15879" width="9.375" style="2903" bestFit="1" customWidth="1"/>
    <col min="15880" max="15881" width="9" style="2903"/>
    <col min="15882" max="15882" width="9.375" style="2903" bestFit="1" customWidth="1"/>
    <col min="15883" max="15883" width="4" style="2903" customWidth="1"/>
    <col min="15884" max="15884" width="5.125" style="2903" customWidth="1"/>
    <col min="15885" max="15885" width="13.75" style="2903" customWidth="1"/>
    <col min="15886" max="16128" width="9" style="2903"/>
    <col min="16129" max="16129" width="4.875" style="2903" customWidth="1"/>
    <col min="16130" max="16130" width="13.25" style="2903" customWidth="1"/>
    <col min="16131" max="16131" width="15.625" style="2903" customWidth="1"/>
    <col min="16132" max="16132" width="9.375" style="2903" bestFit="1" customWidth="1"/>
    <col min="16133" max="16133" width="13.5" style="2903" customWidth="1"/>
    <col min="16134" max="16134" width="9" style="2903"/>
    <col min="16135" max="16135" width="9.375" style="2903" bestFit="1" customWidth="1"/>
    <col min="16136" max="16137" width="9" style="2903"/>
    <col min="16138" max="16138" width="9.375" style="2903" bestFit="1" customWidth="1"/>
    <col min="16139" max="16139" width="4" style="2903" customWidth="1"/>
    <col min="16140" max="16140" width="5.125" style="2903" customWidth="1"/>
    <col min="16141" max="16141" width="13.75" style="2903" customWidth="1"/>
    <col min="16142" max="16384" width="9" style="2903"/>
  </cols>
  <sheetData>
    <row r="1" spans="1:257" s="2963" customFormat="1" ht="14.25" thickBot="1">
      <c r="A1" s="2962"/>
      <c r="B1" s="2964" t="s">
        <v>2794</v>
      </c>
      <c r="C1" s="2968">
        <f>项目基本情况!D3</f>
        <v>43061</v>
      </c>
      <c r="H1" s="2902">
        <f>IF(C1&gt;C13,0,MATCH(C1,C$13:C$100,-1))+IF(SUMIF(C13:C100,C1,D13:D100)=0,13,12)</f>
        <v>13</v>
      </c>
      <c r="I1" s="2902">
        <f>MATCH(C2,H3:H7,1)+IF(SUMIF(H3:H7,C2,I3:I7)=0,2,1)</f>
        <v>5</v>
      </c>
      <c r="J1" s="2961">
        <f ca="1">MATCH(C3,H3:H7,1)+IF(SUMIF(H3:H7,C3,J3:J7)=0,2,1)</f>
        <v>2</v>
      </c>
      <c r="N1" s="2902">
        <f>IF(C1&gt;M13,0,MATCH(C1,M$13:M$100,-1))+IF(SUMIF(M13:M100,C1,N13:N100)=0,13,12)</f>
        <v>13</v>
      </c>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c r="BU1" s="2962"/>
      <c r="BV1" s="2962"/>
      <c r="BW1" s="2962"/>
      <c r="BX1" s="2962"/>
      <c r="BY1" s="2962"/>
      <c r="BZ1" s="2962"/>
      <c r="CA1" s="2962"/>
      <c r="CB1" s="2962"/>
      <c r="CC1" s="2962"/>
      <c r="CD1" s="2962"/>
      <c r="CE1" s="2962"/>
      <c r="CF1" s="2962"/>
      <c r="CG1" s="2962"/>
      <c r="CH1" s="2962"/>
      <c r="CI1" s="2962"/>
      <c r="CJ1" s="2962"/>
      <c r="CK1" s="2962"/>
      <c r="CL1" s="2962"/>
      <c r="CM1" s="2962"/>
      <c r="CN1" s="2962"/>
      <c r="CO1" s="2962"/>
      <c r="CP1" s="2962"/>
      <c r="CQ1" s="2962"/>
      <c r="CR1" s="2962"/>
      <c r="CS1" s="2962"/>
      <c r="CT1" s="2962"/>
      <c r="CU1" s="2962"/>
      <c r="CV1" s="2962"/>
      <c r="CW1" s="2962"/>
      <c r="CX1" s="2962"/>
      <c r="CY1" s="2962"/>
      <c r="CZ1" s="2962"/>
      <c r="DA1" s="2962"/>
      <c r="DB1" s="2962"/>
      <c r="DC1" s="2962"/>
      <c r="DD1" s="2962"/>
      <c r="DE1" s="2962"/>
      <c r="DF1" s="2962"/>
      <c r="DG1" s="2962"/>
      <c r="DH1" s="2962"/>
      <c r="DI1" s="2962"/>
      <c r="DJ1" s="2962"/>
      <c r="DK1" s="2962"/>
      <c r="DL1" s="2962"/>
      <c r="DM1" s="2962"/>
      <c r="DN1" s="2962"/>
      <c r="DO1" s="2962"/>
      <c r="DP1" s="2962"/>
      <c r="DQ1" s="2962"/>
      <c r="DR1" s="2962"/>
      <c r="DS1" s="2962"/>
      <c r="DT1" s="2962"/>
      <c r="DU1" s="2962"/>
      <c r="DV1" s="2962"/>
      <c r="DW1" s="2962"/>
      <c r="DX1" s="2962"/>
      <c r="DY1" s="2962"/>
      <c r="DZ1" s="2962"/>
      <c r="EA1" s="2962"/>
      <c r="EB1" s="2962"/>
      <c r="EC1" s="2962"/>
      <c r="ED1" s="2962"/>
      <c r="EE1" s="2962"/>
      <c r="EF1" s="2962"/>
      <c r="EG1" s="2962"/>
      <c r="EH1" s="2962"/>
      <c r="EI1" s="2962"/>
      <c r="EJ1" s="2962"/>
      <c r="EK1" s="2962"/>
      <c r="EL1" s="2962"/>
      <c r="EM1" s="2962"/>
      <c r="EN1" s="2962"/>
      <c r="EO1" s="2962"/>
      <c r="EP1" s="2962"/>
      <c r="EQ1" s="2962"/>
      <c r="ER1" s="2962"/>
      <c r="ES1" s="2962"/>
      <c r="ET1" s="2962"/>
      <c r="EU1" s="2962"/>
      <c r="EV1" s="2962"/>
      <c r="EW1" s="2962"/>
      <c r="EX1" s="2962"/>
      <c r="EY1" s="2962"/>
      <c r="EZ1" s="2962"/>
      <c r="FA1" s="2962"/>
      <c r="FB1" s="2962"/>
      <c r="FC1" s="2962"/>
      <c r="FD1" s="2962"/>
      <c r="FE1" s="2962"/>
      <c r="FF1" s="2962"/>
      <c r="FG1" s="2962"/>
      <c r="FH1" s="2962"/>
      <c r="FI1" s="2962"/>
      <c r="FJ1" s="2962"/>
      <c r="FK1" s="2962"/>
      <c r="FL1" s="2962"/>
      <c r="FM1" s="2962"/>
      <c r="FN1" s="2962"/>
      <c r="FO1" s="2962"/>
      <c r="FP1" s="2962"/>
      <c r="FQ1" s="2962"/>
      <c r="FR1" s="2962"/>
      <c r="FS1" s="2962"/>
      <c r="FT1" s="2962"/>
      <c r="FU1" s="2962"/>
      <c r="FV1" s="2962"/>
      <c r="FW1" s="2962"/>
      <c r="FX1" s="2962"/>
      <c r="FY1" s="2962"/>
      <c r="FZ1" s="2962"/>
      <c r="GA1" s="2962"/>
      <c r="GB1" s="2962"/>
      <c r="GC1" s="2962"/>
      <c r="GD1" s="2962"/>
      <c r="GE1" s="2962"/>
      <c r="GF1" s="2962"/>
      <c r="GG1" s="2962"/>
      <c r="GH1" s="2962"/>
      <c r="GI1" s="2962"/>
      <c r="GJ1" s="2962"/>
      <c r="GK1" s="2962"/>
      <c r="GL1" s="2962"/>
      <c r="GM1" s="2962"/>
      <c r="GN1" s="2962"/>
      <c r="GO1" s="2962"/>
      <c r="GP1" s="2962"/>
      <c r="GQ1" s="2962"/>
      <c r="GR1" s="2962"/>
      <c r="GS1" s="2962"/>
      <c r="GT1" s="2962"/>
      <c r="GU1" s="2962"/>
      <c r="GV1" s="2962"/>
      <c r="GW1" s="2962"/>
      <c r="GX1" s="2962"/>
      <c r="GY1" s="2962"/>
      <c r="GZ1" s="2962"/>
      <c r="HA1" s="2962"/>
      <c r="HB1" s="2962"/>
      <c r="HC1" s="2962"/>
      <c r="HD1" s="2962"/>
      <c r="HE1" s="2962"/>
      <c r="HF1" s="2962"/>
      <c r="HG1" s="2962"/>
      <c r="HH1" s="2962"/>
      <c r="HI1" s="2962"/>
      <c r="HJ1" s="2962"/>
      <c r="HK1" s="2962"/>
      <c r="HL1" s="2962"/>
      <c r="HM1" s="2962"/>
      <c r="HN1" s="2962"/>
      <c r="HO1" s="2962"/>
      <c r="HP1" s="2962"/>
      <c r="HQ1" s="2962"/>
      <c r="HR1" s="2962"/>
      <c r="HS1" s="2962"/>
      <c r="HT1" s="2962"/>
      <c r="HU1" s="2962"/>
      <c r="HV1" s="2962"/>
      <c r="HW1" s="2962"/>
      <c r="HX1" s="2962"/>
      <c r="HY1" s="2962"/>
      <c r="HZ1" s="2962"/>
      <c r="IA1" s="2962"/>
      <c r="IB1" s="2962"/>
      <c r="IC1" s="2962"/>
      <c r="ID1" s="2962"/>
      <c r="IE1" s="2962"/>
      <c r="IF1" s="2962"/>
      <c r="IG1" s="2962"/>
      <c r="IH1" s="2962"/>
      <c r="II1" s="2962"/>
      <c r="IJ1" s="2962"/>
      <c r="IK1" s="2962"/>
      <c r="IL1" s="2962"/>
      <c r="IM1" s="2962"/>
      <c r="IN1" s="2962"/>
      <c r="IO1" s="2962"/>
      <c r="IP1" s="2962"/>
      <c r="IQ1" s="2962"/>
      <c r="IR1" s="2962"/>
      <c r="IS1" s="2962"/>
      <c r="IT1" s="2962"/>
      <c r="IU1" s="2962"/>
      <c r="IV1" s="2962"/>
    </row>
    <row r="2" spans="1:257" s="2960" customFormat="1" ht="15" thickTop="1" thickBot="1">
      <c r="A2" s="2904"/>
      <c r="B2" s="2965" t="s">
        <v>2825</v>
      </c>
      <c r="C2" s="2969">
        <f>'数据-取费表'!B22</f>
        <v>2</v>
      </c>
      <c r="D2" s="2964" t="s">
        <v>2795</v>
      </c>
      <c r="E2" s="2967">
        <f ca="1">INDIRECT("I"&amp;$I$1)/100</f>
        <v>4.7500000000000001E-2</v>
      </c>
      <c r="G2" s="2904"/>
      <c r="H2" s="2904"/>
      <c r="I2" s="2904" t="s">
        <v>2796</v>
      </c>
      <c r="K2" s="2904"/>
      <c r="L2" s="2904"/>
      <c r="M2" s="2904"/>
      <c r="N2" s="2904" t="s">
        <v>2797</v>
      </c>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04"/>
      <c r="AO2" s="2904"/>
      <c r="AP2" s="2904"/>
      <c r="AQ2" s="2904"/>
      <c r="AR2" s="2904"/>
      <c r="AS2" s="2904"/>
      <c r="AT2" s="2904"/>
      <c r="AU2" s="2904"/>
      <c r="AV2" s="2904"/>
      <c r="AW2" s="2904"/>
      <c r="AX2" s="2904"/>
      <c r="AY2" s="2904"/>
      <c r="AZ2" s="2904"/>
      <c r="BA2" s="2904"/>
      <c r="BB2" s="2904"/>
      <c r="BC2" s="2904"/>
      <c r="BD2" s="2904"/>
      <c r="BE2" s="2904"/>
      <c r="BF2" s="2904"/>
      <c r="BG2" s="2904"/>
      <c r="BH2" s="2904"/>
      <c r="BI2" s="2904"/>
      <c r="BJ2" s="2904"/>
      <c r="BK2" s="2904"/>
      <c r="BL2" s="2904"/>
      <c r="BM2" s="2904"/>
      <c r="BN2" s="2904"/>
      <c r="BO2" s="2904"/>
      <c r="BP2" s="2904"/>
      <c r="BQ2" s="2904"/>
      <c r="BR2" s="2904"/>
      <c r="BS2" s="2904"/>
      <c r="BT2" s="2904"/>
      <c r="BU2" s="2904"/>
      <c r="BV2" s="2904"/>
      <c r="BW2" s="2904"/>
      <c r="BX2" s="2904"/>
      <c r="BY2" s="2904"/>
      <c r="BZ2" s="2904"/>
      <c r="CA2" s="2904"/>
      <c r="CB2" s="2904"/>
      <c r="CC2" s="2904"/>
      <c r="CD2" s="2904"/>
      <c r="CE2" s="2904"/>
      <c r="CF2" s="2904"/>
      <c r="CG2" s="2904"/>
      <c r="CH2" s="2904"/>
      <c r="CI2" s="2904"/>
      <c r="CJ2" s="2904"/>
      <c r="CK2" s="2904"/>
      <c r="CL2" s="2904"/>
      <c r="CM2" s="2904"/>
      <c r="CN2" s="2904"/>
      <c r="CO2" s="2904"/>
      <c r="CP2" s="2904"/>
      <c r="CQ2" s="2904"/>
      <c r="CR2" s="2904"/>
      <c r="CS2" s="2904"/>
      <c r="CT2" s="2904"/>
      <c r="CU2" s="2904"/>
      <c r="CV2" s="2904"/>
      <c r="CW2" s="2904"/>
      <c r="CX2" s="2904"/>
      <c r="CY2" s="2904"/>
      <c r="CZ2" s="2904"/>
      <c r="DA2" s="2904"/>
      <c r="DB2" s="2904"/>
      <c r="DC2" s="2904"/>
      <c r="DD2" s="2904"/>
      <c r="DE2" s="2904"/>
      <c r="DF2" s="2904"/>
      <c r="DG2" s="2904"/>
      <c r="DH2" s="2904"/>
      <c r="DI2" s="2904"/>
      <c r="DJ2" s="2904"/>
      <c r="DK2" s="2904"/>
      <c r="DL2" s="2904"/>
      <c r="DM2" s="2904"/>
      <c r="DN2" s="2904"/>
      <c r="DO2" s="2904"/>
      <c r="DP2" s="2904"/>
      <c r="DQ2" s="2904"/>
      <c r="DR2" s="2904"/>
      <c r="DS2" s="2904"/>
      <c r="DT2" s="2904"/>
      <c r="DU2" s="2904"/>
      <c r="DV2" s="2904"/>
      <c r="DW2" s="2904"/>
      <c r="DX2" s="2904"/>
      <c r="DY2" s="2904"/>
      <c r="DZ2" s="2904"/>
      <c r="EA2" s="2904"/>
      <c r="EB2" s="2904"/>
      <c r="EC2" s="2904"/>
      <c r="ED2" s="2904"/>
      <c r="EE2" s="2904"/>
      <c r="EF2" s="2904"/>
      <c r="EG2" s="2904"/>
      <c r="EH2" s="2904"/>
      <c r="EI2" s="2904"/>
      <c r="EJ2" s="2904"/>
      <c r="EK2" s="2904"/>
      <c r="EL2" s="2904"/>
      <c r="EM2" s="2904"/>
      <c r="EN2" s="2904"/>
      <c r="EO2" s="2904"/>
      <c r="EP2" s="2904"/>
      <c r="EQ2" s="2904"/>
      <c r="ER2" s="2904"/>
      <c r="ES2" s="2904"/>
      <c r="ET2" s="2904"/>
      <c r="EU2" s="2904"/>
      <c r="EV2" s="2904"/>
      <c r="EW2" s="2904"/>
      <c r="EX2" s="2904"/>
      <c r="EY2" s="2904"/>
      <c r="EZ2" s="2904"/>
      <c r="FA2" s="2904"/>
      <c r="FB2" s="2904"/>
      <c r="FC2" s="2904"/>
      <c r="FD2" s="2904"/>
      <c r="FE2" s="2904"/>
      <c r="FF2" s="2904"/>
      <c r="FG2" s="2904"/>
      <c r="FH2" s="2904"/>
      <c r="FI2" s="2904"/>
      <c r="FJ2" s="2904"/>
      <c r="FK2" s="2904"/>
      <c r="FL2" s="2904"/>
      <c r="FM2" s="2904"/>
      <c r="FN2" s="2904"/>
      <c r="FO2" s="2904"/>
      <c r="FP2" s="2904"/>
      <c r="FQ2" s="2904"/>
      <c r="FR2" s="2904"/>
      <c r="FS2" s="2904"/>
      <c r="FT2" s="2904"/>
      <c r="FU2" s="2904"/>
      <c r="FV2" s="2904"/>
      <c r="FW2" s="2904"/>
      <c r="FX2" s="2904"/>
      <c r="FY2" s="2904"/>
      <c r="FZ2" s="2904"/>
      <c r="GA2" s="2904"/>
      <c r="GB2" s="2904"/>
      <c r="GC2" s="2904"/>
      <c r="GD2" s="2904"/>
      <c r="GE2" s="2904"/>
      <c r="GF2" s="2904"/>
      <c r="GG2" s="2904"/>
      <c r="GH2" s="2904"/>
      <c r="GI2" s="2904"/>
      <c r="GJ2" s="2904"/>
      <c r="GK2" s="2904"/>
      <c r="GL2" s="2904"/>
      <c r="GM2" s="2904"/>
      <c r="GN2" s="2904"/>
      <c r="GO2" s="2904"/>
      <c r="GP2" s="2904"/>
      <c r="GQ2" s="2904"/>
      <c r="GR2" s="2904"/>
      <c r="GS2" s="2904"/>
      <c r="GT2" s="2904"/>
      <c r="GU2" s="2904"/>
      <c r="GV2" s="2904"/>
      <c r="GW2" s="2904"/>
      <c r="GX2" s="2904"/>
      <c r="GY2" s="2904"/>
      <c r="GZ2" s="2904"/>
      <c r="HA2" s="2904"/>
      <c r="HB2" s="2904"/>
      <c r="HC2" s="2904"/>
      <c r="HD2" s="2904"/>
      <c r="HE2" s="2904"/>
      <c r="HF2" s="2904"/>
      <c r="HG2" s="2904"/>
      <c r="HH2" s="2904"/>
      <c r="HI2" s="2904"/>
      <c r="HJ2" s="2904"/>
      <c r="HK2" s="2904"/>
      <c r="HL2" s="2904"/>
      <c r="HM2" s="2904"/>
      <c r="HN2" s="2904"/>
      <c r="HO2" s="2904"/>
      <c r="HP2" s="2904"/>
      <c r="HQ2" s="2904"/>
      <c r="HR2" s="2904"/>
      <c r="HS2" s="2904"/>
      <c r="HT2" s="2904"/>
      <c r="HU2" s="2904"/>
      <c r="HV2" s="2904"/>
      <c r="HW2" s="2904"/>
      <c r="HX2" s="2904"/>
      <c r="HY2" s="2904"/>
      <c r="HZ2" s="2904"/>
      <c r="IA2" s="2904"/>
      <c r="IB2" s="2904"/>
      <c r="IC2" s="2904"/>
      <c r="ID2" s="2904"/>
      <c r="IE2" s="2904"/>
      <c r="IF2" s="2904"/>
      <c r="IG2" s="2904"/>
      <c r="IH2" s="2904"/>
      <c r="II2" s="2904"/>
      <c r="IJ2" s="2904"/>
      <c r="IK2" s="2904"/>
      <c r="IL2" s="2904"/>
      <c r="IM2" s="2904"/>
      <c r="IN2" s="2904"/>
      <c r="IO2" s="2904"/>
      <c r="IP2" s="2904"/>
      <c r="IQ2" s="2904"/>
      <c r="IR2" s="2904"/>
      <c r="IS2" s="2904"/>
      <c r="IT2" s="2904"/>
      <c r="IU2" s="2904"/>
      <c r="IV2" s="2904"/>
      <c r="IW2" s="2904"/>
    </row>
    <row r="3" spans="1:257" s="2960" customFormat="1">
      <c r="A3" s="2905"/>
      <c r="B3" s="2964" t="s">
        <v>2827</v>
      </c>
      <c r="C3" s="2966">
        <f>'数据-取费表'!B19</f>
        <v>0</v>
      </c>
      <c r="D3" s="2964" t="s">
        <v>2795</v>
      </c>
      <c r="E3" s="2967">
        <f ca="1">INDIRECT("J"&amp;$J$1)/100</f>
        <v>0</v>
      </c>
      <c r="G3" s="2906" t="s">
        <v>2798</v>
      </c>
      <c r="H3" s="2907">
        <v>0</v>
      </c>
      <c r="I3" s="2908">
        <f ca="1">INDIRECT("d"&amp;$H$1)</f>
        <v>4.3499999999999996</v>
      </c>
      <c r="J3" s="2908">
        <f ca="1">INDIRECT("d"&amp;$H$1)</f>
        <v>4.3499999999999996</v>
      </c>
      <c r="K3" s="2905"/>
      <c r="L3" s="2905"/>
      <c r="M3" s="2909">
        <v>0.5</v>
      </c>
      <c r="N3" s="2910">
        <f ca="1">INDIRECT("p"&amp;$N$1)</f>
        <v>1.3</v>
      </c>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05"/>
      <c r="AZ3" s="2905"/>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c r="CF3" s="2905"/>
      <c r="CG3" s="2905"/>
      <c r="CH3" s="2905"/>
      <c r="CI3" s="2905"/>
      <c r="CJ3" s="2905"/>
      <c r="CK3" s="2905"/>
      <c r="CL3" s="2905"/>
      <c r="CM3" s="2905"/>
      <c r="CN3" s="2905"/>
      <c r="CO3" s="2905"/>
      <c r="CP3" s="2905"/>
      <c r="CQ3" s="2905"/>
      <c r="CR3" s="2905"/>
      <c r="CS3" s="2905"/>
      <c r="CT3" s="2905"/>
      <c r="CU3" s="2905"/>
      <c r="CV3" s="2905"/>
      <c r="CW3" s="2905"/>
      <c r="CX3" s="2905"/>
      <c r="CY3" s="2905"/>
      <c r="CZ3" s="2905"/>
      <c r="DA3" s="2905"/>
      <c r="DB3" s="2905"/>
      <c r="DC3" s="2905"/>
      <c r="DD3" s="2905"/>
      <c r="DE3" s="2905"/>
      <c r="DF3" s="2905"/>
      <c r="DG3" s="2905"/>
      <c r="DH3" s="2905"/>
      <c r="DI3" s="2905"/>
      <c r="DJ3" s="2905"/>
      <c r="DK3" s="2905"/>
      <c r="DL3" s="2905"/>
      <c r="DM3" s="2905"/>
      <c r="DN3" s="2905"/>
      <c r="DO3" s="2905"/>
      <c r="DP3" s="2905"/>
      <c r="DQ3" s="2905"/>
      <c r="DR3" s="2905"/>
      <c r="DS3" s="2905"/>
      <c r="DT3" s="2905"/>
      <c r="DU3" s="2905"/>
      <c r="DV3" s="2905"/>
      <c r="DW3" s="2905"/>
      <c r="DX3" s="2905"/>
      <c r="DY3" s="2905"/>
      <c r="DZ3" s="2905"/>
      <c r="EA3" s="2905"/>
      <c r="EB3" s="2905"/>
      <c r="EC3" s="2905"/>
      <c r="ED3" s="2905"/>
      <c r="EE3" s="2905"/>
      <c r="EF3" s="2905"/>
      <c r="EG3" s="2905"/>
      <c r="EH3" s="2905"/>
      <c r="EI3" s="2905"/>
      <c r="EJ3" s="2905"/>
      <c r="EK3" s="2905"/>
      <c r="EL3" s="2905"/>
      <c r="EM3" s="2905"/>
      <c r="EN3" s="2905"/>
      <c r="EO3" s="2905"/>
      <c r="EP3" s="2905"/>
      <c r="EQ3" s="2905"/>
      <c r="ER3" s="2905"/>
      <c r="ES3" s="2905"/>
      <c r="ET3" s="2905"/>
      <c r="EU3" s="2905"/>
      <c r="EV3" s="2905"/>
      <c r="EW3" s="2905"/>
      <c r="EX3" s="2905"/>
      <c r="EY3" s="2905"/>
      <c r="EZ3" s="2905"/>
      <c r="FA3" s="2905"/>
      <c r="FB3" s="2905"/>
      <c r="FC3" s="2905"/>
      <c r="FD3" s="2905"/>
      <c r="FE3" s="2905"/>
      <c r="FF3" s="2905"/>
      <c r="FG3" s="2905"/>
      <c r="FH3" s="2905"/>
      <c r="FI3" s="2905"/>
      <c r="FJ3" s="2905"/>
      <c r="FK3" s="2905"/>
      <c r="FL3" s="2905"/>
      <c r="FM3" s="2905"/>
      <c r="FN3" s="2905"/>
      <c r="FO3" s="2905"/>
      <c r="FP3" s="2905"/>
      <c r="FQ3" s="2905"/>
      <c r="FR3" s="2905"/>
      <c r="FS3" s="2905"/>
      <c r="FT3" s="2905"/>
      <c r="FU3" s="2905"/>
      <c r="FV3" s="2905"/>
      <c r="FW3" s="2905"/>
      <c r="FX3" s="2905"/>
      <c r="FY3" s="2905"/>
      <c r="FZ3" s="2905"/>
      <c r="GA3" s="2905"/>
      <c r="GB3" s="2905"/>
      <c r="GC3" s="2905"/>
      <c r="GD3" s="2905"/>
      <c r="GE3" s="2905"/>
      <c r="GF3" s="2905"/>
      <c r="GG3" s="2905"/>
      <c r="GH3" s="2905"/>
      <c r="GI3" s="2905"/>
      <c r="GJ3" s="2905"/>
      <c r="GK3" s="2905"/>
      <c r="GL3" s="2905"/>
      <c r="GM3" s="2905"/>
      <c r="GN3" s="2905"/>
      <c r="GO3" s="2905"/>
      <c r="GP3" s="2905"/>
      <c r="GQ3" s="2905"/>
      <c r="GR3" s="2905"/>
      <c r="GS3" s="2905"/>
      <c r="GT3" s="2905"/>
      <c r="GU3" s="2905"/>
      <c r="GV3" s="2905"/>
      <c r="GW3" s="2905"/>
      <c r="GX3" s="2905"/>
      <c r="GY3" s="2905"/>
      <c r="GZ3" s="2905"/>
      <c r="HA3" s="2905"/>
      <c r="HB3" s="2905"/>
      <c r="HC3" s="2905"/>
      <c r="HD3" s="2905"/>
      <c r="HE3" s="2905"/>
      <c r="HF3" s="2905"/>
      <c r="HG3" s="2905"/>
      <c r="HH3" s="2905"/>
      <c r="HI3" s="2905"/>
      <c r="HJ3" s="2905"/>
      <c r="HK3" s="2905"/>
      <c r="HL3" s="2905"/>
      <c r="HM3" s="2905"/>
      <c r="HN3" s="2905"/>
      <c r="HO3" s="2905"/>
      <c r="HP3" s="2905"/>
      <c r="HQ3" s="2905"/>
      <c r="HR3" s="2905"/>
      <c r="HS3" s="2905"/>
      <c r="HT3" s="2905"/>
      <c r="HU3" s="2905"/>
      <c r="HV3" s="2905"/>
      <c r="HW3" s="2905"/>
      <c r="HX3" s="2905"/>
      <c r="HY3" s="2905"/>
      <c r="HZ3" s="2905"/>
      <c r="IA3" s="2905"/>
      <c r="IB3" s="2905"/>
      <c r="IC3" s="2905"/>
      <c r="ID3" s="2905"/>
      <c r="IE3" s="2905"/>
      <c r="IF3" s="2905"/>
      <c r="IG3" s="2905"/>
      <c r="IH3" s="2905"/>
      <c r="II3" s="2905"/>
      <c r="IJ3" s="2905"/>
      <c r="IK3" s="2905"/>
      <c r="IL3" s="2905"/>
      <c r="IM3" s="2905"/>
      <c r="IN3" s="2905"/>
      <c r="IO3" s="2905"/>
      <c r="IP3" s="2905"/>
      <c r="IQ3" s="2905"/>
      <c r="IR3" s="2905"/>
      <c r="IS3" s="2905"/>
      <c r="IT3" s="2905"/>
      <c r="IU3" s="2905"/>
      <c r="IV3" s="2905"/>
    </row>
    <row r="4" spans="1:257" s="2960" customFormat="1">
      <c r="A4" s="2905"/>
      <c r="B4" s="2964" t="s">
        <v>2826</v>
      </c>
      <c r="C4" s="2967">
        <f ca="1">N4/100</f>
        <v>1.4999999999999999E-2</v>
      </c>
      <c r="G4" s="2912" t="s">
        <v>2799</v>
      </c>
      <c r="H4" s="2913">
        <v>0.5</v>
      </c>
      <c r="I4" s="2914">
        <f ca="1">INDIRECT("e"&amp;$H$1)</f>
        <v>4.3499999999999996</v>
      </c>
      <c r="J4" s="2914">
        <f ca="1">INDIRECT("e"&amp;$H$1)</f>
        <v>4.3499999999999996</v>
      </c>
      <c r="K4" s="2905"/>
      <c r="L4" s="2905"/>
      <c r="M4" s="2915">
        <v>1</v>
      </c>
      <c r="N4" s="2916">
        <f ca="1">INDIRECT("q"&amp;$N$1)</f>
        <v>1.5</v>
      </c>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c r="CF4" s="2905"/>
      <c r="CG4" s="2905"/>
      <c r="CH4" s="2905"/>
      <c r="CI4" s="2905"/>
      <c r="CJ4" s="2905"/>
      <c r="CK4" s="2905"/>
      <c r="CL4" s="2905"/>
      <c r="CM4" s="2905"/>
      <c r="CN4" s="2905"/>
      <c r="CO4" s="2905"/>
      <c r="CP4" s="2905"/>
      <c r="CQ4" s="2905"/>
      <c r="CR4" s="2905"/>
      <c r="CS4" s="2905"/>
      <c r="CT4" s="2905"/>
      <c r="CU4" s="2905"/>
      <c r="CV4" s="2905"/>
      <c r="CW4" s="2905"/>
      <c r="CX4" s="2905"/>
      <c r="CY4" s="2905"/>
      <c r="CZ4" s="2905"/>
      <c r="DA4" s="2905"/>
      <c r="DB4" s="2905"/>
      <c r="DC4" s="2905"/>
      <c r="DD4" s="2905"/>
      <c r="DE4" s="2905"/>
      <c r="DF4" s="2905"/>
      <c r="DG4" s="2905"/>
      <c r="DH4" s="2905"/>
      <c r="DI4" s="2905"/>
      <c r="DJ4" s="2905"/>
      <c r="DK4" s="2905"/>
      <c r="DL4" s="2905"/>
      <c r="DM4" s="2905"/>
      <c r="DN4" s="2905"/>
      <c r="DO4" s="2905"/>
      <c r="DP4" s="2905"/>
      <c r="DQ4" s="2905"/>
      <c r="DR4" s="2905"/>
      <c r="DS4" s="2905"/>
      <c r="DT4" s="2905"/>
      <c r="DU4" s="2905"/>
      <c r="DV4" s="2905"/>
      <c r="DW4" s="2905"/>
      <c r="DX4" s="2905"/>
      <c r="DY4" s="2905"/>
      <c r="DZ4" s="2905"/>
      <c r="EA4" s="2905"/>
      <c r="EB4" s="2905"/>
      <c r="EC4" s="2905"/>
      <c r="ED4" s="2905"/>
      <c r="EE4" s="2905"/>
      <c r="EF4" s="2905"/>
      <c r="EG4" s="2905"/>
      <c r="EH4" s="2905"/>
      <c r="EI4" s="2905"/>
      <c r="EJ4" s="2905"/>
      <c r="EK4" s="2905"/>
      <c r="EL4" s="2905"/>
      <c r="EM4" s="2905"/>
      <c r="EN4" s="2905"/>
      <c r="EO4" s="2905"/>
      <c r="EP4" s="2905"/>
      <c r="EQ4" s="2905"/>
      <c r="ER4" s="2905"/>
      <c r="ES4" s="2905"/>
      <c r="ET4" s="2905"/>
      <c r="EU4" s="2905"/>
      <c r="EV4" s="2905"/>
      <c r="EW4" s="2905"/>
      <c r="EX4" s="2905"/>
      <c r="EY4" s="2905"/>
      <c r="EZ4" s="2905"/>
      <c r="FA4" s="2905"/>
      <c r="FB4" s="2905"/>
      <c r="FC4" s="2905"/>
      <c r="FD4" s="2905"/>
      <c r="FE4" s="2905"/>
      <c r="FF4" s="2905"/>
      <c r="FG4" s="2905"/>
      <c r="FH4" s="2905"/>
      <c r="FI4" s="2905"/>
      <c r="FJ4" s="2905"/>
      <c r="FK4" s="2905"/>
      <c r="FL4" s="2905"/>
      <c r="FM4" s="2905"/>
      <c r="FN4" s="2905"/>
      <c r="FO4" s="2905"/>
      <c r="FP4" s="2905"/>
      <c r="FQ4" s="2905"/>
      <c r="FR4" s="2905"/>
      <c r="FS4" s="2905"/>
      <c r="FT4" s="2905"/>
      <c r="FU4" s="2905"/>
      <c r="FV4" s="2905"/>
      <c r="FW4" s="2905"/>
      <c r="FX4" s="2905"/>
      <c r="FY4" s="2905"/>
      <c r="FZ4" s="2905"/>
      <c r="GA4" s="2905"/>
      <c r="GB4" s="2905"/>
      <c r="GC4" s="2905"/>
      <c r="GD4" s="2905"/>
      <c r="GE4" s="2905"/>
      <c r="GF4" s="2905"/>
      <c r="GG4" s="2905"/>
      <c r="GH4" s="2905"/>
      <c r="GI4" s="2905"/>
      <c r="GJ4" s="2905"/>
      <c r="GK4" s="2905"/>
      <c r="GL4" s="2905"/>
      <c r="GM4" s="2905"/>
      <c r="GN4" s="2905"/>
      <c r="GO4" s="2905"/>
      <c r="GP4" s="2905"/>
      <c r="GQ4" s="2905"/>
      <c r="GR4" s="2905"/>
      <c r="GS4" s="2905"/>
      <c r="GT4" s="2905"/>
      <c r="GU4" s="2905"/>
      <c r="GV4" s="2905"/>
      <c r="GW4" s="2905"/>
      <c r="GX4" s="2905"/>
      <c r="GY4" s="2905"/>
      <c r="GZ4" s="2905"/>
      <c r="HA4" s="2905"/>
      <c r="HB4" s="2905"/>
      <c r="HC4" s="2905"/>
      <c r="HD4" s="2905"/>
      <c r="HE4" s="2905"/>
      <c r="HF4" s="2905"/>
      <c r="HG4" s="2905"/>
      <c r="HH4" s="2905"/>
      <c r="HI4" s="2905"/>
      <c r="HJ4" s="2905"/>
      <c r="HK4" s="2905"/>
      <c r="HL4" s="2905"/>
      <c r="HM4" s="2905"/>
      <c r="HN4" s="2905"/>
      <c r="HO4" s="2905"/>
      <c r="HP4" s="2905"/>
      <c r="HQ4" s="2905"/>
      <c r="HR4" s="2905"/>
      <c r="HS4" s="2905"/>
      <c r="HT4" s="2905"/>
      <c r="HU4" s="2905"/>
      <c r="HV4" s="2905"/>
      <c r="HW4" s="2905"/>
      <c r="HX4" s="2905"/>
      <c r="HY4" s="2905"/>
      <c r="HZ4" s="2905"/>
      <c r="IA4" s="2905"/>
      <c r="IB4" s="2905"/>
      <c r="IC4" s="2905"/>
      <c r="ID4" s="2905"/>
      <c r="IE4" s="2905"/>
      <c r="IF4" s="2905"/>
      <c r="IG4" s="2905"/>
      <c r="IH4" s="2905"/>
      <c r="II4" s="2905"/>
      <c r="IJ4" s="2905"/>
      <c r="IK4" s="2905"/>
      <c r="IL4" s="2905"/>
      <c r="IM4" s="2905"/>
      <c r="IN4" s="2905"/>
      <c r="IO4" s="2905"/>
      <c r="IP4" s="2905"/>
      <c r="IQ4" s="2905"/>
      <c r="IR4" s="2905"/>
      <c r="IS4" s="2905"/>
      <c r="IT4" s="2905"/>
      <c r="IU4" s="2905"/>
      <c r="IV4" s="2905"/>
    </row>
    <row r="5" spans="1:257" s="2960" customFormat="1">
      <c r="A5" s="2905"/>
      <c r="G5" s="2912" t="s">
        <v>2800</v>
      </c>
      <c r="H5" s="2913">
        <v>1</v>
      </c>
      <c r="I5" s="2914">
        <f ca="1">INDIRECT("f"&amp;$H$1)</f>
        <v>4.75</v>
      </c>
      <c r="J5" s="2914">
        <f ca="1">INDIRECT("f"&amp;$H$1)</f>
        <v>4.75</v>
      </c>
      <c r="K5" s="2905"/>
      <c r="L5" s="2905"/>
      <c r="M5" s="2915">
        <v>2</v>
      </c>
      <c r="N5" s="2916">
        <f ca="1">INDIRECT("r"&amp;$N$1)</f>
        <v>2.1</v>
      </c>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c r="AN5" s="2905"/>
      <c r="AO5" s="2905"/>
      <c r="AP5" s="2905"/>
      <c r="AQ5" s="2905"/>
      <c r="AR5" s="2905"/>
      <c r="AS5" s="2905"/>
      <c r="AT5" s="2905"/>
      <c r="AU5" s="2905"/>
      <c r="AV5" s="2905"/>
      <c r="AW5" s="2905"/>
      <c r="AX5" s="2905"/>
      <c r="AY5" s="2905"/>
      <c r="AZ5" s="2905"/>
      <c r="BA5" s="2905"/>
      <c r="BB5" s="2905"/>
      <c r="BC5" s="2905"/>
      <c r="BD5" s="2905"/>
      <c r="BE5" s="2905"/>
      <c r="BF5" s="2905"/>
      <c r="BG5" s="2905"/>
      <c r="BH5" s="2905"/>
      <c r="BI5" s="2905"/>
      <c r="BJ5" s="2905"/>
      <c r="BK5" s="2905"/>
      <c r="BL5" s="2905"/>
      <c r="BM5" s="2905"/>
      <c r="BN5" s="2905"/>
      <c r="BO5" s="2905"/>
      <c r="BP5" s="2905"/>
      <c r="BQ5" s="2905"/>
      <c r="BR5" s="2905"/>
      <c r="BS5" s="2905"/>
      <c r="BT5" s="2905"/>
      <c r="BU5" s="2905"/>
      <c r="BV5" s="2905"/>
      <c r="BW5" s="2905"/>
      <c r="BX5" s="2905"/>
      <c r="BY5" s="2905"/>
      <c r="BZ5" s="2905"/>
      <c r="CA5" s="2905"/>
      <c r="CB5" s="2905"/>
      <c r="CC5" s="2905"/>
      <c r="CD5" s="2905"/>
      <c r="CE5" s="2905"/>
      <c r="CF5" s="2905"/>
      <c r="CG5" s="2905"/>
      <c r="CH5" s="2905"/>
      <c r="CI5" s="2905"/>
      <c r="CJ5" s="2905"/>
      <c r="CK5" s="2905"/>
      <c r="CL5" s="2905"/>
      <c r="CM5" s="2905"/>
      <c r="CN5" s="2905"/>
      <c r="CO5" s="2905"/>
      <c r="CP5" s="2905"/>
      <c r="CQ5" s="2905"/>
      <c r="CR5" s="2905"/>
      <c r="CS5" s="2905"/>
      <c r="CT5" s="2905"/>
      <c r="CU5" s="2905"/>
      <c r="CV5" s="2905"/>
      <c r="CW5" s="2905"/>
      <c r="CX5" s="2905"/>
      <c r="CY5" s="2905"/>
      <c r="CZ5" s="2905"/>
      <c r="DA5" s="2905"/>
      <c r="DB5" s="2905"/>
      <c r="DC5" s="2905"/>
      <c r="DD5" s="2905"/>
      <c r="DE5" s="2905"/>
      <c r="DF5" s="2905"/>
      <c r="DG5" s="2905"/>
      <c r="DH5" s="2905"/>
      <c r="DI5" s="2905"/>
      <c r="DJ5" s="2905"/>
      <c r="DK5" s="2905"/>
      <c r="DL5" s="2905"/>
      <c r="DM5" s="2905"/>
      <c r="DN5" s="2905"/>
      <c r="DO5" s="2905"/>
      <c r="DP5" s="2905"/>
      <c r="DQ5" s="2905"/>
      <c r="DR5" s="2905"/>
      <c r="DS5" s="2905"/>
      <c r="DT5" s="2905"/>
      <c r="DU5" s="2905"/>
      <c r="DV5" s="2905"/>
      <c r="DW5" s="2905"/>
      <c r="DX5" s="2905"/>
      <c r="DY5" s="2905"/>
      <c r="DZ5" s="2905"/>
      <c r="EA5" s="2905"/>
      <c r="EB5" s="2905"/>
      <c r="EC5" s="2905"/>
      <c r="ED5" s="2905"/>
      <c r="EE5" s="2905"/>
      <c r="EF5" s="2905"/>
      <c r="EG5" s="2905"/>
      <c r="EH5" s="2905"/>
      <c r="EI5" s="2905"/>
      <c r="EJ5" s="2905"/>
      <c r="EK5" s="2905"/>
      <c r="EL5" s="2905"/>
      <c r="EM5" s="2905"/>
      <c r="EN5" s="2905"/>
      <c r="EO5" s="2905"/>
      <c r="EP5" s="2905"/>
      <c r="EQ5" s="2905"/>
      <c r="ER5" s="2905"/>
      <c r="ES5" s="2905"/>
      <c r="ET5" s="2905"/>
      <c r="EU5" s="2905"/>
      <c r="EV5" s="2905"/>
      <c r="EW5" s="2905"/>
      <c r="EX5" s="2905"/>
      <c r="EY5" s="2905"/>
      <c r="EZ5" s="2905"/>
      <c r="FA5" s="2905"/>
      <c r="FB5" s="2905"/>
      <c r="FC5" s="2905"/>
      <c r="FD5" s="2905"/>
      <c r="FE5" s="2905"/>
      <c r="FF5" s="2905"/>
      <c r="FG5" s="2905"/>
      <c r="FH5" s="2905"/>
      <c r="FI5" s="2905"/>
      <c r="FJ5" s="2905"/>
      <c r="FK5" s="2905"/>
      <c r="FL5" s="2905"/>
      <c r="FM5" s="2905"/>
      <c r="FN5" s="2905"/>
      <c r="FO5" s="2905"/>
      <c r="FP5" s="2905"/>
      <c r="FQ5" s="2905"/>
      <c r="FR5" s="2905"/>
      <c r="FS5" s="2905"/>
      <c r="FT5" s="2905"/>
      <c r="FU5" s="2905"/>
      <c r="FV5" s="2905"/>
      <c r="FW5" s="2905"/>
      <c r="FX5" s="2905"/>
      <c r="FY5" s="2905"/>
      <c r="FZ5" s="2905"/>
      <c r="GA5" s="2905"/>
      <c r="GB5" s="2905"/>
      <c r="GC5" s="2905"/>
      <c r="GD5" s="2905"/>
      <c r="GE5" s="2905"/>
      <c r="GF5" s="2905"/>
      <c r="GG5" s="2905"/>
      <c r="GH5" s="2905"/>
      <c r="GI5" s="2905"/>
      <c r="GJ5" s="2905"/>
      <c r="GK5" s="2905"/>
      <c r="GL5" s="2905"/>
      <c r="GM5" s="2905"/>
      <c r="GN5" s="2905"/>
      <c r="GO5" s="2905"/>
      <c r="GP5" s="2905"/>
      <c r="GQ5" s="2905"/>
      <c r="GR5" s="2905"/>
      <c r="GS5" s="2905"/>
      <c r="GT5" s="2905"/>
      <c r="GU5" s="2905"/>
      <c r="GV5" s="2905"/>
      <c r="GW5" s="2905"/>
      <c r="GX5" s="2905"/>
      <c r="GY5" s="2905"/>
      <c r="GZ5" s="2905"/>
      <c r="HA5" s="2905"/>
      <c r="HB5" s="2905"/>
      <c r="HC5" s="2905"/>
      <c r="HD5" s="2905"/>
      <c r="HE5" s="2905"/>
      <c r="HF5" s="2905"/>
      <c r="HG5" s="2905"/>
      <c r="HH5" s="2905"/>
      <c r="HI5" s="2905"/>
      <c r="HJ5" s="2905"/>
      <c r="HK5" s="2905"/>
      <c r="HL5" s="2905"/>
      <c r="HM5" s="2905"/>
      <c r="HN5" s="2905"/>
      <c r="HO5" s="2905"/>
      <c r="HP5" s="2905"/>
      <c r="HQ5" s="2905"/>
      <c r="HR5" s="2905"/>
      <c r="HS5" s="2905"/>
      <c r="HT5" s="2905"/>
      <c r="HU5" s="2905"/>
      <c r="HV5" s="2905"/>
      <c r="HW5" s="2905"/>
      <c r="HX5" s="2905"/>
      <c r="HY5" s="2905"/>
      <c r="HZ5" s="2905"/>
      <c r="IA5" s="2905"/>
      <c r="IB5" s="2905"/>
      <c r="IC5" s="2905"/>
      <c r="ID5" s="2905"/>
      <c r="IE5" s="2905"/>
      <c r="IF5" s="2905"/>
      <c r="IG5" s="2905"/>
      <c r="IH5" s="2905"/>
      <c r="II5" s="2905"/>
      <c r="IJ5" s="2905"/>
      <c r="IK5" s="2905"/>
      <c r="IL5" s="2905"/>
      <c r="IM5" s="2905"/>
      <c r="IN5" s="2905"/>
      <c r="IO5" s="2905"/>
      <c r="IP5" s="2905"/>
      <c r="IQ5" s="2905"/>
      <c r="IR5" s="2905"/>
      <c r="IS5" s="2905"/>
      <c r="IT5" s="2905"/>
      <c r="IU5" s="2905"/>
      <c r="IV5" s="2905"/>
    </row>
    <row r="6" spans="1:257" s="2960" customFormat="1">
      <c r="A6" s="2905"/>
      <c r="G6" s="2912" t="s">
        <v>2801</v>
      </c>
      <c r="H6" s="2913">
        <v>3</v>
      </c>
      <c r="I6" s="2914">
        <f ca="1">INDIRECT("g"&amp;$H$1)</f>
        <v>4.75</v>
      </c>
      <c r="J6" s="2914">
        <f ca="1">INDIRECT("g"&amp;$H$1)</f>
        <v>4.75</v>
      </c>
      <c r="K6" s="2905"/>
      <c r="L6" s="2905"/>
      <c r="M6" s="2915">
        <v>3</v>
      </c>
      <c r="N6" s="2916">
        <f ca="1">INDIRECT("s"&amp;$N$1)</f>
        <v>2.75</v>
      </c>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c r="AN6" s="2905"/>
      <c r="AO6" s="2905"/>
      <c r="AP6" s="2905"/>
      <c r="AQ6" s="2905"/>
      <c r="AR6" s="2905"/>
      <c r="AS6" s="2905"/>
      <c r="AT6" s="2905"/>
      <c r="AU6" s="2905"/>
      <c r="AV6" s="2905"/>
      <c r="AW6" s="2905"/>
      <c r="AX6" s="2905"/>
      <c r="AY6" s="2905"/>
      <c r="AZ6" s="2905"/>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c r="CF6" s="2905"/>
      <c r="CG6" s="2905"/>
      <c r="CH6" s="2905"/>
      <c r="CI6" s="2905"/>
      <c r="CJ6" s="2905"/>
      <c r="CK6" s="2905"/>
      <c r="CL6" s="2905"/>
      <c r="CM6" s="2905"/>
      <c r="CN6" s="2905"/>
      <c r="CO6" s="2905"/>
      <c r="CP6" s="2905"/>
      <c r="CQ6" s="2905"/>
      <c r="CR6" s="2905"/>
      <c r="CS6" s="2905"/>
      <c r="CT6" s="2905"/>
      <c r="CU6" s="2905"/>
      <c r="CV6" s="2905"/>
      <c r="CW6" s="2905"/>
      <c r="CX6" s="2905"/>
      <c r="CY6" s="2905"/>
      <c r="CZ6" s="2905"/>
      <c r="DA6" s="2905"/>
      <c r="DB6" s="2905"/>
      <c r="DC6" s="2905"/>
      <c r="DD6" s="2905"/>
      <c r="DE6" s="2905"/>
      <c r="DF6" s="2905"/>
      <c r="DG6" s="2905"/>
      <c r="DH6" s="2905"/>
      <c r="DI6" s="2905"/>
      <c r="DJ6" s="2905"/>
      <c r="DK6" s="2905"/>
      <c r="DL6" s="2905"/>
      <c r="DM6" s="2905"/>
      <c r="DN6" s="2905"/>
      <c r="DO6" s="2905"/>
      <c r="DP6" s="2905"/>
      <c r="DQ6" s="2905"/>
      <c r="DR6" s="2905"/>
      <c r="DS6" s="2905"/>
      <c r="DT6" s="2905"/>
      <c r="DU6" s="2905"/>
      <c r="DV6" s="2905"/>
      <c r="DW6" s="2905"/>
      <c r="DX6" s="2905"/>
      <c r="DY6" s="2905"/>
      <c r="DZ6" s="2905"/>
      <c r="EA6" s="2905"/>
      <c r="EB6" s="2905"/>
      <c r="EC6" s="2905"/>
      <c r="ED6" s="2905"/>
      <c r="EE6" s="2905"/>
      <c r="EF6" s="2905"/>
      <c r="EG6" s="2905"/>
      <c r="EH6" s="2905"/>
      <c r="EI6" s="2905"/>
      <c r="EJ6" s="2905"/>
      <c r="EK6" s="2905"/>
      <c r="EL6" s="2905"/>
      <c r="EM6" s="2905"/>
      <c r="EN6" s="2905"/>
      <c r="EO6" s="2905"/>
      <c r="EP6" s="2905"/>
      <c r="EQ6" s="2905"/>
      <c r="ER6" s="2905"/>
      <c r="ES6" s="2905"/>
      <c r="ET6" s="2905"/>
      <c r="EU6" s="2905"/>
      <c r="EV6" s="2905"/>
      <c r="EW6" s="2905"/>
      <c r="EX6" s="2905"/>
      <c r="EY6" s="2905"/>
      <c r="EZ6" s="2905"/>
      <c r="FA6" s="2905"/>
      <c r="FB6" s="2905"/>
      <c r="FC6" s="2905"/>
      <c r="FD6" s="2905"/>
      <c r="FE6" s="2905"/>
      <c r="FF6" s="2905"/>
      <c r="FG6" s="2905"/>
      <c r="FH6" s="2905"/>
      <c r="FI6" s="2905"/>
      <c r="FJ6" s="2905"/>
      <c r="FK6" s="2905"/>
      <c r="FL6" s="2905"/>
      <c r="FM6" s="2905"/>
      <c r="FN6" s="2905"/>
      <c r="FO6" s="2905"/>
      <c r="FP6" s="2905"/>
      <c r="FQ6" s="2905"/>
      <c r="FR6" s="2905"/>
      <c r="FS6" s="2905"/>
      <c r="FT6" s="2905"/>
      <c r="FU6" s="2905"/>
      <c r="FV6" s="2905"/>
      <c r="FW6" s="2905"/>
      <c r="FX6" s="2905"/>
      <c r="FY6" s="2905"/>
      <c r="FZ6" s="2905"/>
      <c r="GA6" s="2905"/>
      <c r="GB6" s="2905"/>
      <c r="GC6" s="2905"/>
      <c r="GD6" s="2905"/>
      <c r="GE6" s="2905"/>
      <c r="GF6" s="2905"/>
      <c r="GG6" s="2905"/>
      <c r="GH6" s="2905"/>
      <c r="GI6" s="2905"/>
      <c r="GJ6" s="2905"/>
      <c r="GK6" s="2905"/>
      <c r="GL6" s="2905"/>
      <c r="GM6" s="2905"/>
      <c r="GN6" s="2905"/>
      <c r="GO6" s="2905"/>
      <c r="GP6" s="2905"/>
      <c r="GQ6" s="2905"/>
      <c r="GR6" s="2905"/>
      <c r="GS6" s="2905"/>
      <c r="GT6" s="2905"/>
      <c r="GU6" s="2905"/>
      <c r="GV6" s="2905"/>
      <c r="GW6" s="2905"/>
      <c r="GX6" s="2905"/>
      <c r="GY6" s="2905"/>
      <c r="GZ6" s="2905"/>
      <c r="HA6" s="2905"/>
      <c r="HB6" s="2905"/>
      <c r="HC6" s="2905"/>
      <c r="HD6" s="2905"/>
      <c r="HE6" s="2905"/>
      <c r="HF6" s="2905"/>
      <c r="HG6" s="2905"/>
      <c r="HH6" s="2905"/>
      <c r="HI6" s="2905"/>
      <c r="HJ6" s="2905"/>
      <c r="HK6" s="2905"/>
      <c r="HL6" s="2905"/>
      <c r="HM6" s="2905"/>
      <c r="HN6" s="2905"/>
      <c r="HO6" s="2905"/>
      <c r="HP6" s="2905"/>
      <c r="HQ6" s="2905"/>
      <c r="HR6" s="2905"/>
      <c r="HS6" s="2905"/>
      <c r="HT6" s="2905"/>
      <c r="HU6" s="2905"/>
      <c r="HV6" s="2905"/>
      <c r="HW6" s="2905"/>
      <c r="HX6" s="2905"/>
      <c r="HY6" s="2905"/>
      <c r="HZ6" s="2905"/>
      <c r="IA6" s="2905"/>
      <c r="IB6" s="2905"/>
      <c r="IC6" s="2905"/>
      <c r="ID6" s="2905"/>
      <c r="IE6" s="2905"/>
      <c r="IF6" s="2905"/>
      <c r="IG6" s="2905"/>
      <c r="IH6" s="2905"/>
      <c r="II6" s="2905"/>
      <c r="IJ6" s="2905"/>
      <c r="IK6" s="2905"/>
      <c r="IL6" s="2905"/>
      <c r="IM6" s="2905"/>
      <c r="IN6" s="2905"/>
      <c r="IO6" s="2905"/>
      <c r="IP6" s="2905"/>
      <c r="IQ6" s="2905"/>
      <c r="IR6" s="2905"/>
      <c r="IS6" s="2905"/>
      <c r="IT6" s="2905"/>
      <c r="IU6" s="2905"/>
      <c r="IV6" s="2905"/>
    </row>
    <row r="7" spans="1:257" s="2960" customFormat="1" ht="14.25" thickBot="1">
      <c r="A7" s="2905"/>
      <c r="G7" s="2917" t="s">
        <v>2802</v>
      </c>
      <c r="H7" s="2918">
        <v>5</v>
      </c>
      <c r="I7" s="2919">
        <f ca="1">INDIRECT("h"&amp;$H$1)</f>
        <v>4.9000000000000004</v>
      </c>
      <c r="J7" s="2919">
        <f ca="1">INDIRECT("h"&amp;$H$1)</f>
        <v>4.9000000000000004</v>
      </c>
      <c r="K7" s="2905"/>
      <c r="L7" s="2905"/>
      <c r="M7" s="2920">
        <v>5</v>
      </c>
      <c r="N7" s="2921">
        <f ca="1">INDIRECT("t"&amp;$N$1)</f>
        <v>0</v>
      </c>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905"/>
      <c r="AU7" s="2905"/>
      <c r="AV7" s="2905"/>
      <c r="AW7" s="2905"/>
      <c r="AX7" s="2905"/>
      <c r="AY7" s="2905"/>
      <c r="AZ7" s="2905"/>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c r="CF7" s="2905"/>
      <c r="CG7" s="2905"/>
      <c r="CH7" s="2905"/>
      <c r="CI7" s="2905"/>
      <c r="CJ7" s="2905"/>
      <c r="CK7" s="2905"/>
      <c r="CL7" s="2905"/>
      <c r="CM7" s="2905"/>
      <c r="CN7" s="2905"/>
      <c r="CO7" s="2905"/>
      <c r="CP7" s="2905"/>
      <c r="CQ7" s="2905"/>
      <c r="CR7" s="2905"/>
      <c r="CS7" s="2905"/>
      <c r="CT7" s="2905"/>
      <c r="CU7" s="2905"/>
      <c r="CV7" s="2905"/>
      <c r="CW7" s="2905"/>
      <c r="CX7" s="2905"/>
      <c r="CY7" s="2905"/>
      <c r="CZ7" s="2905"/>
      <c r="DA7" s="2905"/>
      <c r="DB7" s="2905"/>
      <c r="DC7" s="2905"/>
      <c r="DD7" s="2905"/>
      <c r="DE7" s="2905"/>
      <c r="DF7" s="2905"/>
      <c r="DG7" s="2905"/>
      <c r="DH7" s="2905"/>
      <c r="DI7" s="2905"/>
      <c r="DJ7" s="2905"/>
      <c r="DK7" s="2905"/>
      <c r="DL7" s="2905"/>
      <c r="DM7" s="2905"/>
      <c r="DN7" s="2905"/>
      <c r="DO7" s="2905"/>
      <c r="DP7" s="2905"/>
      <c r="DQ7" s="2905"/>
      <c r="DR7" s="2905"/>
      <c r="DS7" s="2905"/>
      <c r="DT7" s="2905"/>
      <c r="DU7" s="2905"/>
      <c r="DV7" s="2905"/>
      <c r="DW7" s="2905"/>
      <c r="DX7" s="2905"/>
      <c r="DY7" s="2905"/>
      <c r="DZ7" s="2905"/>
      <c r="EA7" s="2905"/>
      <c r="EB7" s="2905"/>
      <c r="EC7" s="2905"/>
      <c r="ED7" s="2905"/>
      <c r="EE7" s="2905"/>
      <c r="EF7" s="2905"/>
      <c r="EG7" s="2905"/>
      <c r="EH7" s="2905"/>
      <c r="EI7" s="2905"/>
      <c r="EJ7" s="2905"/>
      <c r="EK7" s="2905"/>
      <c r="EL7" s="2905"/>
      <c r="EM7" s="2905"/>
      <c r="EN7" s="2905"/>
      <c r="EO7" s="2905"/>
      <c r="EP7" s="2905"/>
      <c r="EQ7" s="2905"/>
      <c r="ER7" s="2905"/>
      <c r="ES7" s="2905"/>
      <c r="ET7" s="2905"/>
      <c r="EU7" s="2905"/>
      <c r="EV7" s="2905"/>
      <c r="EW7" s="2905"/>
      <c r="EX7" s="2905"/>
      <c r="EY7" s="2905"/>
      <c r="EZ7" s="2905"/>
      <c r="FA7" s="2905"/>
      <c r="FB7" s="2905"/>
      <c r="FC7" s="2905"/>
      <c r="FD7" s="2905"/>
      <c r="FE7" s="2905"/>
      <c r="FF7" s="2905"/>
      <c r="FG7" s="2905"/>
      <c r="FH7" s="2905"/>
      <c r="FI7" s="2905"/>
      <c r="FJ7" s="2905"/>
      <c r="FK7" s="2905"/>
      <c r="FL7" s="2905"/>
      <c r="FM7" s="2905"/>
      <c r="FN7" s="2905"/>
      <c r="FO7" s="2905"/>
      <c r="FP7" s="2905"/>
      <c r="FQ7" s="2905"/>
      <c r="FR7" s="2905"/>
      <c r="FS7" s="2905"/>
      <c r="FT7" s="2905"/>
      <c r="FU7" s="2905"/>
      <c r="FV7" s="2905"/>
      <c r="FW7" s="2905"/>
      <c r="FX7" s="2905"/>
      <c r="FY7" s="2905"/>
      <c r="FZ7" s="2905"/>
      <c r="GA7" s="2905"/>
      <c r="GB7" s="2905"/>
      <c r="GC7" s="2905"/>
      <c r="GD7" s="2905"/>
      <c r="GE7" s="2905"/>
      <c r="GF7" s="2905"/>
      <c r="GG7" s="2905"/>
      <c r="GH7" s="2905"/>
      <c r="GI7" s="2905"/>
      <c r="GJ7" s="2905"/>
      <c r="GK7" s="2905"/>
      <c r="GL7" s="2905"/>
      <c r="GM7" s="2905"/>
      <c r="GN7" s="2905"/>
      <c r="GO7" s="2905"/>
      <c r="GP7" s="2905"/>
      <c r="GQ7" s="2905"/>
      <c r="GR7" s="2905"/>
      <c r="GS7" s="2905"/>
      <c r="GT7" s="2905"/>
      <c r="GU7" s="2905"/>
      <c r="GV7" s="2905"/>
      <c r="GW7" s="2905"/>
      <c r="GX7" s="2905"/>
      <c r="GY7" s="2905"/>
      <c r="GZ7" s="2905"/>
      <c r="HA7" s="2905"/>
      <c r="HB7" s="2905"/>
      <c r="HC7" s="2905"/>
      <c r="HD7" s="2905"/>
      <c r="HE7" s="2905"/>
      <c r="HF7" s="2905"/>
      <c r="HG7" s="2905"/>
      <c r="HH7" s="2905"/>
      <c r="HI7" s="2905"/>
      <c r="HJ7" s="2905"/>
      <c r="HK7" s="2905"/>
      <c r="HL7" s="2905"/>
      <c r="HM7" s="2905"/>
      <c r="HN7" s="2905"/>
      <c r="HO7" s="2905"/>
      <c r="HP7" s="2905"/>
      <c r="HQ7" s="2905"/>
      <c r="HR7" s="2905"/>
      <c r="HS7" s="2905"/>
      <c r="HT7" s="2905"/>
      <c r="HU7" s="2905"/>
      <c r="HV7" s="2905"/>
      <c r="HW7" s="2905"/>
      <c r="HX7" s="2905"/>
      <c r="HY7" s="2905"/>
      <c r="HZ7" s="2905"/>
      <c r="IA7" s="2905"/>
      <c r="IB7" s="2905"/>
      <c r="IC7" s="2905"/>
      <c r="ID7" s="2905"/>
      <c r="IE7" s="2905"/>
      <c r="IF7" s="2905"/>
      <c r="IG7" s="2905"/>
      <c r="IH7" s="2905"/>
      <c r="II7" s="2905"/>
      <c r="IJ7" s="2905"/>
      <c r="IK7" s="2905"/>
      <c r="IL7" s="2905"/>
      <c r="IM7" s="2905"/>
      <c r="IN7" s="2905"/>
      <c r="IO7" s="2905"/>
      <c r="IP7" s="2905"/>
      <c r="IQ7" s="2905"/>
      <c r="IR7" s="2905"/>
      <c r="IS7" s="2905"/>
      <c r="IT7" s="2905"/>
      <c r="IU7" s="2905"/>
      <c r="IV7" s="2905"/>
    </row>
    <row r="8" spans="1:257">
      <c r="A8" s="2922"/>
      <c r="B8" s="2923"/>
      <c r="C8" s="2924"/>
      <c r="D8" s="2905"/>
      <c r="E8" s="2905"/>
      <c r="F8" s="2905"/>
      <c r="G8" s="2905"/>
      <c r="H8" s="2905"/>
      <c r="I8" s="2905"/>
      <c r="J8" s="2905"/>
      <c r="L8" s="2905"/>
      <c r="M8" s="2905"/>
      <c r="N8" s="2905"/>
      <c r="O8" s="2905"/>
      <c r="P8" s="2905"/>
      <c r="Q8" s="2905"/>
      <c r="R8" s="2905"/>
      <c r="S8" s="2905"/>
      <c r="T8" s="2905"/>
      <c r="U8" s="2905"/>
      <c r="V8" s="2905"/>
      <c r="W8" s="2905"/>
      <c r="X8" s="2905"/>
      <c r="Y8" s="2905"/>
      <c r="Z8" s="2905"/>
    </row>
    <row r="9" spans="1:257" ht="20.25">
      <c r="A9" s="2925"/>
      <c r="B9" s="2926" t="s">
        <v>2803</v>
      </c>
      <c r="C9" s="2927"/>
      <c r="D9" s="2928"/>
      <c r="E9" s="2928"/>
      <c r="F9" s="2928"/>
      <c r="G9" s="2928"/>
      <c r="H9" s="2928"/>
      <c r="I9" s="2928"/>
      <c r="J9" s="2928"/>
      <c r="K9" s="2928"/>
      <c r="L9" s="2928"/>
      <c r="M9" s="2928"/>
      <c r="N9" s="2928"/>
      <c r="O9" s="2928"/>
      <c r="P9" s="2928"/>
      <c r="Q9" s="2928"/>
      <c r="R9" s="2928"/>
      <c r="S9" s="2928"/>
      <c r="T9" s="2928"/>
      <c r="U9" s="2928"/>
      <c r="V9" s="2928"/>
      <c r="W9" s="2928"/>
      <c r="X9" s="2928"/>
      <c r="Y9" s="2928"/>
      <c r="Z9" s="2928"/>
      <c r="AA9" s="2929"/>
      <c r="AB9" s="2929"/>
      <c r="AC9" s="2929"/>
      <c r="AD9" s="2929"/>
      <c r="AE9" s="2929"/>
      <c r="AF9" s="2929"/>
      <c r="AG9" s="2929"/>
      <c r="AH9" s="2929"/>
      <c r="AI9" s="2929"/>
      <c r="AJ9" s="2929"/>
      <c r="AK9" s="2929"/>
      <c r="AL9" s="2929"/>
      <c r="AM9" s="2929"/>
      <c r="AN9" s="2929"/>
      <c r="AO9" s="2929"/>
      <c r="AP9" s="2929"/>
      <c r="AQ9" s="2929"/>
      <c r="AR9" s="2929"/>
      <c r="AS9" s="2929"/>
      <c r="AT9" s="2929"/>
      <c r="AU9" s="2929"/>
      <c r="AV9" s="2929"/>
      <c r="AW9" s="2929"/>
      <c r="AX9" s="2929"/>
      <c r="AY9" s="2929"/>
      <c r="AZ9" s="2929"/>
      <c r="BA9" s="2929"/>
      <c r="BB9" s="2929"/>
      <c r="BC9" s="2929"/>
      <c r="BD9" s="2929"/>
      <c r="BE9" s="2929"/>
      <c r="BF9" s="2929"/>
      <c r="BG9" s="2929"/>
      <c r="BH9" s="2929"/>
      <c r="BI9" s="2929"/>
      <c r="BJ9" s="2929"/>
      <c r="BK9" s="2929"/>
      <c r="BL9" s="2929"/>
      <c r="BM9" s="2929"/>
      <c r="BN9" s="2929"/>
      <c r="BO9" s="2929"/>
      <c r="BP9" s="2929"/>
      <c r="BQ9" s="2929"/>
      <c r="BR9" s="2929"/>
      <c r="BS9" s="2929"/>
      <c r="BT9" s="2929"/>
      <c r="BU9" s="2929"/>
      <c r="BV9" s="2929"/>
      <c r="BW9" s="2929"/>
      <c r="BX9" s="2929"/>
      <c r="BY9" s="2929"/>
      <c r="BZ9" s="2929"/>
      <c r="CA9" s="2929"/>
      <c r="CB9" s="2929"/>
      <c r="CC9" s="2929"/>
      <c r="CD9" s="2929"/>
      <c r="CE9" s="2929"/>
      <c r="CF9" s="2929"/>
      <c r="CG9" s="2929"/>
      <c r="CH9" s="2929"/>
      <c r="CI9" s="2929"/>
      <c r="CJ9" s="2929"/>
      <c r="CK9" s="2929"/>
      <c r="CL9" s="2929"/>
      <c r="CM9" s="2929"/>
      <c r="CN9" s="2929"/>
      <c r="CO9" s="2929"/>
      <c r="CP9" s="2929"/>
      <c r="CQ9" s="2929"/>
      <c r="CR9" s="2929"/>
      <c r="CS9" s="2929"/>
      <c r="CT9" s="2929"/>
      <c r="CU9" s="2929"/>
      <c r="CV9" s="2929"/>
      <c r="CW9" s="2929"/>
      <c r="CX9" s="2929"/>
      <c r="CY9" s="2929"/>
      <c r="CZ9" s="2929"/>
      <c r="DA9" s="2929"/>
      <c r="DB9" s="2929"/>
      <c r="DC9" s="2929"/>
      <c r="DD9" s="2929"/>
      <c r="DE9" s="2929"/>
      <c r="DF9" s="2929"/>
      <c r="DG9" s="2929"/>
      <c r="DH9" s="2929"/>
      <c r="DI9" s="2929"/>
      <c r="DJ9" s="2929"/>
      <c r="DK9" s="2929"/>
      <c r="DL9" s="2929"/>
      <c r="DM9" s="2929"/>
      <c r="DN9" s="2929"/>
      <c r="DO9" s="2929"/>
      <c r="DP9" s="2929"/>
      <c r="DQ9" s="2929"/>
      <c r="DR9" s="2929"/>
      <c r="DS9" s="2929"/>
      <c r="DT9" s="2929"/>
      <c r="DU9" s="2929"/>
      <c r="DV9" s="2929"/>
      <c r="DW9" s="2929"/>
      <c r="DX9" s="2929"/>
      <c r="DY9" s="2929"/>
      <c r="DZ9" s="2929"/>
      <c r="EA9" s="2929"/>
      <c r="EB9" s="2929"/>
      <c r="EC9" s="2929"/>
      <c r="ED9" s="2929"/>
      <c r="EE9" s="2929"/>
      <c r="EF9" s="2929"/>
      <c r="EG9" s="2929"/>
      <c r="EH9" s="2929"/>
      <c r="EI9" s="2929"/>
      <c r="EJ9" s="2929"/>
      <c r="EK9" s="2929"/>
      <c r="EL9" s="2929"/>
      <c r="EM9" s="2929"/>
      <c r="EN9" s="2929"/>
      <c r="EO9" s="2929"/>
      <c r="EP9" s="2929"/>
      <c r="EQ9" s="2929"/>
      <c r="ER9" s="2929"/>
      <c r="ES9" s="2929"/>
      <c r="ET9" s="2929"/>
      <c r="EU9" s="2929"/>
      <c r="EV9" s="2929"/>
      <c r="EW9" s="2929"/>
      <c r="EX9" s="2929"/>
      <c r="EY9" s="2929"/>
      <c r="EZ9" s="2929"/>
      <c r="FA9" s="2929"/>
      <c r="FB9" s="2929"/>
      <c r="FC9" s="2929"/>
      <c r="FD9" s="2929"/>
      <c r="FE9" s="2929"/>
      <c r="FF9" s="2929"/>
      <c r="FG9" s="2929"/>
      <c r="FH9" s="2929"/>
      <c r="FI9" s="2929"/>
      <c r="FJ9" s="2929"/>
      <c r="FK9" s="2929"/>
      <c r="FL9" s="2929"/>
      <c r="FM9" s="2929"/>
      <c r="FN9" s="2929"/>
      <c r="FO9" s="2929"/>
      <c r="FP9" s="2929"/>
      <c r="FQ9" s="2929"/>
      <c r="FR9" s="2929"/>
      <c r="FS9" s="2929"/>
      <c r="FT9" s="2929"/>
      <c r="FU9" s="2929"/>
      <c r="FV9" s="2929"/>
      <c r="FW9" s="2929"/>
      <c r="FX9" s="2929"/>
      <c r="FY9" s="2929"/>
      <c r="FZ9" s="2929"/>
      <c r="GA9" s="2929"/>
      <c r="GB9" s="2929"/>
      <c r="GC9" s="2929"/>
      <c r="GD9" s="2929"/>
      <c r="GE9" s="2929"/>
      <c r="GF9" s="2929"/>
      <c r="GG9" s="2929"/>
      <c r="GH9" s="2929"/>
      <c r="GI9" s="2929"/>
      <c r="GJ9" s="2929"/>
      <c r="GK9" s="2929"/>
      <c r="GL9" s="2929"/>
      <c r="GM9" s="2929"/>
      <c r="GN9" s="2929"/>
      <c r="GO9" s="2929"/>
      <c r="GP9" s="2929"/>
      <c r="GQ9" s="2929"/>
      <c r="GR9" s="2929"/>
      <c r="GS9" s="2929"/>
      <c r="GT9" s="2929"/>
      <c r="GU9" s="2929"/>
      <c r="GV9" s="2929"/>
      <c r="GW9" s="2929"/>
      <c r="GX9" s="2929"/>
      <c r="GY9" s="2929"/>
      <c r="GZ9" s="2929"/>
      <c r="HA9" s="2929"/>
      <c r="HB9" s="2929"/>
      <c r="HC9" s="2929"/>
      <c r="HD9" s="2929"/>
      <c r="HE9" s="2929"/>
      <c r="HF9" s="2929"/>
      <c r="HG9" s="2929"/>
      <c r="HH9" s="2929"/>
      <c r="HI9" s="2929"/>
      <c r="HJ9" s="2929"/>
      <c r="HK9" s="2929"/>
      <c r="HL9" s="2929"/>
      <c r="HM9" s="2929"/>
      <c r="HN9" s="2929"/>
      <c r="HO9" s="2929"/>
      <c r="HP9" s="2929"/>
      <c r="HQ9" s="2929"/>
      <c r="HR9" s="2929"/>
      <c r="HS9" s="2929"/>
      <c r="HT9" s="2929"/>
      <c r="HU9" s="2929"/>
      <c r="HV9" s="2929"/>
      <c r="HW9" s="2929"/>
      <c r="HX9" s="2929"/>
      <c r="HY9" s="2929"/>
      <c r="HZ9" s="2929"/>
      <c r="IA9" s="2929"/>
      <c r="IB9" s="2929"/>
      <c r="IC9" s="2929"/>
      <c r="ID9" s="2929"/>
      <c r="IE9" s="2929"/>
      <c r="IF9" s="2929"/>
      <c r="IG9" s="2929"/>
      <c r="IH9" s="2929"/>
      <c r="II9" s="2929"/>
      <c r="IJ9" s="2929"/>
      <c r="IK9" s="2929"/>
      <c r="IL9" s="2929"/>
      <c r="IM9" s="2929"/>
      <c r="IN9" s="2929"/>
      <c r="IO9" s="2929"/>
      <c r="IP9" s="2929"/>
      <c r="IQ9" s="2929"/>
      <c r="IR9" s="2929"/>
      <c r="IS9" s="2929"/>
      <c r="IT9" s="2929"/>
      <c r="IU9" s="2929"/>
      <c r="IV9" s="2929"/>
      <c r="IW9" s="2930"/>
    </row>
    <row r="10" spans="1:257" ht="22.5">
      <c r="A10" s="2931"/>
      <c r="B10" s="2932" t="s">
        <v>2804</v>
      </c>
      <c r="C10" s="2931"/>
      <c r="D10" s="2931"/>
      <c r="E10" s="2931"/>
      <c r="F10" s="2931"/>
      <c r="G10" s="2931"/>
      <c r="H10" s="2931"/>
      <c r="I10" s="2905"/>
      <c r="J10" s="2905"/>
      <c r="K10" s="2931"/>
      <c r="L10" s="2932" t="s">
        <v>2805</v>
      </c>
      <c r="M10" s="2931"/>
      <c r="N10" s="2931"/>
      <c r="O10" s="2931"/>
      <c r="P10" s="2931"/>
      <c r="Q10" s="2931"/>
      <c r="R10" s="2931"/>
      <c r="S10" s="2931"/>
      <c r="T10" s="2931"/>
      <c r="U10" s="2931"/>
      <c r="V10" s="2931"/>
      <c r="W10" s="2931"/>
      <c r="X10" s="2931"/>
      <c r="Y10" s="2931"/>
      <c r="Z10" s="2931"/>
      <c r="AA10" s="2933"/>
      <c r="AB10" s="2933"/>
      <c r="AC10" s="2933"/>
      <c r="AD10" s="2933"/>
      <c r="AE10" s="2933"/>
      <c r="AF10" s="2933"/>
      <c r="AG10" s="2933"/>
      <c r="AH10" s="2933"/>
      <c r="AI10" s="2933"/>
      <c r="AJ10" s="2933"/>
      <c r="AK10" s="2933"/>
      <c r="AL10" s="2933"/>
      <c r="AM10" s="2933"/>
      <c r="AN10" s="2933"/>
      <c r="AO10" s="2933"/>
      <c r="AP10" s="2933"/>
      <c r="AQ10" s="2933"/>
      <c r="AR10" s="2933"/>
      <c r="AS10" s="2933"/>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c r="BP10" s="2933"/>
      <c r="BQ10" s="2933"/>
      <c r="BR10" s="2933"/>
      <c r="BS10" s="2933"/>
      <c r="BT10" s="2933"/>
      <c r="BU10" s="2933"/>
      <c r="BV10" s="2933"/>
      <c r="BW10" s="2933"/>
      <c r="BX10" s="2933"/>
      <c r="BY10" s="2933"/>
      <c r="BZ10" s="2933"/>
      <c r="CA10" s="2933"/>
      <c r="CB10" s="2933"/>
      <c r="CC10" s="2933"/>
      <c r="CD10" s="2933"/>
      <c r="CE10" s="2933"/>
      <c r="CF10" s="2933"/>
      <c r="CG10" s="2933"/>
      <c r="CH10" s="2933"/>
      <c r="CI10" s="2933"/>
      <c r="CJ10" s="2933"/>
      <c r="CK10" s="2933"/>
      <c r="CL10" s="2933"/>
      <c r="CM10" s="2933"/>
      <c r="CN10" s="2933"/>
      <c r="CO10" s="2933"/>
      <c r="CP10" s="2933"/>
      <c r="CQ10" s="2933"/>
      <c r="CR10" s="2933"/>
      <c r="CS10" s="2933"/>
      <c r="CT10" s="2933"/>
      <c r="CU10" s="2933"/>
      <c r="CV10" s="2933"/>
      <c r="CW10" s="2933"/>
      <c r="CX10" s="2933"/>
      <c r="CY10" s="2933"/>
      <c r="CZ10" s="2933"/>
      <c r="DA10" s="2933"/>
      <c r="DB10" s="2933"/>
      <c r="DC10" s="2933"/>
      <c r="DD10" s="2933"/>
      <c r="DE10" s="2933"/>
      <c r="DF10" s="2933"/>
      <c r="DG10" s="2933"/>
      <c r="DH10" s="2933"/>
      <c r="DI10" s="2933"/>
      <c r="DJ10" s="2933"/>
      <c r="DK10" s="2933"/>
      <c r="DL10" s="2933"/>
      <c r="DM10" s="2933"/>
      <c r="DN10" s="2933"/>
      <c r="DO10" s="2933"/>
      <c r="DP10" s="2933"/>
      <c r="DQ10" s="2933"/>
      <c r="DR10" s="2933"/>
      <c r="DS10" s="2933"/>
      <c r="DT10" s="2933"/>
      <c r="DU10" s="2933"/>
      <c r="DV10" s="2933"/>
      <c r="DW10" s="2933"/>
      <c r="DX10" s="2933"/>
      <c r="DY10" s="2933"/>
      <c r="DZ10" s="2933"/>
      <c r="EA10" s="2933"/>
      <c r="EB10" s="2933"/>
      <c r="EC10" s="2933"/>
      <c r="ED10" s="2933"/>
      <c r="EE10" s="2933"/>
      <c r="EF10" s="2933"/>
      <c r="EG10" s="2933"/>
      <c r="EH10" s="2933"/>
      <c r="EI10" s="2933"/>
      <c r="EJ10" s="2933"/>
      <c r="EK10" s="2933"/>
      <c r="EL10" s="2933"/>
      <c r="EM10" s="2933"/>
      <c r="EN10" s="2933"/>
      <c r="EO10" s="2933"/>
      <c r="EP10" s="2933"/>
      <c r="EQ10" s="2933"/>
      <c r="ER10" s="2933"/>
      <c r="ES10" s="2933"/>
      <c r="ET10" s="2933"/>
      <c r="EU10" s="2933"/>
      <c r="EV10" s="2933"/>
      <c r="EW10" s="2933"/>
      <c r="EX10" s="2933"/>
      <c r="EY10" s="2933"/>
      <c r="EZ10" s="2933"/>
      <c r="FA10" s="2933"/>
      <c r="FB10" s="2933"/>
      <c r="FC10" s="2933"/>
      <c r="FD10" s="2933"/>
      <c r="FE10" s="2933"/>
      <c r="FF10" s="2933"/>
      <c r="FG10" s="2933"/>
      <c r="FH10" s="2933"/>
      <c r="FI10" s="2933"/>
      <c r="FJ10" s="2933"/>
      <c r="FK10" s="2933"/>
      <c r="FL10" s="2933"/>
      <c r="FM10" s="2933"/>
      <c r="FN10" s="2933"/>
      <c r="FO10" s="2933"/>
      <c r="FP10" s="2933"/>
      <c r="FQ10" s="2933"/>
      <c r="FR10" s="2933"/>
      <c r="FS10" s="2933"/>
      <c r="FT10" s="2933"/>
      <c r="FU10" s="2933"/>
      <c r="FV10" s="2933"/>
      <c r="FW10" s="2933"/>
      <c r="FX10" s="2933"/>
      <c r="FY10" s="2933"/>
      <c r="FZ10" s="2933"/>
      <c r="GA10" s="2933"/>
      <c r="GB10" s="2933"/>
      <c r="GC10" s="2933"/>
      <c r="GD10" s="2933"/>
      <c r="GE10" s="2933"/>
      <c r="GF10" s="2933"/>
      <c r="GG10" s="2933"/>
      <c r="GH10" s="2933"/>
      <c r="GI10" s="2933"/>
      <c r="GJ10" s="2933"/>
      <c r="GK10" s="2933"/>
      <c r="GL10" s="2933"/>
      <c r="GM10" s="2933"/>
      <c r="GN10" s="2933"/>
      <c r="GO10" s="2933"/>
      <c r="GP10" s="2933"/>
      <c r="GQ10" s="2933"/>
      <c r="GR10" s="2933"/>
      <c r="GS10" s="2933"/>
      <c r="GT10" s="2933"/>
      <c r="GU10" s="2933"/>
      <c r="GV10" s="2933"/>
      <c r="GW10" s="2933"/>
      <c r="GX10" s="2933"/>
      <c r="GY10" s="2933"/>
      <c r="GZ10" s="2933"/>
      <c r="HA10" s="2933"/>
      <c r="HB10" s="2933"/>
      <c r="HC10" s="2933"/>
      <c r="HD10" s="2933"/>
      <c r="HE10" s="2933"/>
      <c r="HF10" s="2933"/>
      <c r="HG10" s="2933"/>
      <c r="HH10" s="2933"/>
      <c r="HI10" s="2933"/>
      <c r="HJ10" s="2933"/>
      <c r="HK10" s="2933"/>
      <c r="HL10" s="2933"/>
      <c r="HM10" s="2933"/>
      <c r="HN10" s="2933"/>
      <c r="HO10" s="2933"/>
      <c r="HP10" s="2933"/>
      <c r="HQ10" s="2933"/>
      <c r="HR10" s="2933"/>
      <c r="HS10" s="2933"/>
      <c r="HT10" s="2933"/>
      <c r="HU10" s="2933"/>
      <c r="HV10" s="2933"/>
      <c r="HW10" s="2933"/>
      <c r="HX10" s="2933"/>
      <c r="HY10" s="2933"/>
      <c r="HZ10" s="2933"/>
      <c r="IA10" s="2933"/>
      <c r="IB10" s="2933"/>
      <c r="IC10" s="2933"/>
      <c r="ID10" s="2933"/>
      <c r="IE10" s="2933"/>
      <c r="IF10" s="2933"/>
      <c r="IG10" s="2933"/>
      <c r="IH10" s="2933"/>
      <c r="II10" s="2933"/>
      <c r="IJ10" s="2933"/>
      <c r="IK10" s="2933"/>
      <c r="IL10" s="2933"/>
      <c r="IM10" s="2933"/>
      <c r="IN10" s="2933"/>
      <c r="IO10" s="2933"/>
      <c r="IP10" s="2933"/>
      <c r="IQ10" s="2933"/>
      <c r="IR10" s="2933"/>
      <c r="IS10" s="2933"/>
      <c r="IT10" s="2933"/>
      <c r="IU10" s="2933"/>
      <c r="IV10" s="2933"/>
    </row>
    <row r="11" spans="1:257">
      <c r="A11" s="2934"/>
      <c r="B11" s="2935" t="s">
        <v>2806</v>
      </c>
      <c r="C11" s="2936" t="s">
        <v>2807</v>
      </c>
      <c r="D11" s="2937" t="s">
        <v>2808</v>
      </c>
      <c r="E11" s="2938"/>
      <c r="F11" s="2937" t="s">
        <v>2809</v>
      </c>
      <c r="G11" s="2939"/>
      <c r="H11" s="2938"/>
      <c r="I11" s="2937" t="s">
        <v>2810</v>
      </c>
      <c r="J11" s="2938"/>
      <c r="K11" s="2934"/>
      <c r="L11" s="2935" t="s">
        <v>2806</v>
      </c>
      <c r="M11" s="2936" t="s">
        <v>2807</v>
      </c>
      <c r="N11" s="2935" t="s">
        <v>2811</v>
      </c>
      <c r="O11" s="2937" t="s">
        <v>2812</v>
      </c>
      <c r="P11" s="2939"/>
      <c r="Q11" s="2939"/>
      <c r="R11" s="2939"/>
      <c r="S11" s="2939"/>
      <c r="T11" s="2938"/>
      <c r="U11" s="2937" t="s">
        <v>2813</v>
      </c>
      <c r="V11" s="2939"/>
      <c r="W11" s="2938"/>
      <c r="X11" s="2935" t="s">
        <v>2814</v>
      </c>
      <c r="Y11" s="2935" t="s">
        <v>2815</v>
      </c>
      <c r="Z11" s="2935" t="s">
        <v>2816</v>
      </c>
      <c r="AA11" s="2940"/>
      <c r="AB11" s="2940"/>
      <c r="AC11" s="2940"/>
      <c r="AD11" s="2940"/>
      <c r="AE11" s="2940"/>
      <c r="AF11" s="2940"/>
      <c r="AG11" s="2940"/>
      <c r="AH11" s="2940"/>
      <c r="AI11" s="2940"/>
      <c r="AJ11" s="2940"/>
      <c r="AK11" s="2940"/>
      <c r="AL11" s="2940"/>
      <c r="AM11" s="2940"/>
      <c r="AN11" s="2940"/>
      <c r="AO11" s="2940"/>
      <c r="AP11" s="2940"/>
      <c r="AQ11" s="2940"/>
      <c r="AR11" s="2940"/>
      <c r="AS11" s="2940"/>
      <c r="AT11" s="2940"/>
      <c r="AU11" s="2940"/>
      <c r="AV11" s="2940"/>
      <c r="AW11" s="2940"/>
      <c r="AX11" s="2940"/>
      <c r="AY11" s="2940"/>
      <c r="AZ11" s="2940"/>
      <c r="BA11" s="2940"/>
      <c r="BB11" s="2940"/>
      <c r="BC11" s="2940"/>
      <c r="BD11" s="2940"/>
      <c r="BE11" s="2940"/>
      <c r="BF11" s="2940"/>
      <c r="BG11" s="2940"/>
      <c r="BH11" s="2940"/>
      <c r="BI11" s="2940"/>
      <c r="BJ11" s="2940"/>
      <c r="BK11" s="2940"/>
      <c r="BL11" s="2940"/>
      <c r="BM11" s="2940"/>
      <c r="BN11" s="2940"/>
      <c r="BO11" s="2940"/>
      <c r="BP11" s="2940"/>
      <c r="BQ11" s="2940"/>
      <c r="BR11" s="2940"/>
      <c r="BS11" s="2940"/>
      <c r="BT11" s="2940"/>
      <c r="BU11" s="2940"/>
      <c r="BV11" s="2940"/>
      <c r="BW11" s="2940"/>
      <c r="BX11" s="2940"/>
      <c r="BY11" s="2940"/>
      <c r="BZ11" s="2940"/>
      <c r="CA11" s="2940"/>
      <c r="CB11" s="2940"/>
      <c r="CC11" s="2940"/>
      <c r="CD11" s="2940"/>
      <c r="CE11" s="2940"/>
      <c r="CF11" s="2940"/>
      <c r="CG11" s="2940"/>
      <c r="CH11" s="2940"/>
      <c r="CI11" s="2940"/>
      <c r="CJ11" s="2940"/>
      <c r="CK11" s="2940"/>
      <c r="CL11" s="2940"/>
      <c r="CM11" s="2940"/>
      <c r="CN11" s="2940"/>
      <c r="CO11" s="2940"/>
      <c r="CP11" s="2940"/>
      <c r="CQ11" s="2940"/>
      <c r="CR11" s="2940"/>
      <c r="CS11" s="2940"/>
      <c r="CT11" s="2940"/>
      <c r="CU11" s="2940"/>
      <c r="CV11" s="2940"/>
      <c r="CW11" s="2940"/>
      <c r="CX11" s="2940"/>
      <c r="CY11" s="2940"/>
      <c r="CZ11" s="2940"/>
      <c r="DA11" s="2940"/>
      <c r="DB11" s="2940"/>
      <c r="DC11" s="2940"/>
      <c r="DD11" s="2940"/>
      <c r="DE11" s="2940"/>
      <c r="DF11" s="2940"/>
      <c r="DG11" s="2940"/>
      <c r="DH11" s="2940"/>
      <c r="DI11" s="2940"/>
      <c r="DJ11" s="2940"/>
      <c r="DK11" s="2940"/>
      <c r="DL11" s="2940"/>
      <c r="DM11" s="2940"/>
      <c r="DN11" s="2940"/>
      <c r="DO11" s="2940"/>
      <c r="DP11" s="2940"/>
      <c r="DQ11" s="2940"/>
      <c r="DR11" s="2940"/>
      <c r="DS11" s="2940"/>
      <c r="DT11" s="2940"/>
      <c r="DU11" s="2940"/>
      <c r="DV11" s="2940"/>
      <c r="DW11" s="2940"/>
      <c r="DX11" s="2940"/>
      <c r="DY11" s="2940"/>
      <c r="DZ11" s="2940"/>
      <c r="EA11" s="2940"/>
      <c r="EB11" s="2940"/>
      <c r="EC11" s="2940"/>
      <c r="ED11" s="2940"/>
      <c r="EE11" s="2940"/>
      <c r="EF11" s="2940"/>
      <c r="EG11" s="2940"/>
      <c r="EH11" s="2940"/>
      <c r="EI11" s="2940"/>
      <c r="EJ11" s="2940"/>
      <c r="EK11" s="2940"/>
      <c r="EL11" s="2940"/>
      <c r="EM11" s="2940"/>
      <c r="EN11" s="2940"/>
      <c r="EO11" s="2940"/>
      <c r="EP11" s="2940"/>
      <c r="EQ11" s="2940"/>
      <c r="ER11" s="2940"/>
      <c r="ES11" s="2940"/>
      <c r="ET11" s="2940"/>
      <c r="EU11" s="2940"/>
      <c r="EV11" s="2940"/>
      <c r="EW11" s="2940"/>
      <c r="EX11" s="2940"/>
      <c r="EY11" s="2940"/>
      <c r="EZ11" s="2940"/>
      <c r="FA11" s="2940"/>
      <c r="FB11" s="2940"/>
      <c r="FC11" s="2940"/>
      <c r="FD11" s="2940"/>
      <c r="FE11" s="2940"/>
      <c r="FF11" s="2940"/>
      <c r="FG11" s="2940"/>
      <c r="FH11" s="2940"/>
      <c r="FI11" s="2940"/>
      <c r="FJ11" s="2940"/>
      <c r="FK11" s="2940"/>
      <c r="FL11" s="2940"/>
      <c r="FM11" s="2940"/>
      <c r="FN11" s="2940"/>
      <c r="FO11" s="2940"/>
      <c r="FP11" s="2940"/>
      <c r="FQ11" s="2940"/>
      <c r="FR11" s="2940"/>
      <c r="FS11" s="2940"/>
      <c r="FT11" s="2940"/>
      <c r="FU11" s="2940"/>
      <c r="FV11" s="2940"/>
      <c r="FW11" s="2940"/>
      <c r="FX11" s="2940"/>
      <c r="FY11" s="2940"/>
      <c r="FZ11" s="2940"/>
      <c r="GA11" s="2940"/>
      <c r="GB11" s="2940"/>
      <c r="GC11" s="2940"/>
      <c r="GD11" s="2940"/>
      <c r="GE11" s="2940"/>
      <c r="GF11" s="2940"/>
      <c r="GG11" s="2940"/>
      <c r="GH11" s="2940"/>
      <c r="GI11" s="2940"/>
      <c r="GJ11" s="2940"/>
      <c r="GK11" s="2940"/>
      <c r="GL11" s="2940"/>
      <c r="GM11" s="2940"/>
      <c r="GN11" s="2940"/>
      <c r="GO11" s="2940"/>
      <c r="GP11" s="2940"/>
      <c r="GQ11" s="2940"/>
      <c r="GR11" s="2940"/>
      <c r="GS11" s="2940"/>
      <c r="GT11" s="2940"/>
      <c r="GU11" s="2940"/>
      <c r="GV11" s="2940"/>
      <c r="GW11" s="2940"/>
      <c r="GX11" s="2940"/>
      <c r="GY11" s="2940"/>
      <c r="GZ11" s="2940"/>
      <c r="HA11" s="2940"/>
      <c r="HB11" s="2940"/>
      <c r="HC11" s="2940"/>
      <c r="HD11" s="2940"/>
      <c r="HE11" s="2940"/>
      <c r="HF11" s="2940"/>
      <c r="HG11" s="2940"/>
      <c r="HH11" s="2940"/>
      <c r="HI11" s="2940"/>
      <c r="HJ11" s="2940"/>
      <c r="HK11" s="2940"/>
      <c r="HL11" s="2940"/>
      <c r="HM11" s="2940"/>
      <c r="HN11" s="2940"/>
      <c r="HO11" s="2940"/>
      <c r="HP11" s="2940"/>
      <c r="HQ11" s="2940"/>
      <c r="HR11" s="2940"/>
      <c r="HS11" s="2940"/>
      <c r="HT11" s="2940"/>
      <c r="HU11" s="2940"/>
      <c r="HV11" s="2940"/>
      <c r="HW11" s="2940"/>
      <c r="HX11" s="2940"/>
      <c r="HY11" s="2940"/>
      <c r="HZ11" s="2940"/>
      <c r="IA11" s="2940"/>
      <c r="IB11" s="2940"/>
      <c r="IC11" s="2940"/>
      <c r="ID11" s="2940"/>
      <c r="IE11" s="2940"/>
      <c r="IF11" s="2940"/>
      <c r="IG11" s="2940"/>
      <c r="IH11" s="2940"/>
      <c r="II11" s="2940"/>
      <c r="IJ11" s="2940"/>
      <c r="IK11" s="2940"/>
      <c r="IL11" s="2940"/>
      <c r="IM11" s="2940"/>
      <c r="IN11" s="2940"/>
      <c r="IO11" s="2940"/>
      <c r="IP11" s="2940"/>
      <c r="IQ11" s="2940"/>
      <c r="IR11" s="2940"/>
      <c r="IS11" s="2940"/>
      <c r="IT11" s="2940"/>
      <c r="IU11" s="2940"/>
      <c r="IV11" s="2940"/>
    </row>
    <row r="12" spans="1:257">
      <c r="A12" s="2941"/>
      <c r="B12" s="2942"/>
      <c r="C12" s="2943"/>
      <c r="D12" s="2944" t="s">
        <v>2817</v>
      </c>
      <c r="E12" s="2944" t="s">
        <v>2818</v>
      </c>
      <c r="F12" s="2944" t="s">
        <v>2819</v>
      </c>
      <c r="G12" s="2944" t="s">
        <v>2820</v>
      </c>
      <c r="H12" s="2944" t="s">
        <v>2802</v>
      </c>
      <c r="I12" s="2945" t="s">
        <v>2821</v>
      </c>
      <c r="J12" s="2945" t="s">
        <v>2821</v>
      </c>
      <c r="K12" s="2941"/>
      <c r="L12" s="2942"/>
      <c r="M12" s="2943"/>
      <c r="N12" s="2942"/>
      <c r="O12" s="2945" t="s">
        <v>2822</v>
      </c>
      <c r="P12" s="2945">
        <v>0.5</v>
      </c>
      <c r="Q12" s="2945">
        <v>1</v>
      </c>
      <c r="R12" s="2945">
        <v>2</v>
      </c>
      <c r="S12" s="2945">
        <v>3</v>
      </c>
      <c r="T12" s="2945">
        <v>5</v>
      </c>
      <c r="U12" s="2945">
        <v>1</v>
      </c>
      <c r="V12" s="2945">
        <v>3</v>
      </c>
      <c r="W12" s="2945">
        <v>5</v>
      </c>
      <c r="X12" s="2942"/>
      <c r="Y12" s="2942"/>
      <c r="Z12" s="2942"/>
      <c r="AA12" s="2946"/>
      <c r="AB12" s="2946"/>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46"/>
      <c r="BT12" s="2946"/>
      <c r="BU12" s="2946"/>
      <c r="BV12" s="2946"/>
      <c r="BW12" s="2946"/>
      <c r="BX12" s="2946"/>
      <c r="BY12" s="2946"/>
      <c r="BZ12" s="2946"/>
      <c r="CA12" s="2946"/>
      <c r="CB12" s="2946"/>
      <c r="CC12" s="2946"/>
      <c r="CD12" s="2946"/>
      <c r="CE12" s="2946"/>
      <c r="CF12" s="2946"/>
      <c r="CG12" s="2946"/>
      <c r="CH12" s="2946"/>
      <c r="CI12" s="2946"/>
      <c r="CJ12" s="2946"/>
      <c r="CK12" s="2946"/>
      <c r="CL12" s="2946"/>
      <c r="CM12" s="2946"/>
      <c r="CN12" s="2946"/>
      <c r="CO12" s="2946"/>
      <c r="CP12" s="2946"/>
      <c r="CQ12" s="2946"/>
      <c r="CR12" s="2946"/>
      <c r="CS12" s="2946"/>
      <c r="CT12" s="2946"/>
      <c r="CU12" s="2946"/>
      <c r="CV12" s="2946"/>
      <c r="CW12" s="2946"/>
      <c r="CX12" s="2946"/>
      <c r="CY12" s="2946"/>
      <c r="CZ12" s="2946"/>
      <c r="DA12" s="2946"/>
      <c r="DB12" s="2946"/>
      <c r="DC12" s="2946"/>
      <c r="DD12" s="2946"/>
      <c r="DE12" s="2946"/>
      <c r="DF12" s="2946"/>
      <c r="DG12" s="2946"/>
      <c r="DH12" s="2946"/>
      <c r="DI12" s="2946"/>
      <c r="DJ12" s="2946"/>
      <c r="DK12" s="2946"/>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46"/>
      <c r="FX12" s="2946"/>
      <c r="FY12" s="2946"/>
      <c r="FZ12" s="2946"/>
      <c r="GA12" s="2946"/>
      <c r="GB12" s="2946"/>
      <c r="GC12" s="2946"/>
      <c r="GD12" s="2946"/>
      <c r="GE12" s="2946"/>
      <c r="GF12" s="2946"/>
      <c r="GG12" s="2946"/>
      <c r="GH12" s="2946"/>
      <c r="GI12" s="2946"/>
      <c r="GJ12" s="2946"/>
      <c r="GK12" s="2946"/>
      <c r="GL12" s="2946"/>
      <c r="GM12" s="2946"/>
      <c r="GN12" s="2946"/>
      <c r="GO12" s="2946"/>
      <c r="GP12" s="2946"/>
      <c r="GQ12" s="2946"/>
      <c r="GR12" s="2946"/>
      <c r="GS12" s="2946"/>
      <c r="GT12" s="2946"/>
      <c r="GU12" s="2946"/>
      <c r="GV12" s="2946"/>
      <c r="GW12" s="2946"/>
      <c r="GX12" s="2946"/>
      <c r="GY12" s="2946"/>
      <c r="GZ12" s="2946"/>
      <c r="HA12" s="2946"/>
      <c r="HB12" s="2946"/>
      <c r="HC12" s="2946"/>
      <c r="HD12" s="2946"/>
      <c r="HE12" s="2946"/>
      <c r="HF12" s="2946"/>
      <c r="HG12" s="2946"/>
      <c r="HH12" s="2946"/>
      <c r="HI12" s="2946"/>
      <c r="HJ12" s="2946"/>
      <c r="HK12" s="2946"/>
      <c r="HL12" s="2946"/>
      <c r="HM12" s="2946"/>
      <c r="HN12" s="2946"/>
      <c r="HO12" s="2946"/>
      <c r="HP12" s="2946"/>
      <c r="HQ12" s="2946"/>
      <c r="HR12" s="2946"/>
      <c r="HS12" s="2946"/>
      <c r="HT12" s="2946"/>
      <c r="HU12" s="2946"/>
      <c r="HV12" s="2946"/>
      <c r="HW12" s="2946"/>
      <c r="HX12" s="2946"/>
      <c r="HY12" s="2946"/>
      <c r="HZ12" s="2946"/>
      <c r="IA12" s="2946"/>
      <c r="IB12" s="2946"/>
      <c r="IC12" s="2946"/>
      <c r="ID12" s="2946"/>
      <c r="IE12" s="2946"/>
      <c r="IF12" s="2946"/>
      <c r="IG12" s="2946"/>
      <c r="IH12" s="2946"/>
      <c r="II12" s="2946"/>
      <c r="IJ12" s="2946"/>
      <c r="IK12" s="2946"/>
      <c r="IL12" s="2946"/>
      <c r="IM12" s="2946"/>
      <c r="IN12" s="2946"/>
      <c r="IO12" s="2946"/>
      <c r="IP12" s="2946"/>
      <c r="IQ12" s="2946"/>
      <c r="IR12" s="2946"/>
      <c r="IS12" s="2946"/>
      <c r="IT12" s="2946"/>
      <c r="IU12" s="2946"/>
      <c r="IV12" s="2946"/>
    </row>
    <row r="13" spans="1:257" ht="14.25">
      <c r="A13" s="2947"/>
      <c r="B13" s="2948" t="s">
        <v>2823</v>
      </c>
      <c r="C13" s="2949">
        <v>42301</v>
      </c>
      <c r="D13" s="2950">
        <v>4.3499999999999996</v>
      </c>
      <c r="E13" s="2950">
        <v>4.3499999999999996</v>
      </c>
      <c r="F13" s="2950">
        <v>4.75</v>
      </c>
      <c r="G13" s="2950">
        <v>4.75</v>
      </c>
      <c r="H13" s="2950">
        <v>4.9000000000000004</v>
      </c>
      <c r="I13" s="2950">
        <v>2.75</v>
      </c>
      <c r="J13" s="2950">
        <v>3.25</v>
      </c>
      <c r="K13" s="2947"/>
      <c r="L13" s="2948" t="s">
        <v>2823</v>
      </c>
      <c r="M13" s="2951">
        <v>42301</v>
      </c>
      <c r="N13" s="2950">
        <v>0.35</v>
      </c>
      <c r="O13" s="2950">
        <v>1.1000000000000001</v>
      </c>
      <c r="P13" s="2950">
        <v>1.3</v>
      </c>
      <c r="Q13" s="2950">
        <v>1.5</v>
      </c>
      <c r="R13" s="2950">
        <v>2.1</v>
      </c>
      <c r="S13" s="2950">
        <v>2.75</v>
      </c>
      <c r="T13" s="2950"/>
      <c r="U13" s="2950"/>
      <c r="V13" s="2950"/>
      <c r="W13" s="2950"/>
      <c r="X13" s="2950"/>
      <c r="Y13" s="2950"/>
      <c r="Z13" s="2950"/>
      <c r="AA13" s="2952"/>
      <c r="AB13" s="2952"/>
      <c r="AC13" s="2952"/>
      <c r="AD13" s="2952"/>
      <c r="AE13" s="2952"/>
      <c r="AF13" s="2952"/>
      <c r="AG13" s="2952"/>
      <c r="AH13" s="2952"/>
      <c r="AI13" s="2952"/>
      <c r="AJ13" s="2952"/>
      <c r="AK13" s="2952"/>
      <c r="AL13" s="2952"/>
      <c r="AM13" s="2952"/>
      <c r="AN13" s="2952"/>
      <c r="AO13" s="2952"/>
      <c r="AP13" s="2952"/>
      <c r="AQ13" s="2952"/>
      <c r="AR13" s="2952"/>
      <c r="AS13" s="2952"/>
      <c r="AT13" s="2952"/>
      <c r="AU13" s="2952"/>
      <c r="AV13" s="2952"/>
      <c r="AW13" s="2952"/>
      <c r="AX13" s="2952"/>
      <c r="AY13" s="2952"/>
      <c r="AZ13" s="2952"/>
      <c r="BA13" s="2952"/>
      <c r="BB13" s="2952"/>
      <c r="BC13" s="2952"/>
      <c r="BD13" s="2952"/>
      <c r="BE13" s="2952"/>
      <c r="BF13" s="2952"/>
      <c r="BG13" s="2952"/>
      <c r="BH13" s="2952"/>
      <c r="BI13" s="2952"/>
      <c r="BJ13" s="2952"/>
      <c r="BK13" s="2952"/>
      <c r="BL13" s="2952"/>
      <c r="BM13" s="2952"/>
      <c r="BN13" s="2952"/>
      <c r="BO13" s="2952"/>
      <c r="BP13" s="2952"/>
      <c r="BQ13" s="2952"/>
      <c r="BR13" s="2952"/>
      <c r="BS13" s="2952"/>
      <c r="BT13" s="2952"/>
      <c r="BU13" s="2952"/>
      <c r="BV13" s="2952"/>
      <c r="BW13" s="2952"/>
      <c r="BX13" s="2952"/>
      <c r="BY13" s="2952"/>
      <c r="BZ13" s="2952"/>
      <c r="CA13" s="2952"/>
      <c r="CB13" s="2952"/>
      <c r="CC13" s="2952"/>
      <c r="CD13" s="2952"/>
      <c r="CE13" s="2952"/>
      <c r="CF13" s="2952"/>
      <c r="CG13" s="2952"/>
      <c r="CH13" s="2952"/>
      <c r="CI13" s="2952"/>
      <c r="CJ13" s="2952"/>
      <c r="CK13" s="2952"/>
      <c r="CL13" s="2952"/>
      <c r="CM13" s="2952"/>
      <c r="CN13" s="2952"/>
      <c r="CO13" s="2952"/>
      <c r="CP13" s="2952"/>
      <c r="CQ13" s="2952"/>
      <c r="CR13" s="2952"/>
      <c r="CS13" s="2952"/>
      <c r="CT13" s="2952"/>
      <c r="CU13" s="2952"/>
      <c r="CV13" s="2952"/>
      <c r="CW13" s="2952"/>
      <c r="CX13" s="2952"/>
      <c r="CY13" s="2952"/>
      <c r="CZ13" s="2952"/>
      <c r="DA13" s="2952"/>
      <c r="DB13" s="2952"/>
      <c r="DC13" s="2952"/>
      <c r="DD13" s="2952"/>
      <c r="DE13" s="2952"/>
      <c r="DF13" s="2952"/>
      <c r="DG13" s="2952"/>
      <c r="DH13" s="2952"/>
      <c r="DI13" s="2952"/>
      <c r="DJ13" s="2952"/>
      <c r="DK13" s="2952"/>
      <c r="DL13" s="2952"/>
      <c r="DM13" s="2952"/>
      <c r="DN13" s="2952"/>
      <c r="DO13" s="2952"/>
      <c r="DP13" s="2952"/>
      <c r="DQ13" s="2952"/>
      <c r="DR13" s="2952"/>
      <c r="DS13" s="2952"/>
      <c r="DT13" s="2952"/>
      <c r="DU13" s="2952"/>
      <c r="DV13" s="2952"/>
      <c r="DW13" s="2952"/>
      <c r="DX13" s="2952"/>
      <c r="DY13" s="2952"/>
      <c r="DZ13" s="2952"/>
      <c r="EA13" s="2952"/>
      <c r="EB13" s="2952"/>
      <c r="EC13" s="2952"/>
      <c r="ED13" s="2952"/>
      <c r="EE13" s="2952"/>
      <c r="EF13" s="2952"/>
      <c r="EG13" s="2952"/>
      <c r="EH13" s="2952"/>
      <c r="EI13" s="2952"/>
      <c r="EJ13" s="2952"/>
      <c r="EK13" s="2952"/>
      <c r="EL13" s="2952"/>
      <c r="EM13" s="2952"/>
      <c r="EN13" s="2952"/>
      <c r="EO13" s="2952"/>
      <c r="EP13" s="2952"/>
      <c r="EQ13" s="2952"/>
      <c r="ER13" s="2952"/>
      <c r="ES13" s="2952"/>
      <c r="ET13" s="2952"/>
      <c r="EU13" s="2952"/>
      <c r="EV13" s="2952"/>
      <c r="EW13" s="2952"/>
      <c r="EX13" s="2952"/>
      <c r="EY13" s="2952"/>
      <c r="EZ13" s="2952"/>
      <c r="FA13" s="2952"/>
      <c r="FB13" s="2952"/>
      <c r="FC13" s="2952"/>
      <c r="FD13" s="2952"/>
      <c r="FE13" s="2952"/>
      <c r="FF13" s="2952"/>
      <c r="FG13" s="2952"/>
      <c r="FH13" s="2952"/>
      <c r="FI13" s="2952"/>
      <c r="FJ13" s="2952"/>
      <c r="FK13" s="2952"/>
      <c r="FL13" s="2952"/>
      <c r="FM13" s="2952"/>
      <c r="FN13" s="2952"/>
      <c r="FO13" s="2952"/>
      <c r="FP13" s="2952"/>
      <c r="FQ13" s="2952"/>
      <c r="FR13" s="2952"/>
      <c r="FS13" s="2952"/>
      <c r="FT13" s="2952"/>
      <c r="FU13" s="2952"/>
      <c r="FV13" s="2952"/>
      <c r="FW13" s="2952"/>
      <c r="FX13" s="2952"/>
      <c r="FY13" s="2952"/>
      <c r="FZ13" s="2952"/>
      <c r="GA13" s="2952"/>
      <c r="GB13" s="2952"/>
      <c r="GC13" s="2952"/>
      <c r="GD13" s="2952"/>
      <c r="GE13" s="2952"/>
      <c r="GF13" s="2952"/>
      <c r="GG13" s="2952"/>
      <c r="GH13" s="2952"/>
      <c r="GI13" s="2952"/>
      <c r="GJ13" s="2952"/>
      <c r="GK13" s="2952"/>
      <c r="GL13" s="2952"/>
      <c r="GM13" s="2952"/>
      <c r="GN13" s="2952"/>
      <c r="GO13" s="2952"/>
      <c r="GP13" s="2952"/>
      <c r="GQ13" s="2952"/>
      <c r="GR13" s="2952"/>
      <c r="GS13" s="2952"/>
      <c r="GT13" s="2952"/>
      <c r="GU13" s="2952"/>
      <c r="GV13" s="2952"/>
      <c r="GW13" s="2952"/>
      <c r="GX13" s="2952"/>
      <c r="GY13" s="2952"/>
      <c r="GZ13" s="2952"/>
      <c r="HA13" s="2952"/>
      <c r="HB13" s="2952"/>
      <c r="HC13" s="2952"/>
      <c r="HD13" s="2952"/>
      <c r="HE13" s="2952"/>
      <c r="HF13" s="2952"/>
      <c r="HG13" s="2952"/>
      <c r="HH13" s="2952"/>
      <c r="HI13" s="2952"/>
      <c r="HJ13" s="2952"/>
      <c r="HK13" s="2952"/>
      <c r="HL13" s="2952"/>
      <c r="HM13" s="2952"/>
      <c r="HN13" s="2952"/>
      <c r="HO13" s="2952"/>
      <c r="HP13" s="2952"/>
      <c r="HQ13" s="2952"/>
      <c r="HR13" s="2952"/>
      <c r="HS13" s="2952"/>
      <c r="HT13" s="2952"/>
      <c r="HU13" s="2952"/>
      <c r="HV13" s="2952"/>
      <c r="HW13" s="2952"/>
      <c r="HX13" s="2952"/>
      <c r="HY13" s="2952"/>
      <c r="HZ13" s="2952"/>
      <c r="IA13" s="2952"/>
      <c r="IB13" s="2952"/>
      <c r="IC13" s="2952"/>
      <c r="ID13" s="2952"/>
      <c r="IE13" s="2952"/>
      <c r="IF13" s="2952"/>
      <c r="IG13" s="2952"/>
      <c r="IH13" s="2952"/>
      <c r="II13" s="2952"/>
      <c r="IJ13" s="2952"/>
      <c r="IK13" s="2952"/>
      <c r="IL13" s="2952"/>
      <c r="IM13" s="2952"/>
      <c r="IN13" s="2952"/>
      <c r="IO13" s="2952"/>
      <c r="IP13" s="2952"/>
      <c r="IQ13" s="2952"/>
      <c r="IR13" s="2952"/>
      <c r="IS13" s="2952"/>
      <c r="IT13" s="2952"/>
      <c r="IU13" s="2952"/>
      <c r="IV13" s="2952"/>
      <c r="IW13" s="2953"/>
    </row>
    <row r="14" spans="1:257">
      <c r="B14" s="2954"/>
      <c r="C14" s="2955">
        <v>42242</v>
      </c>
      <c r="D14" s="2954">
        <v>4.5999999999999996</v>
      </c>
      <c r="E14" s="2954">
        <v>4.5999999999999996</v>
      </c>
      <c r="F14" s="2954">
        <v>5</v>
      </c>
      <c r="G14" s="2954">
        <v>5</v>
      </c>
      <c r="H14" s="2954">
        <v>5.15</v>
      </c>
      <c r="I14" s="2954">
        <v>2.75</v>
      </c>
      <c r="J14" s="2954">
        <v>3.25</v>
      </c>
      <c r="L14" s="2954"/>
      <c r="M14" s="2955">
        <v>42242</v>
      </c>
      <c r="N14" s="2954">
        <v>0.35</v>
      </c>
      <c r="O14" s="2954">
        <v>1.35</v>
      </c>
      <c r="P14" s="2954">
        <v>1.55</v>
      </c>
      <c r="Q14" s="2954">
        <v>1.75</v>
      </c>
      <c r="R14" s="2954">
        <v>2.35</v>
      </c>
      <c r="S14" s="2954">
        <v>3</v>
      </c>
      <c r="T14" s="2954"/>
      <c r="U14" s="2954"/>
      <c r="V14" s="2954"/>
      <c r="W14" s="2954"/>
      <c r="X14" s="2954"/>
      <c r="Y14" s="2954"/>
      <c r="Z14" s="2954"/>
    </row>
    <row r="15" spans="1:257">
      <c r="B15" s="2954"/>
      <c r="C15" s="2955">
        <v>42183</v>
      </c>
      <c r="D15" s="2954">
        <v>4.8499999999999996</v>
      </c>
      <c r="E15" s="2954">
        <v>4.8499999999999996</v>
      </c>
      <c r="F15" s="2954">
        <v>5.25</v>
      </c>
      <c r="G15" s="2954">
        <v>5.25</v>
      </c>
      <c r="H15" s="2954">
        <v>5.4</v>
      </c>
      <c r="I15" s="2954">
        <v>3</v>
      </c>
      <c r="J15" s="2954">
        <v>3.5</v>
      </c>
      <c r="L15" s="2954"/>
      <c r="M15" s="2955">
        <v>42183</v>
      </c>
      <c r="N15" s="2954">
        <v>0.35</v>
      </c>
      <c r="O15" s="2954">
        <v>1.6</v>
      </c>
      <c r="P15" s="2954">
        <v>1.8</v>
      </c>
      <c r="Q15" s="2954">
        <v>2</v>
      </c>
      <c r="R15" s="2954">
        <v>2.6</v>
      </c>
      <c r="S15" s="2954">
        <v>3.25</v>
      </c>
      <c r="T15" s="2954"/>
      <c r="U15" s="2954"/>
      <c r="V15" s="2954"/>
      <c r="W15" s="2954"/>
      <c r="X15" s="2954"/>
      <c r="Y15" s="2954"/>
      <c r="Z15" s="2954"/>
    </row>
    <row r="16" spans="1:257">
      <c r="B16" s="2954"/>
      <c r="C16" s="2955">
        <v>42135</v>
      </c>
      <c r="D16" s="2954">
        <v>5.0999999999999996</v>
      </c>
      <c r="E16" s="2954">
        <v>5.0999999999999996</v>
      </c>
      <c r="F16" s="2954">
        <v>5.5</v>
      </c>
      <c r="G16" s="2954">
        <v>5.5</v>
      </c>
      <c r="H16" s="2954">
        <v>5.65</v>
      </c>
      <c r="I16" s="2954">
        <v>3.25</v>
      </c>
      <c r="J16" s="2954">
        <v>3.75</v>
      </c>
      <c r="L16" s="2954"/>
      <c r="M16" s="2955">
        <v>42135</v>
      </c>
      <c r="N16" s="2954">
        <v>0.35</v>
      </c>
      <c r="O16" s="2954">
        <v>1.85</v>
      </c>
      <c r="P16" s="2954">
        <v>2.0499999999999998</v>
      </c>
      <c r="Q16" s="2954">
        <v>2.25</v>
      </c>
      <c r="R16" s="2954">
        <v>2.85</v>
      </c>
      <c r="S16" s="2954">
        <v>3.5</v>
      </c>
      <c r="T16" s="2954"/>
      <c r="U16" s="2954"/>
      <c r="V16" s="2954"/>
      <c r="W16" s="2954"/>
      <c r="X16" s="2954"/>
      <c r="Y16" s="2954"/>
      <c r="Z16" s="2954"/>
    </row>
    <row r="17" spans="2:26">
      <c r="B17" s="2954"/>
      <c r="C17" s="2955">
        <v>42064</v>
      </c>
      <c r="D17" s="2954">
        <v>5.35</v>
      </c>
      <c r="E17" s="2954">
        <v>5.35</v>
      </c>
      <c r="F17" s="2954">
        <v>5.75</v>
      </c>
      <c r="G17" s="2954">
        <v>5.75</v>
      </c>
      <c r="H17" s="2954">
        <v>5.9</v>
      </c>
      <c r="I17" s="2954"/>
      <c r="J17" s="2954"/>
      <c r="L17" s="2954"/>
      <c r="M17" s="2955">
        <v>42064</v>
      </c>
      <c r="N17" s="2954">
        <v>0.35</v>
      </c>
      <c r="O17" s="2954">
        <v>2.1</v>
      </c>
      <c r="P17" s="2954">
        <v>2.2999999999999998</v>
      </c>
      <c r="Q17" s="2954">
        <v>2.5</v>
      </c>
      <c r="R17" s="2954">
        <v>3.1</v>
      </c>
      <c r="S17" s="2954">
        <v>3.75</v>
      </c>
      <c r="T17" s="2954">
        <v>4.5</v>
      </c>
      <c r="U17" s="2954">
        <v>2.35</v>
      </c>
      <c r="V17" s="2954">
        <v>2.5499999999999998</v>
      </c>
      <c r="W17" s="2954">
        <v>2.75</v>
      </c>
      <c r="X17" s="2954"/>
      <c r="Y17" s="2954">
        <v>0.8</v>
      </c>
      <c r="Z17" s="2954">
        <v>1.35</v>
      </c>
    </row>
    <row r="18" spans="2:26" ht="15">
      <c r="B18" s="2954"/>
      <c r="C18" s="2955">
        <v>41965</v>
      </c>
      <c r="D18" s="2954">
        <v>5.6</v>
      </c>
      <c r="E18" s="2954">
        <v>5.6</v>
      </c>
      <c r="F18" s="2954">
        <v>6</v>
      </c>
      <c r="G18" s="2954">
        <v>6</v>
      </c>
      <c r="H18" s="2954">
        <v>6.15</v>
      </c>
      <c r="I18" s="2954"/>
      <c r="J18" s="2954"/>
      <c r="L18" s="2954"/>
      <c r="M18" s="2955">
        <v>41965</v>
      </c>
      <c r="N18" s="2954">
        <v>0.35</v>
      </c>
      <c r="O18" s="2954">
        <v>2.35</v>
      </c>
      <c r="P18" s="2954">
        <v>2.5499999999999998</v>
      </c>
      <c r="Q18" s="2954">
        <v>2.75</v>
      </c>
      <c r="R18" s="2954">
        <v>3.35</v>
      </c>
      <c r="S18" s="2954">
        <v>4</v>
      </c>
      <c r="T18" s="2954">
        <v>4.75</v>
      </c>
      <c r="U18" s="2956">
        <v>2.35</v>
      </c>
      <c r="V18" s="2956">
        <v>2.5499999999999998</v>
      </c>
      <c r="W18" s="2956">
        <v>2.75</v>
      </c>
      <c r="X18" s="2954"/>
      <c r="Y18" s="2956">
        <v>0.8</v>
      </c>
      <c r="Z18" s="2956">
        <v>1.35</v>
      </c>
    </row>
    <row r="19" spans="2:26">
      <c r="B19" s="2954"/>
      <c r="C19" s="2955">
        <v>41096</v>
      </c>
      <c r="D19" s="2954">
        <v>5.6</v>
      </c>
      <c r="E19" s="2954">
        <v>6</v>
      </c>
      <c r="F19" s="2954">
        <v>6.15</v>
      </c>
      <c r="G19" s="2954">
        <v>6.4</v>
      </c>
      <c r="H19" s="2954">
        <v>6.55</v>
      </c>
      <c r="I19" s="2954">
        <v>4</v>
      </c>
      <c r="J19" s="2954">
        <v>4.5</v>
      </c>
      <c r="L19" s="2954"/>
      <c r="M19" s="2955">
        <v>41096</v>
      </c>
      <c r="N19" s="2954">
        <v>0.35</v>
      </c>
      <c r="O19" s="2954">
        <v>2.6</v>
      </c>
      <c r="P19" s="2954">
        <v>2.8</v>
      </c>
      <c r="Q19" s="2954">
        <v>3</v>
      </c>
      <c r="R19" s="2954">
        <v>3.75</v>
      </c>
      <c r="S19" s="2954">
        <v>4.25</v>
      </c>
      <c r="T19" s="2954">
        <v>4.75</v>
      </c>
      <c r="U19" s="2954">
        <v>2.85</v>
      </c>
      <c r="V19" s="2954">
        <v>2.9</v>
      </c>
      <c r="W19" s="2954">
        <v>3</v>
      </c>
      <c r="X19" s="2954">
        <v>1.1499999999999999</v>
      </c>
      <c r="Y19" s="2954">
        <v>0.8</v>
      </c>
      <c r="Z19" s="2954">
        <v>1.35</v>
      </c>
    </row>
    <row r="20" spans="2:26">
      <c r="B20" s="2954"/>
      <c r="C20" s="2955">
        <v>41068</v>
      </c>
      <c r="D20" s="2954">
        <v>5.85</v>
      </c>
      <c r="E20" s="2954">
        <v>6.31</v>
      </c>
      <c r="F20" s="2954">
        <v>6.4</v>
      </c>
      <c r="G20" s="2954">
        <v>6.65</v>
      </c>
      <c r="H20" s="2954">
        <v>6.8</v>
      </c>
      <c r="I20" s="2954">
        <v>4.2</v>
      </c>
      <c r="J20" s="2954">
        <v>4.7</v>
      </c>
      <c r="L20" s="2954"/>
      <c r="M20" s="2955">
        <v>41068</v>
      </c>
      <c r="N20" s="2954">
        <v>0.4</v>
      </c>
      <c r="O20" s="2954">
        <v>2.85</v>
      </c>
      <c r="P20" s="2954">
        <v>3.05</v>
      </c>
      <c r="Q20" s="2954">
        <v>3.25</v>
      </c>
      <c r="R20" s="2954">
        <v>4.0999999999999996</v>
      </c>
      <c r="S20" s="2954">
        <v>4.6500000000000004</v>
      </c>
      <c r="T20" s="2954">
        <v>5.0999999999999996</v>
      </c>
      <c r="U20" s="2954">
        <v>3.1</v>
      </c>
      <c r="V20" s="2954">
        <v>3.15</v>
      </c>
      <c r="W20" s="2954">
        <v>3.25</v>
      </c>
      <c r="X20" s="2954">
        <v>1.31</v>
      </c>
      <c r="Y20" s="2954">
        <v>0.94</v>
      </c>
      <c r="Z20" s="2954">
        <v>1.49</v>
      </c>
    </row>
    <row r="21" spans="2:26">
      <c r="B21" s="2954"/>
      <c r="C21" s="2955">
        <v>40731</v>
      </c>
      <c r="D21" s="2954">
        <v>6.1</v>
      </c>
      <c r="E21" s="2954">
        <v>6.56</v>
      </c>
      <c r="F21" s="2954">
        <v>6.65</v>
      </c>
      <c r="G21" s="2954">
        <v>6.9</v>
      </c>
      <c r="H21" s="2954">
        <v>7.05</v>
      </c>
      <c r="I21" s="2954">
        <v>4.45</v>
      </c>
      <c r="J21" s="2954">
        <v>4.9000000000000004</v>
      </c>
      <c r="L21" s="2954"/>
      <c r="M21" s="2955">
        <v>40731</v>
      </c>
      <c r="N21" s="2954">
        <v>0.5</v>
      </c>
      <c r="O21" s="2954">
        <v>3.1</v>
      </c>
      <c r="P21" s="2954">
        <v>3.3</v>
      </c>
      <c r="Q21" s="2954">
        <v>3.5</v>
      </c>
      <c r="R21" s="2954">
        <v>4.4000000000000004</v>
      </c>
      <c r="S21" s="2954">
        <v>5</v>
      </c>
      <c r="T21" s="2954">
        <v>5.5</v>
      </c>
      <c r="U21" s="2954">
        <v>3.1</v>
      </c>
      <c r="V21" s="2954">
        <v>3.3</v>
      </c>
      <c r="W21" s="2954">
        <v>3.5</v>
      </c>
      <c r="X21" s="2954">
        <v>1.31</v>
      </c>
      <c r="Y21" s="2954">
        <v>0.95</v>
      </c>
      <c r="Z21" s="2954">
        <v>1.49</v>
      </c>
    </row>
    <row r="22" spans="2:26">
      <c r="B22" s="2954"/>
      <c r="C22" s="2955">
        <v>40639</v>
      </c>
      <c r="D22" s="2954">
        <v>5.85</v>
      </c>
      <c r="E22" s="2954">
        <v>6.31</v>
      </c>
      <c r="F22" s="2954">
        <v>6.4</v>
      </c>
      <c r="G22" s="2954">
        <v>6.65</v>
      </c>
      <c r="H22" s="2954">
        <v>6.8</v>
      </c>
      <c r="I22" s="2954">
        <v>4.2</v>
      </c>
      <c r="J22" s="2954">
        <v>4.7</v>
      </c>
      <c r="L22" s="2954"/>
      <c r="M22" s="2955">
        <v>40639</v>
      </c>
      <c r="N22" s="2954">
        <v>0.5</v>
      </c>
      <c r="O22" s="2954">
        <v>2.85</v>
      </c>
      <c r="P22" s="2954">
        <v>3.05</v>
      </c>
      <c r="Q22" s="2954">
        <v>3.25</v>
      </c>
      <c r="R22" s="2954">
        <v>4.1500000000000004</v>
      </c>
      <c r="S22" s="2954">
        <v>4.75</v>
      </c>
      <c r="T22" s="2954">
        <v>5.25</v>
      </c>
      <c r="U22" s="2954">
        <v>2.85</v>
      </c>
      <c r="V22" s="2954">
        <v>3.05</v>
      </c>
      <c r="W22" s="2954">
        <v>3.25</v>
      </c>
      <c r="X22" s="2954">
        <v>1.31</v>
      </c>
      <c r="Y22" s="2954">
        <v>0.95</v>
      </c>
      <c r="Z22" s="2954">
        <v>1.49</v>
      </c>
    </row>
    <row r="23" spans="2:26">
      <c r="B23" s="2954"/>
      <c r="C23" s="2955">
        <v>40583</v>
      </c>
      <c r="D23" s="2954">
        <v>5.6</v>
      </c>
      <c r="E23" s="2954">
        <v>6.06</v>
      </c>
      <c r="F23" s="2954">
        <v>6.1</v>
      </c>
      <c r="G23" s="2954">
        <v>6.45</v>
      </c>
      <c r="H23" s="2954">
        <v>6.6</v>
      </c>
      <c r="I23" s="2954">
        <v>4</v>
      </c>
      <c r="J23" s="2954">
        <v>4.5</v>
      </c>
      <c r="L23" s="2954"/>
      <c r="M23" s="2955">
        <v>40583</v>
      </c>
      <c r="N23" s="2954">
        <v>0.4</v>
      </c>
      <c r="O23" s="2954">
        <v>2.6</v>
      </c>
      <c r="P23" s="2954">
        <v>2.8</v>
      </c>
      <c r="Q23" s="2954">
        <v>3</v>
      </c>
      <c r="R23" s="2954">
        <v>3.9</v>
      </c>
      <c r="S23" s="2954">
        <v>4.5</v>
      </c>
      <c r="T23" s="2954">
        <v>5</v>
      </c>
      <c r="U23" s="2954">
        <v>2.6</v>
      </c>
      <c r="V23" s="2954">
        <v>2.8</v>
      </c>
      <c r="W23" s="2954">
        <v>3</v>
      </c>
      <c r="X23" s="2954">
        <v>1.21</v>
      </c>
      <c r="Y23" s="2954">
        <v>0.85</v>
      </c>
      <c r="Z23" s="2954">
        <v>1.39</v>
      </c>
    </row>
    <row r="24" spans="2:26">
      <c r="B24" s="2954"/>
      <c r="C24" s="2955">
        <v>40538</v>
      </c>
      <c r="D24" s="2954">
        <v>5.35</v>
      </c>
      <c r="E24" s="2954">
        <v>5.81</v>
      </c>
      <c r="F24" s="2954">
        <v>5.85</v>
      </c>
      <c r="G24" s="2954">
        <v>6.22</v>
      </c>
      <c r="H24" s="2954">
        <v>6.4</v>
      </c>
      <c r="I24" s="2954">
        <v>3.75</v>
      </c>
      <c r="J24" s="2954">
        <v>4.3</v>
      </c>
      <c r="L24" s="2954"/>
      <c r="M24" s="2955">
        <v>40538</v>
      </c>
      <c r="N24" s="2954">
        <v>0.36</v>
      </c>
      <c r="O24" s="2954">
        <v>2.25</v>
      </c>
      <c r="P24" s="2954">
        <v>2.5</v>
      </c>
      <c r="Q24" s="2954">
        <v>2.75</v>
      </c>
      <c r="R24" s="2954">
        <v>3.55</v>
      </c>
      <c r="S24" s="2954">
        <v>4.1500000000000004</v>
      </c>
      <c r="T24" s="2954">
        <v>4.55</v>
      </c>
      <c r="U24" s="2954">
        <v>2.16</v>
      </c>
      <c r="V24" s="2954">
        <v>2.5</v>
      </c>
      <c r="W24" s="2954">
        <v>2.85</v>
      </c>
      <c r="X24" s="2954">
        <v>1.17</v>
      </c>
      <c r="Y24" s="2954">
        <v>0.81</v>
      </c>
      <c r="Z24" s="2954">
        <v>1.35</v>
      </c>
    </row>
    <row r="25" spans="2:26">
      <c r="B25" s="2954"/>
      <c r="C25" s="2955">
        <v>40471</v>
      </c>
      <c r="D25" s="2954">
        <v>5.0999999999999996</v>
      </c>
      <c r="E25" s="2954">
        <v>5.56</v>
      </c>
      <c r="F25" s="2954">
        <v>5.6</v>
      </c>
      <c r="G25" s="2954">
        <v>5.96</v>
      </c>
      <c r="H25" s="2954">
        <v>6.14</v>
      </c>
      <c r="I25" s="2954">
        <v>3.5</v>
      </c>
      <c r="J25" s="2954">
        <v>4.05</v>
      </c>
      <c r="L25" s="2954"/>
      <c r="M25" s="2955">
        <v>40471</v>
      </c>
      <c r="N25" s="2954">
        <v>0.36</v>
      </c>
      <c r="O25" s="2954">
        <v>1.91</v>
      </c>
      <c r="P25" s="2954">
        <v>2.2000000000000002</v>
      </c>
      <c r="Q25" s="2954">
        <v>2.5</v>
      </c>
      <c r="R25" s="2954">
        <v>3.25</v>
      </c>
      <c r="S25" s="2954">
        <v>3.85</v>
      </c>
      <c r="T25" s="2954">
        <v>4.2</v>
      </c>
      <c r="U25" s="2954">
        <v>1.91</v>
      </c>
      <c r="V25" s="2954">
        <v>2.2000000000000002</v>
      </c>
      <c r="W25" s="2954">
        <v>2.5</v>
      </c>
      <c r="X25" s="2954">
        <v>1.17</v>
      </c>
      <c r="Y25" s="2954">
        <v>0.81</v>
      </c>
      <c r="Z25" s="2954">
        <v>1.35</v>
      </c>
    </row>
    <row r="26" spans="2:26">
      <c r="B26" s="2954"/>
      <c r="C26" s="2955">
        <v>39805</v>
      </c>
      <c r="D26" s="2954">
        <v>4.8600000000000003</v>
      </c>
      <c r="E26" s="2954">
        <v>5.31</v>
      </c>
      <c r="F26" s="2954">
        <v>5.4</v>
      </c>
      <c r="G26" s="2954">
        <v>5.76</v>
      </c>
      <c r="H26" s="2954">
        <v>5.94</v>
      </c>
      <c r="I26" s="2954">
        <v>3.33</v>
      </c>
      <c r="J26" s="2954">
        <v>3.87</v>
      </c>
      <c r="L26" s="2954"/>
      <c r="M26" s="2955">
        <v>39805</v>
      </c>
      <c r="N26" s="2954">
        <v>0.36</v>
      </c>
      <c r="O26" s="2954">
        <v>1.71</v>
      </c>
      <c r="P26" s="2954">
        <v>1.98</v>
      </c>
      <c r="Q26" s="2954">
        <v>2.25</v>
      </c>
      <c r="R26" s="2954">
        <v>2.79</v>
      </c>
      <c r="S26" s="2954">
        <v>3.33</v>
      </c>
      <c r="T26" s="2954">
        <v>3.6</v>
      </c>
      <c r="U26" s="2954">
        <v>1.71</v>
      </c>
      <c r="V26" s="2954">
        <v>1.98</v>
      </c>
      <c r="W26" s="2954">
        <v>2.25</v>
      </c>
      <c r="X26" s="2954">
        <v>1.17</v>
      </c>
      <c r="Y26" s="2954">
        <v>0.81</v>
      </c>
      <c r="Z26" s="2954">
        <v>1.35</v>
      </c>
    </row>
    <row r="27" spans="2:26">
      <c r="B27" s="2954"/>
      <c r="C27" s="2955">
        <v>39779</v>
      </c>
      <c r="D27" s="2954">
        <v>5.04</v>
      </c>
      <c r="E27" s="2954">
        <v>5.58</v>
      </c>
      <c r="F27" s="2954">
        <v>5.67</v>
      </c>
      <c r="G27" s="2954">
        <v>5.94</v>
      </c>
      <c r="H27" s="2954">
        <v>6.12</v>
      </c>
      <c r="I27" s="2954">
        <v>3.51</v>
      </c>
      <c r="J27" s="2954">
        <v>4.05</v>
      </c>
      <c r="L27" s="2954"/>
      <c r="M27" s="2955">
        <v>39779</v>
      </c>
      <c r="N27" s="2954">
        <v>0.36</v>
      </c>
      <c r="O27" s="2954">
        <v>1.98</v>
      </c>
      <c r="P27" s="2954">
        <v>2.25</v>
      </c>
      <c r="Q27" s="2954">
        <v>2.52</v>
      </c>
      <c r="R27" s="2954">
        <v>3.06</v>
      </c>
      <c r="S27" s="2954">
        <v>3.6</v>
      </c>
      <c r="T27" s="2954">
        <v>3.87</v>
      </c>
      <c r="U27" s="2954">
        <v>1.98</v>
      </c>
      <c r="V27" s="2954">
        <v>2.25</v>
      </c>
      <c r="W27" s="2954">
        <v>2.52</v>
      </c>
      <c r="X27" s="2954">
        <v>1.17</v>
      </c>
      <c r="Y27" s="2954">
        <v>0.81</v>
      </c>
      <c r="Z27" s="2954">
        <v>1.35</v>
      </c>
    </row>
    <row r="28" spans="2:26">
      <c r="B28" s="2954"/>
      <c r="C28" s="2955">
        <v>39751</v>
      </c>
      <c r="D28" s="2954">
        <v>6.03</v>
      </c>
      <c r="E28" s="2954">
        <v>6.66</v>
      </c>
      <c r="F28" s="2954">
        <v>6.75</v>
      </c>
      <c r="G28" s="2954">
        <v>7.02</v>
      </c>
      <c r="H28" s="2954">
        <v>7.2</v>
      </c>
      <c r="I28" s="2954">
        <v>4.05</v>
      </c>
      <c r="J28" s="2954">
        <v>4.59</v>
      </c>
      <c r="L28" s="2954"/>
      <c r="M28" s="2955">
        <v>39751</v>
      </c>
      <c r="N28" s="2954">
        <v>0.72</v>
      </c>
      <c r="O28" s="2954">
        <v>2.88</v>
      </c>
      <c r="P28" s="2954">
        <v>3.24</v>
      </c>
      <c r="Q28" s="2954">
        <v>3.6</v>
      </c>
      <c r="R28" s="2954">
        <v>4.1399999999999997</v>
      </c>
      <c r="S28" s="2954">
        <v>4.7699999999999996</v>
      </c>
      <c r="T28" s="2954">
        <v>5.13</v>
      </c>
      <c r="U28" s="2954">
        <v>2.88</v>
      </c>
      <c r="V28" s="2954">
        <v>3.24</v>
      </c>
      <c r="W28" s="2954">
        <v>3.6</v>
      </c>
      <c r="X28" s="2954">
        <v>1.53</v>
      </c>
      <c r="Y28" s="2954">
        <v>1.17</v>
      </c>
      <c r="Z28" s="2954">
        <v>1.71</v>
      </c>
    </row>
    <row r="29" spans="2:26">
      <c r="B29" s="2954"/>
      <c r="C29" s="2957">
        <v>39748</v>
      </c>
      <c r="D29" s="2954">
        <v>6.12</v>
      </c>
      <c r="E29" s="2954">
        <v>6.93</v>
      </c>
      <c r="F29" s="2954">
        <v>7.02</v>
      </c>
      <c r="G29" s="2954">
        <v>7.29</v>
      </c>
      <c r="H29" s="2954">
        <v>7.47</v>
      </c>
      <c r="I29" s="2954">
        <v>4.05</v>
      </c>
      <c r="J29" s="2954">
        <v>4.59</v>
      </c>
      <c r="L29" s="2954"/>
      <c r="M29" s="2957">
        <v>39736</v>
      </c>
      <c r="N29" s="2954">
        <v>0.72</v>
      </c>
      <c r="O29" s="2954">
        <v>3.15</v>
      </c>
      <c r="P29" s="2954">
        <v>3.51</v>
      </c>
      <c r="Q29" s="2954">
        <v>3.87</v>
      </c>
      <c r="R29" s="2954">
        <v>4.41</v>
      </c>
      <c r="S29" s="2954">
        <v>5.13</v>
      </c>
      <c r="T29" s="2954">
        <v>5.58</v>
      </c>
      <c r="U29" s="2954">
        <v>3.15</v>
      </c>
      <c r="V29" s="2954">
        <v>3.51</v>
      </c>
      <c r="W29" s="2954">
        <v>3.87</v>
      </c>
      <c r="X29" s="2954">
        <v>1.53</v>
      </c>
      <c r="Y29" s="2954">
        <v>1.17</v>
      </c>
      <c r="Z29" s="2954">
        <v>1.71</v>
      </c>
    </row>
    <row r="30" spans="2:26">
      <c r="B30" s="2954"/>
      <c r="C30" s="2955">
        <v>39730</v>
      </c>
      <c r="D30" s="2954">
        <v>6.12</v>
      </c>
      <c r="E30" s="2954">
        <v>6.93</v>
      </c>
      <c r="F30" s="2954">
        <v>7.02</v>
      </c>
      <c r="G30" s="2954">
        <v>7.29</v>
      </c>
      <c r="H30" s="2954">
        <v>7.47</v>
      </c>
      <c r="I30" s="2954">
        <v>4.32</v>
      </c>
      <c r="J30" s="2954">
        <v>4.8600000000000003</v>
      </c>
      <c r="L30" s="2954"/>
      <c r="M30" s="2955">
        <v>39730</v>
      </c>
      <c r="N30" s="2954">
        <v>0.72</v>
      </c>
      <c r="O30" s="2954">
        <v>3.15</v>
      </c>
      <c r="P30" s="2954">
        <v>3.51</v>
      </c>
      <c r="Q30" s="2954">
        <v>3.87</v>
      </c>
      <c r="R30" s="2954">
        <v>4.41</v>
      </c>
      <c r="S30" s="2954">
        <v>5.13</v>
      </c>
      <c r="T30" s="2954">
        <v>5.58</v>
      </c>
      <c r="U30" s="2954">
        <v>3.15</v>
      </c>
      <c r="V30" s="2954">
        <v>3.51</v>
      </c>
      <c r="W30" s="2954">
        <v>3.87</v>
      </c>
      <c r="X30" s="2954">
        <v>1.53</v>
      </c>
      <c r="Y30" s="2954">
        <v>1.17</v>
      </c>
      <c r="Z30" s="2954">
        <v>1.71</v>
      </c>
    </row>
    <row r="31" spans="2:26">
      <c r="B31" s="2954"/>
      <c r="C31" s="2955">
        <v>39707</v>
      </c>
      <c r="D31" s="2954">
        <v>6.21</v>
      </c>
      <c r="E31" s="2954">
        <v>7.2</v>
      </c>
      <c r="F31" s="2954">
        <v>7.29</v>
      </c>
      <c r="G31" s="2954">
        <v>7.56</v>
      </c>
      <c r="H31" s="2954">
        <v>7.74</v>
      </c>
      <c r="I31" s="2954">
        <v>4.59</v>
      </c>
      <c r="J31" s="2954">
        <v>5.13</v>
      </c>
      <c r="L31" s="2954"/>
      <c r="M31" s="2955">
        <v>39437</v>
      </c>
      <c r="N31" s="2954">
        <v>0.72</v>
      </c>
      <c r="O31" s="2954">
        <v>3.33</v>
      </c>
      <c r="P31" s="2954">
        <v>3.78</v>
      </c>
      <c r="Q31" s="2954">
        <v>4.1399999999999997</v>
      </c>
      <c r="R31" s="2954">
        <v>4.68</v>
      </c>
      <c r="S31" s="2954">
        <v>5.4</v>
      </c>
      <c r="T31" s="2954">
        <v>5.85</v>
      </c>
      <c r="U31" s="2954">
        <v>3.33</v>
      </c>
      <c r="V31" s="2954">
        <v>3.78</v>
      </c>
      <c r="W31" s="2954">
        <v>4.1399999999999997</v>
      </c>
      <c r="X31" s="2954">
        <v>1.53</v>
      </c>
      <c r="Y31" s="2954">
        <v>1.17</v>
      </c>
      <c r="Z31" s="2954">
        <v>1.71</v>
      </c>
    </row>
    <row r="32" spans="2:26">
      <c r="B32" s="2954"/>
      <c r="C32" s="2955">
        <v>39437</v>
      </c>
      <c r="D32" s="2954">
        <v>6.57</v>
      </c>
      <c r="E32" s="2954">
        <v>7.47</v>
      </c>
      <c r="F32" s="2954">
        <v>7.56</v>
      </c>
      <c r="G32" s="2954">
        <v>7.74</v>
      </c>
      <c r="H32" s="2954">
        <v>7.83</v>
      </c>
      <c r="I32" s="2954">
        <v>4.7699999999999996</v>
      </c>
      <c r="J32" s="2954">
        <v>5.22</v>
      </c>
      <c r="L32" s="2954"/>
      <c r="M32" s="2955">
        <v>39340</v>
      </c>
      <c r="N32" s="2954">
        <v>0.81</v>
      </c>
      <c r="O32" s="2954">
        <v>2.88</v>
      </c>
      <c r="P32" s="2954">
        <v>3.42</v>
      </c>
      <c r="Q32" s="2954">
        <v>3.87</v>
      </c>
      <c r="R32" s="2954">
        <v>4.5</v>
      </c>
      <c r="S32" s="2954">
        <v>5.22</v>
      </c>
      <c r="T32" s="2954">
        <v>5.76</v>
      </c>
      <c r="U32" s="2954">
        <v>2.88</v>
      </c>
      <c r="V32" s="2954">
        <v>3.42</v>
      </c>
      <c r="W32" s="2954">
        <v>3.87</v>
      </c>
      <c r="X32" s="2954">
        <v>1.53</v>
      </c>
      <c r="Y32" s="2954">
        <v>1.17</v>
      </c>
      <c r="Z32" s="2954">
        <v>1.71</v>
      </c>
    </row>
    <row r="33" spans="2:26">
      <c r="B33" s="2954"/>
      <c r="C33" s="2955">
        <v>39340</v>
      </c>
      <c r="D33" s="2954">
        <v>6.48</v>
      </c>
      <c r="E33" s="2954">
        <v>7.29</v>
      </c>
      <c r="F33" s="2954">
        <v>7.47</v>
      </c>
      <c r="G33" s="2954">
        <v>7.65</v>
      </c>
      <c r="H33" s="2954">
        <v>7.83</v>
      </c>
      <c r="I33" s="2954">
        <v>4.7699999999999996</v>
      </c>
      <c r="J33" s="2954">
        <v>5.22</v>
      </c>
      <c r="L33" s="2954"/>
      <c r="M33" s="2955">
        <v>39316</v>
      </c>
      <c r="N33" s="2954">
        <v>0.81</v>
      </c>
      <c r="O33" s="2954">
        <v>2.61</v>
      </c>
      <c r="P33" s="2954">
        <v>3.15</v>
      </c>
      <c r="Q33" s="2954">
        <v>3.6</v>
      </c>
      <c r="R33" s="2954">
        <v>4.2300000000000004</v>
      </c>
      <c r="S33" s="2954">
        <v>4.95</v>
      </c>
      <c r="T33" s="2954">
        <v>5.49</v>
      </c>
      <c r="U33" s="2954">
        <v>2.61</v>
      </c>
      <c r="V33" s="2954">
        <v>3.15</v>
      </c>
      <c r="W33" s="2954">
        <v>3.6</v>
      </c>
      <c r="X33" s="2954">
        <v>1.53</v>
      </c>
      <c r="Y33" s="2954">
        <v>1.17</v>
      </c>
      <c r="Z33" s="2954">
        <v>1.71</v>
      </c>
    </row>
    <row r="34" spans="2:26">
      <c r="B34" s="2954"/>
      <c r="C34" s="2955">
        <v>39316</v>
      </c>
      <c r="D34" s="2954">
        <v>6.21</v>
      </c>
      <c r="E34" s="2954">
        <v>7.02</v>
      </c>
      <c r="F34" s="2954">
        <v>7.2</v>
      </c>
      <c r="G34" s="2954">
        <v>7.38</v>
      </c>
      <c r="H34" s="2954">
        <v>7.56</v>
      </c>
      <c r="I34" s="2954">
        <v>4.59</v>
      </c>
      <c r="J34" s="2954">
        <v>5.04</v>
      </c>
      <c r="L34" s="2954"/>
      <c r="M34" s="2955">
        <v>39284</v>
      </c>
      <c r="N34" s="2954">
        <v>0.81</v>
      </c>
      <c r="O34" s="2954">
        <v>2.34</v>
      </c>
      <c r="P34" s="2954">
        <v>2.88</v>
      </c>
      <c r="Q34" s="2954">
        <v>3.33</v>
      </c>
      <c r="R34" s="2954">
        <v>3.96</v>
      </c>
      <c r="S34" s="2954">
        <v>4.68</v>
      </c>
      <c r="T34" s="2954">
        <v>5.22</v>
      </c>
      <c r="U34" s="2954">
        <v>2.34</v>
      </c>
      <c r="V34" s="2954">
        <v>2.88</v>
      </c>
      <c r="W34" s="2954">
        <v>3.33</v>
      </c>
      <c r="X34" s="2954">
        <v>1.53</v>
      </c>
      <c r="Y34" s="2954">
        <v>1.17</v>
      </c>
      <c r="Z34" s="2954">
        <v>1.71</v>
      </c>
    </row>
    <row r="35" spans="2:26">
      <c r="B35" s="2954"/>
      <c r="C35" s="2955">
        <v>39284</v>
      </c>
      <c r="D35" s="2954">
        <v>6.03</v>
      </c>
      <c r="E35" s="2954">
        <v>6.84</v>
      </c>
      <c r="F35" s="2954">
        <v>7.02</v>
      </c>
      <c r="G35" s="2954">
        <v>7.2</v>
      </c>
      <c r="H35" s="2954">
        <v>7.38</v>
      </c>
      <c r="I35" s="2954">
        <v>4.5</v>
      </c>
      <c r="J35" s="2954">
        <v>4.95</v>
      </c>
      <c r="L35" s="2954"/>
      <c r="M35" s="2955">
        <v>39221</v>
      </c>
      <c r="N35" s="2954">
        <v>0.72</v>
      </c>
      <c r="O35" s="2954">
        <v>2.0699999999999998</v>
      </c>
      <c r="P35" s="2954">
        <v>2.61</v>
      </c>
      <c r="Q35" s="2954">
        <v>3.06</v>
      </c>
      <c r="R35" s="2954">
        <v>3.69</v>
      </c>
      <c r="S35" s="2954">
        <v>4.41</v>
      </c>
      <c r="T35" s="2954">
        <v>4.95</v>
      </c>
      <c r="U35" s="2954">
        <v>2.0699999999999998</v>
      </c>
      <c r="V35" s="2954">
        <v>2.61</v>
      </c>
      <c r="W35" s="2954">
        <v>3.06</v>
      </c>
      <c r="X35" s="2954">
        <v>1.44</v>
      </c>
      <c r="Y35" s="2954">
        <v>1.08</v>
      </c>
      <c r="Z35" s="2954">
        <v>1.62</v>
      </c>
    </row>
    <row r="36" spans="2:26">
      <c r="B36" s="2954"/>
      <c r="C36" s="2955">
        <v>39221</v>
      </c>
      <c r="D36" s="2954">
        <v>5.85</v>
      </c>
      <c r="E36" s="2954">
        <v>6.57</v>
      </c>
      <c r="F36" s="2954">
        <v>6.75</v>
      </c>
      <c r="G36" s="2954">
        <v>6.93</v>
      </c>
      <c r="H36" s="2954">
        <v>7.2</v>
      </c>
      <c r="I36" s="2954">
        <v>4.41</v>
      </c>
      <c r="J36" s="2954">
        <v>4.8600000000000003</v>
      </c>
      <c r="L36" s="2954"/>
      <c r="M36" s="2955">
        <v>39159</v>
      </c>
      <c r="N36" s="2954">
        <v>0.72</v>
      </c>
      <c r="O36" s="2954">
        <v>1.98</v>
      </c>
      <c r="P36" s="2954">
        <v>2.4300000000000002</v>
      </c>
      <c r="Q36" s="2954">
        <v>2.79</v>
      </c>
      <c r="R36" s="2954">
        <v>3.33</v>
      </c>
      <c r="S36" s="2954">
        <v>3.96</v>
      </c>
      <c r="T36" s="2954">
        <v>4.41</v>
      </c>
      <c r="U36" s="2954">
        <v>1.98</v>
      </c>
      <c r="V36" s="2954">
        <v>2.4300000000000002</v>
      </c>
      <c r="W36" s="2954">
        <v>2.79</v>
      </c>
      <c r="X36" s="2954">
        <v>1.44</v>
      </c>
      <c r="Y36" s="2954">
        <v>1.08</v>
      </c>
      <c r="Z36" s="2954">
        <v>1.62</v>
      </c>
    </row>
    <row r="37" spans="2:26">
      <c r="B37" s="2954"/>
      <c r="C37" s="2955">
        <v>39159</v>
      </c>
      <c r="D37" s="2954">
        <v>5.67</v>
      </c>
      <c r="E37" s="2954">
        <v>6.39</v>
      </c>
      <c r="F37" s="2954">
        <v>6.57</v>
      </c>
      <c r="G37" s="2954">
        <v>6.75</v>
      </c>
      <c r="H37" s="2954">
        <v>7.11</v>
      </c>
      <c r="I37" s="2954">
        <v>4.32</v>
      </c>
      <c r="J37" s="2954">
        <v>4.7699999999999996</v>
      </c>
      <c r="L37" s="2954"/>
      <c r="M37" s="2955">
        <v>38948</v>
      </c>
      <c r="N37" s="2954">
        <v>0.72</v>
      </c>
      <c r="O37" s="2954">
        <v>1.8</v>
      </c>
      <c r="P37" s="2954">
        <v>2.25</v>
      </c>
      <c r="Q37" s="2954">
        <v>2.52</v>
      </c>
      <c r="R37" s="2954">
        <v>3.06</v>
      </c>
      <c r="S37" s="2954">
        <v>3.69</v>
      </c>
      <c r="T37" s="2954">
        <v>4.1399999999999997</v>
      </c>
      <c r="U37" s="2954">
        <v>1.8</v>
      </c>
      <c r="V37" s="2954">
        <v>2.25</v>
      </c>
      <c r="W37" s="2954">
        <v>2.52</v>
      </c>
      <c r="X37" s="2954">
        <v>1.44</v>
      </c>
      <c r="Y37" s="2954">
        <v>1.08</v>
      </c>
      <c r="Z37" s="2954">
        <v>1.62</v>
      </c>
    </row>
    <row r="38" spans="2:26">
      <c r="B38" s="2954"/>
      <c r="C38" s="2955">
        <v>38948</v>
      </c>
      <c r="D38" s="2954">
        <v>5.58</v>
      </c>
      <c r="E38" s="2954">
        <v>6.12</v>
      </c>
      <c r="F38" s="2954">
        <v>6.3</v>
      </c>
      <c r="G38" s="2954">
        <v>6.48</v>
      </c>
      <c r="H38" s="2954">
        <v>6.84</v>
      </c>
      <c r="I38" s="2954">
        <v>4.1399999999999997</v>
      </c>
      <c r="J38" s="2954">
        <v>4.59</v>
      </c>
      <c r="L38" s="2954"/>
      <c r="M38" s="2955">
        <v>38289</v>
      </c>
      <c r="N38" s="2954">
        <v>0.72</v>
      </c>
      <c r="O38" s="2954">
        <v>1.71</v>
      </c>
      <c r="P38" s="2954">
        <v>2.0699999999999998</v>
      </c>
      <c r="Q38" s="2954">
        <v>2.25</v>
      </c>
      <c r="R38" s="2954">
        <v>2.7</v>
      </c>
      <c r="S38" s="2954">
        <v>3.24</v>
      </c>
      <c r="T38" s="2954">
        <v>3.6</v>
      </c>
      <c r="U38" s="2954">
        <v>1.71</v>
      </c>
      <c r="V38" s="2954">
        <v>2.0699999999999998</v>
      </c>
      <c r="W38" s="2954">
        <v>2.25</v>
      </c>
      <c r="X38" s="2954">
        <v>1.44</v>
      </c>
      <c r="Y38" s="2954">
        <v>1.08</v>
      </c>
      <c r="Z38" s="2954">
        <v>1.62</v>
      </c>
    </row>
    <row r="39" spans="2:26">
      <c r="B39" s="2954"/>
      <c r="C39" s="2955">
        <v>38835</v>
      </c>
      <c r="D39" s="2954">
        <v>5.4</v>
      </c>
      <c r="E39" s="2954">
        <v>5.85</v>
      </c>
      <c r="F39" s="2954">
        <v>6.03</v>
      </c>
      <c r="G39" s="2954">
        <v>6.12</v>
      </c>
      <c r="H39" s="2954">
        <v>6.39</v>
      </c>
      <c r="I39" s="2954">
        <v>4.1399999999999997</v>
      </c>
      <c r="J39" s="2954">
        <v>4.59</v>
      </c>
      <c r="L39" s="2954"/>
      <c r="M39" s="2955">
        <v>37308</v>
      </c>
      <c r="N39" s="2954">
        <v>0.72</v>
      </c>
      <c r="O39" s="2954">
        <v>1.71</v>
      </c>
      <c r="P39" s="2954">
        <v>1.89</v>
      </c>
      <c r="Q39" s="2954">
        <v>1.98</v>
      </c>
      <c r="R39" s="2954">
        <v>2.25</v>
      </c>
      <c r="S39" s="2954">
        <v>2.52</v>
      </c>
      <c r="T39" s="2954">
        <v>2.79</v>
      </c>
      <c r="U39" s="2954">
        <v>1.71</v>
      </c>
      <c r="V39" s="2954">
        <v>1.89</v>
      </c>
      <c r="W39" s="2954">
        <v>1.98</v>
      </c>
      <c r="X39" s="2954">
        <v>1.44</v>
      </c>
      <c r="Y39" s="2954">
        <v>1.08</v>
      </c>
      <c r="Z39" s="2954">
        <v>1.62</v>
      </c>
    </row>
    <row r="40" spans="2:26">
      <c r="B40" s="2954"/>
      <c r="C40" s="2955">
        <v>38428</v>
      </c>
      <c r="D40" s="2954">
        <v>5.22</v>
      </c>
      <c r="E40" s="2954">
        <v>5.58</v>
      </c>
      <c r="F40" s="2954">
        <v>5.76</v>
      </c>
      <c r="G40" s="2954">
        <v>5.85</v>
      </c>
      <c r="H40" s="2954">
        <v>6.12</v>
      </c>
      <c r="I40" s="2954">
        <v>3.96</v>
      </c>
      <c r="J40" s="2954">
        <v>4.41</v>
      </c>
      <c r="L40" s="2954"/>
      <c r="M40" s="2955">
        <v>36321</v>
      </c>
      <c r="N40" s="2954">
        <v>0.99</v>
      </c>
      <c r="O40" s="2954">
        <v>1.98</v>
      </c>
      <c r="P40" s="2954">
        <v>2.16</v>
      </c>
      <c r="Q40" s="2954">
        <v>2.25</v>
      </c>
      <c r="R40" s="2954">
        <v>2.4300000000000002</v>
      </c>
      <c r="S40" s="2954">
        <v>2.7</v>
      </c>
      <c r="T40" s="2954">
        <v>2.88</v>
      </c>
      <c r="U40" s="2954">
        <v>1.98</v>
      </c>
      <c r="V40" s="2954">
        <v>2.16</v>
      </c>
      <c r="W40" s="2954">
        <v>2.25</v>
      </c>
      <c r="X40" s="2954">
        <v>1.71</v>
      </c>
      <c r="Y40" s="2954">
        <v>1.35</v>
      </c>
      <c r="Z40" s="2954">
        <v>1.89</v>
      </c>
    </row>
    <row r="41" spans="2:26">
      <c r="B41" s="2954"/>
      <c r="C41" s="2955">
        <v>38289</v>
      </c>
      <c r="D41" s="2954">
        <v>5.22</v>
      </c>
      <c r="E41" s="2954">
        <v>5.58</v>
      </c>
      <c r="F41" s="2954">
        <v>5.76</v>
      </c>
      <c r="G41" s="2954">
        <v>5.85</v>
      </c>
      <c r="H41" s="2954">
        <v>6.12</v>
      </c>
      <c r="I41" s="2954">
        <v>3.78</v>
      </c>
      <c r="J41" s="2954">
        <v>4.2300000000000004</v>
      </c>
      <c r="L41" s="2954"/>
      <c r="M41" s="2955">
        <v>36136</v>
      </c>
      <c r="N41" s="2954">
        <v>1.44</v>
      </c>
      <c r="O41" s="2954">
        <v>2.79</v>
      </c>
      <c r="P41" s="2954">
        <v>3.33</v>
      </c>
      <c r="Q41" s="2954">
        <v>3.78</v>
      </c>
      <c r="R41" s="2954">
        <v>3.96</v>
      </c>
      <c r="S41" s="2954">
        <v>4.1399999999999997</v>
      </c>
      <c r="T41" s="2954">
        <v>4.5</v>
      </c>
      <c r="U41" s="2954">
        <v>3.33</v>
      </c>
      <c r="V41" s="2954">
        <v>3.78</v>
      </c>
      <c r="W41" s="2954">
        <v>4.1399999999999997</v>
      </c>
      <c r="X41" s="2954">
        <v>2.16</v>
      </c>
      <c r="Y41" s="2954">
        <v>1.8</v>
      </c>
      <c r="Z41" s="2954">
        <v>2.34</v>
      </c>
    </row>
    <row r="42" spans="2:26">
      <c r="B42" s="2954"/>
      <c r="C42" s="2955">
        <v>37308</v>
      </c>
      <c r="D42" s="2954">
        <v>5.04</v>
      </c>
      <c r="E42" s="2954">
        <v>5.31</v>
      </c>
      <c r="F42" s="2954">
        <v>5.49</v>
      </c>
      <c r="G42" s="2954">
        <v>5.58</v>
      </c>
      <c r="H42" s="2954">
        <v>5.76</v>
      </c>
      <c r="I42" s="2954">
        <v>3.6</v>
      </c>
      <c r="J42" s="2954">
        <v>4.05</v>
      </c>
      <c r="L42" s="2954"/>
      <c r="M42" s="2955">
        <v>35977</v>
      </c>
      <c r="N42" s="2954">
        <v>1.44</v>
      </c>
      <c r="O42" s="2954">
        <v>2.79</v>
      </c>
      <c r="P42" s="2954">
        <v>3.96</v>
      </c>
      <c r="Q42" s="2954">
        <v>4.7699999999999996</v>
      </c>
      <c r="R42" s="2954">
        <v>4.8600000000000003</v>
      </c>
      <c r="S42" s="2954">
        <v>4.95</v>
      </c>
      <c r="T42" s="2954">
        <v>5.22</v>
      </c>
      <c r="U42" s="2954">
        <v>3.96</v>
      </c>
      <c r="V42" s="2954">
        <v>4.7699999999999996</v>
      </c>
      <c r="W42" s="2954">
        <v>4.95</v>
      </c>
      <c r="X42" s="2954" t="s">
        <v>2824</v>
      </c>
      <c r="Y42" s="2954" t="s">
        <v>2824</v>
      </c>
      <c r="Z42" s="2954" t="s">
        <v>2824</v>
      </c>
    </row>
    <row r="43" spans="2:26">
      <c r="B43" s="2954"/>
      <c r="C43" s="2955">
        <v>36321</v>
      </c>
      <c r="D43" s="2954">
        <v>5.58</v>
      </c>
      <c r="E43" s="2954">
        <v>5.85</v>
      </c>
      <c r="F43" s="2954">
        <v>5.94</v>
      </c>
      <c r="G43" s="2954">
        <v>6.03</v>
      </c>
      <c r="H43" s="2954">
        <v>6.21</v>
      </c>
      <c r="I43" s="2954">
        <v>4.1399999999999997</v>
      </c>
      <c r="J43" s="2954">
        <v>4.59</v>
      </c>
      <c r="L43" s="2954"/>
      <c r="M43" s="2955">
        <v>35879</v>
      </c>
      <c r="N43" s="2954">
        <v>1.71</v>
      </c>
      <c r="O43" s="2954">
        <v>2.88</v>
      </c>
      <c r="P43" s="2954">
        <v>4.1399999999999997</v>
      </c>
      <c r="Q43" s="2954">
        <v>5.22</v>
      </c>
      <c r="R43" s="2954">
        <v>5.58</v>
      </c>
      <c r="S43" s="2954">
        <v>6.21</v>
      </c>
      <c r="T43" s="2954">
        <v>6.66</v>
      </c>
      <c r="U43" s="2954">
        <v>4.1399999999999997</v>
      </c>
      <c r="V43" s="2954">
        <v>5.22</v>
      </c>
      <c r="W43" s="2954">
        <v>6.21</v>
      </c>
      <c r="X43" s="2954" t="s">
        <v>2824</v>
      </c>
      <c r="Y43" s="2954" t="s">
        <v>2824</v>
      </c>
      <c r="Z43" s="2954" t="s">
        <v>2824</v>
      </c>
    </row>
    <row r="44" spans="2:26">
      <c r="B44" s="2954"/>
      <c r="C44" s="2955">
        <v>36136</v>
      </c>
      <c r="D44" s="2954">
        <v>6.12</v>
      </c>
      <c r="E44" s="2954">
        <v>6.39</v>
      </c>
      <c r="F44" s="2954">
        <v>6.66</v>
      </c>
      <c r="G44" s="2954">
        <v>7.2</v>
      </c>
      <c r="H44" s="2954">
        <v>7.56</v>
      </c>
      <c r="I44" s="2954">
        <v>0</v>
      </c>
      <c r="J44" s="2954">
        <v>0</v>
      </c>
      <c r="L44" s="2954"/>
      <c r="M44" s="2955">
        <v>35726</v>
      </c>
      <c r="N44" s="2954">
        <v>1.71</v>
      </c>
      <c r="O44" s="2954">
        <v>2.88</v>
      </c>
      <c r="P44" s="2954">
        <v>4.1399999999999997</v>
      </c>
      <c r="Q44" s="2954">
        <v>5.67</v>
      </c>
      <c r="R44" s="2954">
        <v>5.94</v>
      </c>
      <c r="S44" s="2954">
        <v>6.21</v>
      </c>
      <c r="T44" s="2954">
        <v>6.66</v>
      </c>
      <c r="U44" s="2954">
        <v>4.1399999999999997</v>
      </c>
      <c r="V44" s="2954">
        <v>5.67</v>
      </c>
      <c r="W44" s="2954">
        <v>6.21</v>
      </c>
      <c r="X44" s="2954" t="s">
        <v>2824</v>
      </c>
      <c r="Y44" s="2954" t="s">
        <v>2824</v>
      </c>
      <c r="Z44" s="2954" t="s">
        <v>2824</v>
      </c>
    </row>
    <row r="45" spans="2:26">
      <c r="B45" s="2954"/>
      <c r="C45" s="2955">
        <v>35977</v>
      </c>
      <c r="D45" s="2954">
        <v>6.57</v>
      </c>
      <c r="E45" s="2954">
        <v>6.93</v>
      </c>
      <c r="F45" s="2954">
        <v>7.11</v>
      </c>
      <c r="G45" s="2954">
        <v>7.65</v>
      </c>
      <c r="H45" s="2954">
        <v>8.01</v>
      </c>
      <c r="I45" s="2954">
        <v>0</v>
      </c>
      <c r="J45" s="2954">
        <v>0</v>
      </c>
      <c r="L45" s="2954"/>
      <c r="M45" s="2955">
        <v>35300</v>
      </c>
      <c r="N45" s="2954">
        <v>1.98</v>
      </c>
      <c r="O45" s="2954">
        <v>3.33</v>
      </c>
      <c r="P45" s="2954">
        <v>5.4</v>
      </c>
      <c r="Q45" s="2954">
        <v>7.47</v>
      </c>
      <c r="R45" s="2954">
        <v>7.92</v>
      </c>
      <c r="S45" s="2954">
        <v>8.2799999999999994</v>
      </c>
      <c r="T45" s="2954">
        <v>9</v>
      </c>
      <c r="U45" s="2954">
        <v>5.4</v>
      </c>
      <c r="V45" s="2954">
        <v>7.47</v>
      </c>
      <c r="W45" s="2954">
        <v>8.2799999999999994</v>
      </c>
      <c r="X45" s="2954" t="s">
        <v>2824</v>
      </c>
      <c r="Y45" s="2954" t="s">
        <v>2824</v>
      </c>
      <c r="Z45" s="2954" t="s">
        <v>2824</v>
      </c>
    </row>
    <row r="46" spans="2:26">
      <c r="B46" s="2954"/>
      <c r="C46" s="2955">
        <v>35879</v>
      </c>
      <c r="D46" s="2954">
        <v>7.02</v>
      </c>
      <c r="E46" s="2954">
        <v>7.92</v>
      </c>
      <c r="F46" s="2954">
        <v>9</v>
      </c>
      <c r="G46" s="2954">
        <v>9.7200000000000006</v>
      </c>
      <c r="H46" s="2954">
        <v>10.35</v>
      </c>
      <c r="I46" s="2954">
        <v>0</v>
      </c>
      <c r="J46" s="2954">
        <v>0</v>
      </c>
      <c r="L46" s="2954"/>
      <c r="M46" s="2955">
        <v>35186</v>
      </c>
      <c r="N46" s="2954">
        <v>2.97</v>
      </c>
      <c r="O46" s="2954">
        <v>4.8600000000000003</v>
      </c>
      <c r="P46" s="2954">
        <v>7.2</v>
      </c>
      <c r="Q46" s="2954">
        <v>9.18</v>
      </c>
      <c r="R46" s="2954">
        <v>9.9</v>
      </c>
      <c r="S46" s="2954">
        <v>10.8</v>
      </c>
      <c r="T46" s="2954">
        <v>12.06</v>
      </c>
      <c r="U46" s="2954">
        <v>7.2</v>
      </c>
      <c r="V46" s="2954">
        <v>9.18</v>
      </c>
      <c r="W46" s="2954">
        <v>10.8</v>
      </c>
      <c r="X46" s="2954" t="s">
        <v>2824</v>
      </c>
      <c r="Y46" s="2954" t="s">
        <v>2824</v>
      </c>
      <c r="Z46" s="2954" t="s">
        <v>2824</v>
      </c>
    </row>
    <row r="47" spans="2:26">
      <c r="B47" s="2954"/>
      <c r="C47" s="2955">
        <v>35726</v>
      </c>
      <c r="D47" s="2954">
        <v>7.65</v>
      </c>
      <c r="E47" s="2954">
        <v>8.64</v>
      </c>
      <c r="F47" s="2954">
        <v>9.36</v>
      </c>
      <c r="G47" s="2954">
        <v>9.9</v>
      </c>
      <c r="H47" s="2954">
        <v>10.53</v>
      </c>
      <c r="I47" s="2954">
        <v>0</v>
      </c>
      <c r="J47" s="2954">
        <v>0</v>
      </c>
      <c r="L47" s="2954"/>
      <c r="M47" s="2955">
        <v>34161</v>
      </c>
      <c r="N47" s="2954">
        <v>3.15</v>
      </c>
      <c r="O47" s="2954">
        <v>6.66</v>
      </c>
      <c r="P47" s="2954">
        <v>9</v>
      </c>
      <c r="Q47" s="2954">
        <v>10.98</v>
      </c>
      <c r="R47" s="2954">
        <v>11.7</v>
      </c>
      <c r="S47" s="2954">
        <v>12.24</v>
      </c>
      <c r="T47" s="2954">
        <v>13.86</v>
      </c>
      <c r="U47" s="2954">
        <v>9</v>
      </c>
      <c r="V47" s="2954">
        <v>10.98</v>
      </c>
      <c r="W47" s="2954">
        <v>12.24</v>
      </c>
      <c r="X47" s="2954" t="s">
        <v>2824</v>
      </c>
      <c r="Y47" s="2954" t="s">
        <v>2824</v>
      </c>
      <c r="Z47" s="2954" t="s">
        <v>2824</v>
      </c>
    </row>
    <row r="48" spans="2:26">
      <c r="B48" s="2954"/>
      <c r="C48" s="2955">
        <v>35300</v>
      </c>
      <c r="D48" s="2954">
        <v>9.18</v>
      </c>
      <c r="E48" s="2954">
        <v>10.08</v>
      </c>
      <c r="F48" s="2954">
        <v>10.98</v>
      </c>
      <c r="G48" s="2954">
        <v>11.7</v>
      </c>
      <c r="H48" s="2954">
        <v>12.42</v>
      </c>
      <c r="I48" s="2954">
        <v>0</v>
      </c>
      <c r="J48" s="2954">
        <v>0</v>
      </c>
      <c r="L48" s="2954"/>
      <c r="M48" s="2955">
        <v>34104</v>
      </c>
      <c r="N48" s="2954">
        <v>2.16</v>
      </c>
      <c r="O48" s="2954">
        <v>4.8600000000000003</v>
      </c>
      <c r="P48" s="2954">
        <v>7.2</v>
      </c>
      <c r="Q48" s="2954">
        <v>9.18</v>
      </c>
      <c r="R48" s="2954">
        <v>9.9</v>
      </c>
      <c r="S48" s="2954">
        <v>10.8</v>
      </c>
      <c r="T48" s="2954">
        <v>12.06</v>
      </c>
      <c r="U48" s="2954">
        <v>7.2</v>
      </c>
      <c r="V48" s="2954">
        <v>9.18</v>
      </c>
      <c r="W48" s="2954">
        <v>10.8</v>
      </c>
      <c r="X48" s="2954" t="s">
        <v>2824</v>
      </c>
      <c r="Y48" s="2954" t="s">
        <v>2824</v>
      </c>
      <c r="Z48" s="2954" t="s">
        <v>2824</v>
      </c>
    </row>
    <row r="49" spans="2:26">
      <c r="B49" s="2954"/>
      <c r="C49" s="2955">
        <v>35186</v>
      </c>
      <c r="D49" s="2954">
        <v>9.7200000000000006</v>
      </c>
      <c r="E49" s="2954">
        <v>10.98</v>
      </c>
      <c r="F49" s="2954">
        <v>13.14</v>
      </c>
      <c r="G49" s="2954">
        <v>14.94</v>
      </c>
      <c r="H49" s="2954">
        <v>15.12</v>
      </c>
      <c r="I49" s="2954">
        <v>0</v>
      </c>
      <c r="J49" s="2954">
        <v>0</v>
      </c>
      <c r="L49" s="2954"/>
      <c r="M49" s="2955">
        <v>33349</v>
      </c>
      <c r="N49" s="2954">
        <v>1.8</v>
      </c>
      <c r="O49" s="2954">
        <v>3.24</v>
      </c>
      <c r="P49" s="2954">
        <v>5.4</v>
      </c>
      <c r="Q49" s="2954">
        <v>7.56</v>
      </c>
      <c r="R49" s="2954">
        <v>7.92</v>
      </c>
      <c r="S49" s="2954">
        <v>8.2799999999999994</v>
      </c>
      <c r="T49" s="2954">
        <v>9</v>
      </c>
      <c r="U49" s="2954">
        <v>6.12</v>
      </c>
      <c r="V49" s="2954">
        <v>6.84</v>
      </c>
      <c r="W49" s="2954">
        <v>7.56</v>
      </c>
      <c r="X49" s="2954" t="s">
        <v>2824</v>
      </c>
      <c r="Y49" s="2954" t="s">
        <v>2824</v>
      </c>
      <c r="Z49" s="2954" t="s">
        <v>2824</v>
      </c>
    </row>
    <row r="50" spans="2:26">
      <c r="B50" s="2954"/>
      <c r="C50" s="2955">
        <v>34881</v>
      </c>
      <c r="D50" s="2954">
        <v>10.08</v>
      </c>
      <c r="E50" s="2954">
        <v>12.06</v>
      </c>
      <c r="F50" s="2954">
        <v>13.5</v>
      </c>
      <c r="G50" s="2954">
        <v>15.12</v>
      </c>
      <c r="H50" s="2954">
        <v>15.3</v>
      </c>
      <c r="I50" s="2954">
        <v>0</v>
      </c>
      <c r="J50" s="2954">
        <v>0</v>
      </c>
      <c r="L50" s="2954"/>
      <c r="M50" s="2955">
        <v>33106</v>
      </c>
      <c r="N50" s="2954">
        <v>2.16</v>
      </c>
      <c r="O50" s="2954">
        <v>4.32</v>
      </c>
      <c r="P50" s="2954">
        <v>6.48</v>
      </c>
      <c r="Q50" s="2954">
        <v>8.64</v>
      </c>
      <c r="R50" s="2954">
        <v>9.36</v>
      </c>
      <c r="S50" s="2954">
        <v>10.08</v>
      </c>
      <c r="T50" s="2954">
        <v>11.52</v>
      </c>
      <c r="U50" s="2954">
        <v>7.2</v>
      </c>
      <c r="V50" s="2954">
        <v>8.64</v>
      </c>
      <c r="W50" s="2954">
        <v>10.08</v>
      </c>
      <c r="X50" s="2954" t="s">
        <v>2824</v>
      </c>
      <c r="Y50" s="2954" t="s">
        <v>2824</v>
      </c>
      <c r="Z50" s="2954" t="s">
        <v>2824</v>
      </c>
    </row>
    <row r="51" spans="2:26">
      <c r="B51" s="2954"/>
      <c r="C51" s="2955">
        <v>34700</v>
      </c>
      <c r="D51" s="2954">
        <v>9</v>
      </c>
      <c r="E51" s="2954">
        <v>10.98</v>
      </c>
      <c r="F51" s="2954">
        <v>12.96</v>
      </c>
      <c r="G51" s="2954">
        <v>14.58</v>
      </c>
      <c r="H51" s="2954">
        <v>14.76</v>
      </c>
      <c r="I51" s="2954">
        <v>0</v>
      </c>
      <c r="J51" s="2954">
        <v>0</v>
      </c>
      <c r="L51" s="2954"/>
      <c r="M51" s="2955">
        <v>32978</v>
      </c>
      <c r="N51" s="2954">
        <v>2.88</v>
      </c>
      <c r="O51" s="2954">
        <v>6.3</v>
      </c>
      <c r="P51" s="2954">
        <v>7.74</v>
      </c>
      <c r="Q51" s="2954">
        <v>10.08</v>
      </c>
      <c r="R51" s="2954">
        <v>10.98</v>
      </c>
      <c r="S51" s="2954">
        <v>11.88</v>
      </c>
      <c r="T51" s="2954">
        <v>13.68</v>
      </c>
      <c r="U51" s="2954" t="s">
        <v>2824</v>
      </c>
      <c r="V51" s="2954" t="s">
        <v>2824</v>
      </c>
      <c r="W51" s="2954" t="s">
        <v>2824</v>
      </c>
      <c r="X51" s="2954" t="s">
        <v>2824</v>
      </c>
      <c r="Y51" s="2954" t="s">
        <v>2824</v>
      </c>
      <c r="Z51" s="2954" t="s">
        <v>2824</v>
      </c>
    </row>
    <row r="52" spans="2:26">
      <c r="B52" s="2954"/>
      <c r="C52" s="2955">
        <v>34161</v>
      </c>
      <c r="D52" s="2954">
        <v>9</v>
      </c>
      <c r="E52" s="2954">
        <v>10.98</v>
      </c>
      <c r="F52" s="2954">
        <v>12.24</v>
      </c>
      <c r="G52" s="2954">
        <v>13.86</v>
      </c>
      <c r="H52" s="2954">
        <v>14.04</v>
      </c>
      <c r="I52" s="2954">
        <v>0</v>
      </c>
      <c r="J52" s="2954">
        <v>0</v>
      </c>
      <c r="L52" s="2954"/>
      <c r="M52" s="2955"/>
      <c r="N52" s="2954"/>
      <c r="O52" s="2954"/>
      <c r="P52" s="2954"/>
      <c r="Q52" s="2954"/>
      <c r="R52" s="2954"/>
      <c r="S52" s="2954"/>
      <c r="T52" s="2954"/>
      <c r="U52" s="2954"/>
      <c r="V52" s="2954"/>
      <c r="W52" s="2954"/>
      <c r="X52" s="2954"/>
      <c r="Y52" s="2954"/>
      <c r="Z52" s="2954"/>
    </row>
    <row r="53" spans="2:26">
      <c r="B53" s="2954"/>
      <c r="C53" s="2955">
        <v>34104</v>
      </c>
      <c r="D53" s="2954">
        <v>8.82</v>
      </c>
      <c r="E53" s="2954">
        <v>9.36</v>
      </c>
      <c r="F53" s="2954">
        <v>10.8</v>
      </c>
      <c r="G53" s="2954">
        <v>12.06</v>
      </c>
      <c r="H53" s="2954">
        <v>12.24</v>
      </c>
      <c r="I53" s="2954">
        <v>0</v>
      </c>
      <c r="J53" s="2954">
        <v>0</v>
      </c>
      <c r="L53" s="2954"/>
      <c r="M53" s="2955"/>
      <c r="N53" s="2954"/>
      <c r="O53" s="2954"/>
      <c r="P53" s="2954"/>
      <c r="Q53" s="2954"/>
      <c r="R53" s="2954"/>
      <c r="S53" s="2954"/>
      <c r="T53" s="2954"/>
      <c r="U53" s="2954"/>
      <c r="V53" s="2954"/>
      <c r="W53" s="2954"/>
      <c r="X53" s="2954"/>
      <c r="Y53" s="2954"/>
      <c r="Z53" s="2954"/>
    </row>
    <row r="54" spans="2:26">
      <c r="B54" s="2954"/>
      <c r="C54" s="2955">
        <v>33349</v>
      </c>
      <c r="D54" s="2954">
        <v>8.1</v>
      </c>
      <c r="E54" s="2954">
        <v>8.64</v>
      </c>
      <c r="F54" s="2954">
        <v>9</v>
      </c>
      <c r="G54" s="2954">
        <v>9.5399999999999991</v>
      </c>
      <c r="H54" s="2954">
        <v>9.7200000000000006</v>
      </c>
      <c r="I54" s="2954">
        <v>0</v>
      </c>
      <c r="J54" s="2954">
        <v>0</v>
      </c>
      <c r="L54" s="2954"/>
      <c r="M54" s="2955"/>
      <c r="N54" s="2954"/>
      <c r="O54" s="2954"/>
      <c r="P54" s="2954"/>
      <c r="Q54" s="2954"/>
      <c r="R54" s="2954"/>
      <c r="S54" s="2954"/>
      <c r="T54" s="2954"/>
      <c r="U54" s="2954"/>
      <c r="V54" s="2954"/>
      <c r="W54" s="2954"/>
      <c r="X54" s="2954"/>
      <c r="Y54" s="2954"/>
      <c r="Z54" s="2954"/>
    </row>
    <row r="55" spans="2:26">
      <c r="B55" s="2954"/>
      <c r="C55" s="2955">
        <v>33318</v>
      </c>
      <c r="D55" s="2954">
        <v>9</v>
      </c>
      <c r="E55" s="2954">
        <v>10.08</v>
      </c>
      <c r="F55" s="2954">
        <v>10.8</v>
      </c>
      <c r="G55" s="2954">
        <v>11.52</v>
      </c>
      <c r="H55" s="2954">
        <v>11.88</v>
      </c>
      <c r="I55" s="2954" t="s">
        <v>2824</v>
      </c>
      <c r="J55" s="2954" t="s">
        <v>2824</v>
      </c>
      <c r="L55" s="2954"/>
      <c r="M55" s="2955"/>
      <c r="N55" s="2954"/>
      <c r="O55" s="2954"/>
      <c r="P55" s="2954"/>
      <c r="Q55" s="2954"/>
      <c r="R55" s="2954"/>
      <c r="S55" s="2954"/>
      <c r="T55" s="2954"/>
      <c r="U55" s="2954"/>
      <c r="V55" s="2954"/>
      <c r="W55" s="2954"/>
      <c r="X55" s="2954"/>
      <c r="Y55" s="2954"/>
      <c r="Z55" s="2954"/>
    </row>
    <row r="56" spans="2:26">
      <c r="B56" s="2954"/>
      <c r="C56" s="2955">
        <v>33106</v>
      </c>
      <c r="D56" s="2954">
        <v>8.64</v>
      </c>
      <c r="E56" s="2954">
        <v>9.36</v>
      </c>
      <c r="F56" s="2954">
        <v>10.08</v>
      </c>
      <c r="G56" s="2954">
        <v>10.8</v>
      </c>
      <c r="H56" s="2954">
        <v>11.16</v>
      </c>
      <c r="I56" s="2954">
        <v>0</v>
      </c>
      <c r="J56" s="2954">
        <v>0</v>
      </c>
      <c r="L56" s="2954"/>
      <c r="M56" s="2955"/>
      <c r="N56" s="2954"/>
      <c r="O56" s="2954"/>
      <c r="P56" s="2954"/>
      <c r="Q56" s="2954"/>
      <c r="R56" s="2954"/>
      <c r="S56" s="2954"/>
      <c r="T56" s="2954"/>
      <c r="U56" s="2954"/>
      <c r="V56" s="2954"/>
      <c r="W56" s="2954"/>
      <c r="X56" s="2954"/>
      <c r="Y56" s="2954"/>
      <c r="Z56" s="2954"/>
    </row>
    <row r="57" spans="2:26">
      <c r="B57" s="2954"/>
      <c r="C57" s="2955">
        <v>32540</v>
      </c>
      <c r="D57" s="2954">
        <v>11.34</v>
      </c>
      <c r="E57" s="2954">
        <v>11.34</v>
      </c>
      <c r="F57" s="2954">
        <v>12.78</v>
      </c>
      <c r="G57" s="2954">
        <v>14.4</v>
      </c>
      <c r="H57" s="2954">
        <v>19.260000000000002</v>
      </c>
      <c r="I57" s="2954">
        <v>0</v>
      </c>
      <c r="J57" s="2954">
        <v>0</v>
      </c>
      <c r="L57" s="2954"/>
      <c r="M57" s="2955"/>
      <c r="N57" s="2954"/>
      <c r="O57" s="2954"/>
      <c r="P57" s="2954"/>
      <c r="Q57" s="2954"/>
      <c r="R57" s="2954"/>
      <c r="S57" s="2954"/>
      <c r="T57" s="2954"/>
      <c r="U57" s="2954"/>
      <c r="V57" s="2954"/>
      <c r="W57" s="2954"/>
      <c r="X57" s="2954"/>
      <c r="Y57" s="2954"/>
      <c r="Z57" s="2954"/>
    </row>
    <row r="58" spans="2:26">
      <c r="B58" s="2954"/>
      <c r="C58" s="2955"/>
      <c r="D58" s="2954"/>
      <c r="E58" s="2954"/>
      <c r="F58" s="2954"/>
      <c r="G58" s="2954"/>
      <c r="H58" s="2954"/>
      <c r="I58" s="2954"/>
      <c r="J58" s="2954"/>
    </row>
    <row r="59" spans="2:26">
      <c r="B59" s="2958"/>
      <c r="C59" s="2959"/>
      <c r="D59" s="2958"/>
      <c r="E59" s="2958"/>
      <c r="F59" s="2958"/>
      <c r="G59" s="2958"/>
      <c r="H59" s="2958"/>
      <c r="I59" s="2958"/>
      <c r="J59" s="2958"/>
    </row>
    <row r="60" spans="2:26">
      <c r="B60" s="2958"/>
      <c r="C60" s="2959"/>
      <c r="D60" s="2958"/>
      <c r="E60" s="2958"/>
      <c r="F60" s="2958"/>
      <c r="G60" s="2958"/>
      <c r="H60" s="2958"/>
      <c r="I60" s="2958"/>
      <c r="J60" s="2958"/>
    </row>
    <row r="61" spans="2:26">
      <c r="B61" s="2958"/>
      <c r="C61" s="2959"/>
      <c r="D61" s="2958"/>
      <c r="E61" s="2958"/>
      <c r="F61" s="2958"/>
      <c r="G61" s="2958"/>
      <c r="H61" s="2958"/>
      <c r="I61" s="2958"/>
      <c r="J61" s="2958"/>
    </row>
    <row r="62" spans="2:26">
      <c r="B62" s="2905"/>
      <c r="C62" s="2905"/>
      <c r="D62" s="2905"/>
      <c r="E62" s="2905"/>
      <c r="F62" s="2905"/>
      <c r="G62" s="2905"/>
      <c r="H62" s="2905"/>
      <c r="I62" s="2905"/>
      <c r="J62" s="2905"/>
    </row>
    <row r="63" spans="2:26">
      <c r="B63" s="2905"/>
      <c r="C63" s="2905"/>
      <c r="D63" s="2905"/>
      <c r="E63" s="2905"/>
      <c r="F63" s="2905"/>
      <c r="G63" s="2905"/>
      <c r="H63" s="2905"/>
      <c r="I63" s="2905"/>
      <c r="J63" s="290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K23"/>
  <sheetViews>
    <sheetView workbookViewId="0">
      <selection activeCell="G14" sqref="G14"/>
    </sheetView>
  </sheetViews>
  <sheetFormatPr defaultRowHeight="13.5"/>
  <sheetData>
    <row r="1" spans="2:11">
      <c r="B1" s="3113" t="s">
        <v>3036</v>
      </c>
      <c r="H1" s="3113" t="s">
        <v>3037</v>
      </c>
    </row>
    <row r="2" spans="2:11">
      <c r="B2" s="3102" t="s">
        <v>3031</v>
      </c>
      <c r="H2" s="3102" t="s">
        <v>3031</v>
      </c>
    </row>
    <row r="3" spans="2:11" ht="14.25" thickBot="1">
      <c r="B3" s="3103" t="s">
        <v>3032</v>
      </c>
      <c r="C3" s="3104" t="s">
        <v>3033</v>
      </c>
      <c r="D3" s="3104" t="s">
        <v>3034</v>
      </c>
      <c r="E3" s="3104" t="s">
        <v>3035</v>
      </c>
      <c r="H3" s="3103" t="s">
        <v>3032</v>
      </c>
      <c r="I3" s="3104" t="s">
        <v>3033</v>
      </c>
      <c r="J3" s="3104" t="s">
        <v>3034</v>
      </c>
      <c r="K3" s="3104" t="s">
        <v>3035</v>
      </c>
    </row>
    <row r="4" spans="2:11">
      <c r="B4" s="3105">
        <v>2016.1</v>
      </c>
      <c r="C4" s="3107">
        <v>6488</v>
      </c>
      <c r="D4" s="3107">
        <v>1.51</v>
      </c>
      <c r="E4" s="3106"/>
      <c r="H4" s="3105">
        <v>2016.1</v>
      </c>
      <c r="I4" s="3107">
        <v>9641</v>
      </c>
      <c r="J4" s="3107">
        <v>0.39</v>
      </c>
      <c r="K4" s="3106"/>
    </row>
    <row r="5" spans="2:11">
      <c r="B5" s="3108">
        <v>2016.2</v>
      </c>
      <c r="C5" s="3110">
        <v>6683</v>
      </c>
      <c r="D5" s="3110">
        <v>3</v>
      </c>
      <c r="E5" s="3109"/>
      <c r="H5" s="3108">
        <v>2016.2</v>
      </c>
      <c r="I5" s="3110">
        <v>9707</v>
      </c>
      <c r="J5" s="3110">
        <v>0.69</v>
      </c>
      <c r="K5" s="3109"/>
    </row>
    <row r="6" spans="2:11">
      <c r="B6" s="3105">
        <v>2016.3</v>
      </c>
      <c r="C6" s="3107">
        <v>6956</v>
      </c>
      <c r="D6" s="3107">
        <v>4.08</v>
      </c>
      <c r="E6" s="3106"/>
      <c r="H6" s="3105">
        <v>2016.3</v>
      </c>
      <c r="I6" s="3107">
        <v>9787</v>
      </c>
      <c r="J6" s="3107">
        <v>0.82</v>
      </c>
      <c r="K6" s="3106"/>
    </row>
    <row r="7" spans="2:11">
      <c r="B7" s="3108">
        <v>2016.4</v>
      </c>
      <c r="C7" s="3110">
        <v>7029</v>
      </c>
      <c r="D7" s="3110">
        <v>1.05</v>
      </c>
      <c r="E7" s="3109"/>
      <c r="H7" s="3108">
        <v>2016.4</v>
      </c>
      <c r="I7" s="3110">
        <v>9861</v>
      </c>
      <c r="J7" s="3110">
        <v>0.76</v>
      </c>
      <c r="K7" s="3109"/>
    </row>
    <row r="8" spans="2:11" ht="14.25">
      <c r="B8" s="3111">
        <v>2017.1</v>
      </c>
      <c r="C8" s="3112">
        <v>7080</v>
      </c>
      <c r="D8" s="3112">
        <v>0.73</v>
      </c>
      <c r="H8" s="3111">
        <v>2017.1</v>
      </c>
      <c r="I8" s="3112">
        <v>9911</v>
      </c>
      <c r="J8" s="3112">
        <v>0.51</v>
      </c>
    </row>
    <row r="9" spans="2:11">
      <c r="D9">
        <f>SUM(D4:D8)</f>
        <v>10.370000000000001</v>
      </c>
      <c r="E9">
        <f>D9/4</f>
        <v>2.5925000000000002</v>
      </c>
      <c r="J9">
        <f>SUM(J4:J8)</f>
        <v>3.17</v>
      </c>
      <c r="K9">
        <f>J9/4</f>
        <v>0.79249999999999998</v>
      </c>
    </row>
    <row r="14" spans="2:11">
      <c r="D14">
        <v>1</v>
      </c>
      <c r="E14">
        <v>11500</v>
      </c>
    </row>
    <row r="15" spans="2:11">
      <c r="D15">
        <v>2</v>
      </c>
      <c r="E15">
        <f>ROUND(E14*0.65,0)</f>
        <v>7475</v>
      </c>
    </row>
    <row r="16" spans="2:11">
      <c r="D16">
        <v>3</v>
      </c>
      <c r="E16">
        <f>ROUND(E14*0.6,0)</f>
        <v>6900</v>
      </c>
    </row>
    <row r="17" spans="4:6">
      <c r="D17">
        <v>4</v>
      </c>
      <c r="E17">
        <f>ROUND(E14*0.55,0)</f>
        <v>6325</v>
      </c>
    </row>
    <row r="18" spans="4:6">
      <c r="D18">
        <v>5</v>
      </c>
      <c r="E18">
        <f>ROUND(E14*0.5,0)</f>
        <v>5750</v>
      </c>
    </row>
    <row r="19" spans="4:6">
      <c r="D19">
        <v>6</v>
      </c>
      <c r="E19">
        <f>ROUND(E14*0.45,0)</f>
        <v>5175</v>
      </c>
    </row>
    <row r="20" spans="4:6">
      <c r="D20">
        <v>7</v>
      </c>
      <c r="E20">
        <f>ROUND(E14*0.4,0)</f>
        <v>4600</v>
      </c>
    </row>
    <row r="21" spans="4:6">
      <c r="D21">
        <v>8</v>
      </c>
      <c r="E21">
        <f>ROUND(E14*0.4,0)</f>
        <v>4600</v>
      </c>
    </row>
    <row r="22" spans="4:6">
      <c r="D22">
        <v>9</v>
      </c>
      <c r="E22">
        <f>ROUND(E14*0.4,0)</f>
        <v>4600</v>
      </c>
    </row>
    <row r="23" spans="4:6">
      <c r="E23">
        <f>SUM(E14:E22)</f>
        <v>56925</v>
      </c>
      <c r="F23">
        <f>E23/9</f>
        <v>6325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27" t="s">
        <v>2040</v>
      </c>
      <c r="B1" s="3127"/>
      <c r="C1" s="3127"/>
      <c r="D1" s="3127"/>
      <c r="E1" s="3127"/>
      <c r="F1" s="3127"/>
      <c r="G1" s="3127"/>
      <c r="H1" s="3127"/>
      <c r="I1" s="3127"/>
      <c r="J1" s="3127"/>
      <c r="K1" s="3127"/>
      <c r="L1" s="3127"/>
      <c r="M1" s="3127"/>
      <c r="N1" s="3127"/>
      <c r="O1" s="3127"/>
      <c r="P1" s="3127"/>
      <c r="Q1" s="3127"/>
      <c r="R1" s="3127"/>
    </row>
    <row r="2" spans="1:18">
      <c r="A2" s="1805" t="s">
        <v>2042</v>
      </c>
      <c r="B2" s="1805"/>
      <c r="C2" s="1805"/>
      <c r="D2" s="1805"/>
      <c r="E2" s="1805"/>
      <c r="F2" s="1805"/>
      <c r="G2" s="1805"/>
      <c r="H2" s="1805"/>
      <c r="I2" s="1806"/>
      <c r="J2" s="1806"/>
      <c r="K2" s="1807" t="str">
        <f>"估价期日："&amp;TEXT(项目基本情况!D3,"yyyy年m月d日;;")</f>
        <v>估价期日：2017年11月22日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128" t="s">
        <v>2031</v>
      </c>
      <c r="B3" s="3128" t="s">
        <v>2737</v>
      </c>
      <c r="C3" s="3129" t="s">
        <v>2032</v>
      </c>
      <c r="D3" s="3128" t="s">
        <v>2741</v>
      </c>
      <c r="E3" s="3131" t="s">
        <v>2033</v>
      </c>
      <c r="F3" s="3131"/>
      <c r="G3" s="3131"/>
      <c r="H3" s="3131" t="s">
        <v>2034</v>
      </c>
      <c r="I3" s="3131"/>
      <c r="J3" s="3131"/>
      <c r="K3" s="3129" t="s">
        <v>2035</v>
      </c>
      <c r="L3" s="3129" t="s">
        <v>2036</v>
      </c>
      <c r="M3" s="3128" t="s">
        <v>2738</v>
      </c>
      <c r="N3" s="3130" t="str">
        <f>"（分摊）"&amp;项目基本情况!B16&amp;"国有建设用地使用权面积/㎡"</f>
        <v>（分摊）出让国有建设用地使用权面积/㎡</v>
      </c>
      <c r="O3" s="3128" t="s">
        <v>2065</v>
      </c>
      <c r="P3" s="3129" t="s">
        <v>2045</v>
      </c>
      <c r="Q3" s="3129" t="s">
        <v>2066</v>
      </c>
      <c r="R3" s="3129" t="s">
        <v>2037</v>
      </c>
    </row>
    <row r="4" spans="1:18" ht="36.75" customHeight="1">
      <c r="A4" s="3128"/>
      <c r="B4" s="3128"/>
      <c r="C4" s="3129"/>
      <c r="D4" s="3128"/>
      <c r="E4" s="2669" t="s">
        <v>2044</v>
      </c>
      <c r="F4" s="2669" t="s">
        <v>2750</v>
      </c>
      <c r="G4" s="2669" t="s">
        <v>2038</v>
      </c>
      <c r="H4" s="2669" t="s">
        <v>2039</v>
      </c>
      <c r="I4" s="2669" t="s">
        <v>2751</v>
      </c>
      <c r="J4" s="2669" t="s">
        <v>2038</v>
      </c>
      <c r="K4" s="3129"/>
      <c r="L4" s="3129"/>
      <c r="M4" s="3128"/>
      <c r="N4" s="3130"/>
      <c r="O4" s="3128"/>
      <c r="P4" s="3129"/>
      <c r="Q4" s="3129"/>
      <c r="R4" s="3129"/>
    </row>
    <row r="5" spans="1:18" ht="135" customHeight="1">
      <c r="A5" s="1941" t="s">
        <v>2661</v>
      </c>
      <c r="B5" s="2831" t="s">
        <v>2659</v>
      </c>
      <c r="C5" s="2668">
        <v>22</v>
      </c>
      <c r="D5" s="2667" t="s">
        <v>2660</v>
      </c>
      <c r="E5" s="1808" t="str">
        <f>项目基本情况!B12</f>
        <v>商业</v>
      </c>
      <c r="F5" s="2667">
        <v>258</v>
      </c>
      <c r="G5" s="1808" t="str">
        <f>项目基本情况!B13</f>
        <v>商业</v>
      </c>
      <c r="H5" s="2667">
        <v>1.5</v>
      </c>
      <c r="I5" s="2667">
        <v>1.5</v>
      </c>
      <c r="J5" s="2667">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商业36.29年</v>
      </c>
      <c r="N5" s="1808">
        <f>项目基本情况!C22</f>
        <v>37649</v>
      </c>
      <c r="O5" s="1808">
        <f>项目基本情况!C21</f>
        <v>82827.8</v>
      </c>
      <c r="P5" s="1808">
        <f ca="1">结果表!E42</f>
        <v>1614</v>
      </c>
      <c r="Q5" s="1808">
        <f ca="1">结果表!D42</f>
        <v>734</v>
      </c>
      <c r="R5" s="1809">
        <f ca="1">结果表!C42</f>
        <v>6077</v>
      </c>
    </row>
    <row r="6" spans="1:18">
      <c r="A6" s="3124" t="str">
        <f>IF(项目基本情况!B9="市场价格","——","抵押价格")</f>
        <v>抵押价格</v>
      </c>
      <c r="B6" s="3125"/>
      <c r="C6" s="3125"/>
      <c r="D6" s="3125"/>
      <c r="E6" s="3125"/>
      <c r="F6" s="3125"/>
      <c r="G6" s="3125"/>
      <c r="H6" s="3125"/>
      <c r="I6" s="3125"/>
      <c r="J6" s="3125"/>
      <c r="K6" s="3125"/>
      <c r="L6" s="3125"/>
      <c r="M6" s="3125"/>
      <c r="N6" s="3125"/>
      <c r="O6" s="3125"/>
      <c r="P6" s="3125"/>
      <c r="Q6" s="3126"/>
      <c r="R6" s="1810">
        <f ca="1">结果表!O39</f>
        <v>6077</v>
      </c>
    </row>
    <row r="7" spans="1:18">
      <c r="A7" s="3124" t="str">
        <f>IF(项目基本情况!B9="市场价格","——",IF(项目基本情况!E8="已注销及未注销","抵押担保权已注销时的抵押价格","——"))</f>
        <v>——</v>
      </c>
      <c r="B7" s="3125"/>
      <c r="C7" s="3125"/>
      <c r="D7" s="3125"/>
      <c r="E7" s="3125"/>
      <c r="F7" s="3125"/>
      <c r="G7" s="3125"/>
      <c r="H7" s="3125"/>
      <c r="I7" s="3125"/>
      <c r="J7" s="3125"/>
      <c r="K7" s="3125"/>
      <c r="L7" s="3125"/>
      <c r="M7" s="3125"/>
      <c r="N7" s="3125"/>
      <c r="O7" s="3125"/>
      <c r="P7" s="3125"/>
      <c r="Q7" s="3126"/>
      <c r="R7" s="1810" t="str">
        <f>结果表!O40</f>
        <v>——</v>
      </c>
    </row>
    <row r="8" spans="1:18">
      <c r="A8" s="3124">
        <f>IF(项目基本情况!B9="市场价格","——",项目基本情况!E9)</f>
        <v>0</v>
      </c>
      <c r="B8" s="3125"/>
      <c r="C8" s="3125"/>
      <c r="D8" s="3125"/>
      <c r="E8" s="3125"/>
      <c r="F8" s="3125"/>
      <c r="G8" s="3125"/>
      <c r="H8" s="3125"/>
      <c r="I8" s="3125"/>
      <c r="J8" s="3125"/>
      <c r="K8" s="3125"/>
      <c r="L8" s="3125"/>
      <c r="M8" s="3125"/>
      <c r="N8" s="3125"/>
      <c r="O8" s="3125"/>
      <c r="P8" s="3125"/>
      <c r="Q8" s="3126"/>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132" t="s">
        <v>2067</v>
      </c>
      <c r="B1" s="3132"/>
      <c r="C1" s="3132"/>
      <c r="D1" s="3132"/>
    </row>
    <row r="2" spans="1:4" ht="47.25" customHeight="1">
      <c r="A2" s="3136" t="str">
        <f>"1.权利限制："&amp;项目基本情况!L24&amp;"未设定租赁等其他他项权利。"</f>
        <v>1.权利限制：根据估价对象《国有土地使用权》复印件，截至估价期日，估价对象抵押权未见登记。未设定租赁等其他他项权利。</v>
      </c>
      <c r="B2" s="3136"/>
      <c r="C2" s="3136"/>
      <c r="D2" s="3136"/>
    </row>
    <row r="3" spans="1:4" ht="48" customHeight="1">
      <c r="A3" s="313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32"/>
      <c r="C3" s="3132"/>
      <c r="D3" s="3132"/>
    </row>
    <row r="4" spans="1:4" ht="36.75" customHeight="1">
      <c r="A4" s="3132" t="str">
        <f>"3.估价规划限制条件：详见"&amp;项目基本情况!E21&amp;"。"</f>
        <v>3.估价规划限制条件：详见《国有建设用地使用权出让合同》[电子监管号：4290062014B00067]及附件。</v>
      </c>
      <c r="B4" s="3132"/>
      <c r="C4" s="3132"/>
      <c r="D4" s="3132"/>
    </row>
    <row r="5" spans="1:4">
      <c r="A5" s="3135" t="s">
        <v>2068</v>
      </c>
      <c r="B5" s="3135"/>
      <c r="C5" s="3135"/>
      <c r="D5" s="3135"/>
    </row>
    <row r="6" spans="1:4">
      <c r="A6" s="3132" t="s">
        <v>2046</v>
      </c>
      <c r="B6" s="3132"/>
      <c r="C6" s="3132"/>
      <c r="D6" s="3132"/>
    </row>
    <row r="7" spans="1:4" ht="33" customHeight="1">
      <c r="A7" s="3132" t="s">
        <v>2579</v>
      </c>
      <c r="B7" s="3132"/>
      <c r="C7" s="3132"/>
      <c r="D7" s="3132"/>
    </row>
    <row r="8" spans="1:4" ht="32.25" customHeight="1">
      <c r="A8" s="313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32"/>
      <c r="C8" s="3132"/>
      <c r="D8" s="3132"/>
    </row>
    <row r="9" spans="1:4" ht="33.75" customHeight="1">
      <c r="A9" s="313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32"/>
      <c r="C9" s="3132"/>
      <c r="D9" s="3132"/>
    </row>
    <row r="10" spans="1:4">
      <c r="A10" s="3132" t="str">
        <f>IF(项目基本情况!B8="抵押","4.估价师所知悉的法定优先受偿款情况为：","——")</f>
        <v>4.估价师所知悉的法定优先受偿款情况为：</v>
      </c>
      <c r="B10" s="3132"/>
      <c r="C10" s="3132"/>
      <c r="D10" s="3132"/>
    </row>
    <row r="11" spans="1:4" ht="37.5" customHeight="1">
      <c r="A11" s="3134" t="str">
        <f>IF(项目基本情况!B8="抵押","（1）"&amp;CONCATENATE(项目基本情况!L24,项目基本情况!L25,项目基本情况!L26),"——")</f>
        <v>（1）根据估价对象《国有土地使用权》复印件，截至估价期日，估价对象抵押权未见登记。</v>
      </c>
      <c r="B11" s="3134"/>
      <c r="C11" s="3134"/>
      <c r="D11" s="3134"/>
    </row>
    <row r="12" spans="1:4" ht="168" customHeight="1">
      <c r="A12" s="3135" t="s">
        <v>2070</v>
      </c>
      <c r="B12" s="3135"/>
      <c r="C12" s="3135"/>
      <c r="D12" s="3135"/>
    </row>
    <row r="13" spans="1:4">
      <c r="A13" s="3133" t="s">
        <v>2752</v>
      </c>
      <c r="B13" s="3133"/>
      <c r="C13" s="3133"/>
      <c r="D13" s="3133"/>
    </row>
    <row r="14" spans="1:4">
      <c r="A14" s="3134" t="str">
        <f>IF(项目基本情况!B8="抵押","综上，"&amp;结果表!K47,"——")</f>
        <v>综上，本次评估不存在估价师知悉的法定优先受偿款</v>
      </c>
      <c r="B14" s="3134"/>
      <c r="C14" s="3134"/>
      <c r="D14" s="3134"/>
    </row>
    <row r="15" spans="1:4" ht="58.5" customHeight="1">
      <c r="A15" s="313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32"/>
      <c r="C15" s="3132"/>
      <c r="D15" s="3132"/>
    </row>
    <row r="16" spans="1:4" ht="70.5" customHeight="1">
      <c r="A16" s="313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32"/>
      <c r="C16" s="3132"/>
      <c r="D16" s="3132"/>
    </row>
    <row r="17" spans="1:4">
      <c r="A17" s="3132" t="s">
        <v>2708</v>
      </c>
      <c r="B17" s="3132"/>
      <c r="C17" s="3132"/>
      <c r="D17" s="3132"/>
    </row>
    <row r="18" spans="1:4">
      <c r="A18" s="3132" t="s">
        <v>2700</v>
      </c>
      <c r="B18" s="3132"/>
      <c r="C18" s="3132"/>
      <c r="D18" s="3132"/>
    </row>
    <row r="19" spans="1:4">
      <c r="A19" s="2832" t="s">
        <v>2701</v>
      </c>
      <c r="B19" s="2832" t="s">
        <v>2702</v>
      </c>
      <c r="C19" s="2832" t="s">
        <v>2703</v>
      </c>
      <c r="D19" s="2832" t="s">
        <v>2704</v>
      </c>
    </row>
    <row r="20" spans="1:4">
      <c r="A20" s="2832" t="str">
        <f>项目基本情况!B4</f>
        <v>梁津</v>
      </c>
      <c r="B20" s="2832">
        <f ca="1">项目基本情况!C4</f>
        <v>96010014</v>
      </c>
      <c r="C20" s="2834"/>
      <c r="D20" s="1798" t="s">
        <v>2709</v>
      </c>
    </row>
    <row r="21" spans="1:4">
      <c r="A21" s="2832" t="str">
        <f>项目基本情况!D4</f>
        <v>王鹏</v>
      </c>
      <c r="B21" s="2832">
        <f ca="1">项目基本情况!E4</f>
        <v>2002110030</v>
      </c>
      <c r="C21" s="2834"/>
      <c r="D21" s="1798" t="s">
        <v>2710</v>
      </c>
    </row>
    <row r="23" spans="1:4">
      <c r="A23" s="3132" t="s">
        <v>2705</v>
      </c>
      <c r="B23" s="3132"/>
      <c r="C23" s="3132"/>
      <c r="D23" s="3132"/>
    </row>
    <row r="24" spans="1:4">
      <c r="A24" s="2832" t="s">
        <v>2701</v>
      </c>
      <c r="B24" s="2832" t="s">
        <v>2706</v>
      </c>
      <c r="C24" s="2832" t="s">
        <v>2703</v>
      </c>
      <c r="D24" s="2832" t="s">
        <v>2704</v>
      </c>
    </row>
    <row r="25" spans="1:4">
      <c r="A25" s="2835" t="s">
        <v>2707</v>
      </c>
      <c r="B25" s="2832" t="s">
        <v>953</v>
      </c>
      <c r="C25" s="2834"/>
      <c r="D25" s="1798" t="s">
        <v>2710</v>
      </c>
    </row>
    <row r="29" spans="1:4">
      <c r="D29" s="2833" t="s">
        <v>2041</v>
      </c>
    </row>
    <row r="30" spans="1:4">
      <c r="D30" s="283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144" t="s">
        <v>53</v>
      </c>
      <c r="B15" s="3145" t="s">
        <v>847</v>
      </c>
      <c r="C15" s="3141"/>
    </row>
    <row r="16" spans="1:7" ht="14.25">
      <c r="A16" s="3144"/>
      <c r="B16" s="3142" t="s">
        <v>54</v>
      </c>
      <c r="C16" s="1170" t="s">
        <v>53</v>
      </c>
    </row>
    <row r="17" spans="1:3" ht="14.25">
      <c r="A17" s="3144"/>
      <c r="B17" s="3142"/>
      <c r="C17" s="1170" t="s">
        <v>55</v>
      </c>
    </row>
    <row r="18" spans="1:3" ht="14.25">
      <c r="A18" s="3144"/>
      <c r="B18" s="3142"/>
      <c r="C18" s="1170" t="s">
        <v>56</v>
      </c>
    </row>
    <row r="19" spans="1:3" ht="14.25">
      <c r="A19" s="3144"/>
      <c r="B19" s="3140" t="s">
        <v>57</v>
      </c>
      <c r="C19" s="3141"/>
    </row>
    <row r="20" spans="1:3" ht="14.25">
      <c r="A20" s="1171" t="s">
        <v>58</v>
      </c>
      <c r="B20" s="1172"/>
      <c r="C20" s="1173"/>
    </row>
    <row r="21" spans="1:3" ht="14.25">
      <c r="A21" s="3143" t="s">
        <v>59</v>
      </c>
      <c r="B21" s="3140" t="s">
        <v>60</v>
      </c>
      <c r="C21" s="3141"/>
    </row>
    <row r="22" spans="1:3" ht="14.25">
      <c r="A22" s="3143"/>
      <c r="B22" s="3140" t="s">
        <v>61</v>
      </c>
      <c r="C22" s="3141"/>
    </row>
    <row r="23" spans="1:3" ht="14.25">
      <c r="A23" s="3143"/>
      <c r="B23" s="3140" t="s">
        <v>62</v>
      </c>
      <c r="C23" s="3141"/>
    </row>
    <row r="24" spans="1:3" ht="14.25">
      <c r="A24" s="3143"/>
      <c r="B24" s="3146" t="s">
        <v>63</v>
      </c>
      <c r="C24" s="1174" t="s">
        <v>838</v>
      </c>
    </row>
    <row r="25" spans="1:3" ht="14.25">
      <c r="A25" s="3143"/>
      <c r="B25" s="3147"/>
      <c r="C25" s="1174" t="s">
        <v>839</v>
      </c>
    </row>
    <row r="26" spans="1:3" ht="14.25">
      <c r="A26" s="3143"/>
      <c r="B26" s="3147"/>
      <c r="C26" s="1174" t="s">
        <v>840</v>
      </c>
    </row>
    <row r="27" spans="1:3" ht="14.25">
      <c r="A27" s="3143"/>
      <c r="B27" s="3147"/>
      <c r="C27" s="1174" t="s">
        <v>841</v>
      </c>
    </row>
    <row r="28" spans="1:3" ht="14.25">
      <c r="A28" s="3143"/>
      <c r="B28" s="3147"/>
      <c r="C28" s="1174" t="s">
        <v>842</v>
      </c>
    </row>
    <row r="29" spans="1:3" ht="14.25">
      <c r="A29" s="3143"/>
      <c r="B29" s="3147"/>
      <c r="C29" s="1174" t="s">
        <v>843</v>
      </c>
    </row>
    <row r="30" spans="1:3" ht="14.25">
      <c r="A30" s="3143"/>
      <c r="B30" s="3147"/>
      <c r="C30" s="1174" t="s">
        <v>844</v>
      </c>
    </row>
    <row r="31" spans="1:3" ht="14.25">
      <c r="A31" s="3143"/>
      <c r="B31" s="3147"/>
      <c r="C31" s="1174" t="s">
        <v>845</v>
      </c>
    </row>
    <row r="32" spans="1:3" ht="14.25">
      <c r="A32" s="3143"/>
      <c r="B32" s="3147"/>
      <c r="C32" s="1174" t="s">
        <v>1648</v>
      </c>
    </row>
    <row r="33" spans="1:3" ht="14.25">
      <c r="A33" s="3143"/>
      <c r="B33" s="3137" t="s">
        <v>1654</v>
      </c>
      <c r="C33" s="1174" t="s">
        <v>1649</v>
      </c>
    </row>
    <row r="34" spans="1:3" ht="14.25">
      <c r="A34" s="3143"/>
      <c r="B34" s="3138"/>
      <c r="C34" s="1179" t="s">
        <v>1650</v>
      </c>
    </row>
    <row r="35" spans="1:3" ht="14.25">
      <c r="A35" s="3143"/>
      <c r="B35" s="3138"/>
      <c r="C35" s="1180" t="s">
        <v>1651</v>
      </c>
    </row>
    <row r="36" spans="1:3" ht="14.25">
      <c r="A36" s="3143"/>
      <c r="B36" s="3138"/>
      <c r="C36" s="1180" t="s">
        <v>1652</v>
      </c>
    </row>
    <row r="37" spans="1:3" ht="14.25">
      <c r="A37" s="3143"/>
      <c r="B37" s="3139"/>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5">
        <f ca="1">TODAY()</f>
        <v>43076</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2970">
        <v>43849</v>
      </c>
      <c r="D4" s="2341" t="s">
        <v>1916</v>
      </c>
      <c r="E4" s="2341">
        <f ca="1">IF(F4&lt;B2,"已过期",96010014)</f>
        <v>96010014</v>
      </c>
      <c r="F4" s="2971">
        <v>47118</v>
      </c>
    </row>
    <row r="5" spans="1:6" ht="20.25" customHeight="1">
      <c r="A5" s="2341" t="s">
        <v>1917</v>
      </c>
      <c r="B5" s="2341">
        <f ca="1">IF(C5&lt;B2,"已过期",1119970074)</f>
        <v>1119970074</v>
      </c>
      <c r="C5" s="2970">
        <v>43849</v>
      </c>
      <c r="D5" s="2341" t="s">
        <v>1917</v>
      </c>
      <c r="E5" s="2341">
        <f ca="1">IF(F5&lt;B2,"已过期",2002110027)</f>
        <v>2002110027</v>
      </c>
      <c r="F5" s="2971">
        <v>46752</v>
      </c>
    </row>
    <row r="6" spans="1:6" ht="20.25" customHeight="1">
      <c r="A6" s="2341" t="s">
        <v>1918</v>
      </c>
      <c r="B6" s="2341">
        <f ca="1">IF(C6&lt;B2,"已过期",1119970111)</f>
        <v>1119970111</v>
      </c>
      <c r="C6" s="2970">
        <v>43849</v>
      </c>
      <c r="D6" s="2341" t="s">
        <v>1918</v>
      </c>
      <c r="E6" s="2341">
        <f ca="1">IF(F6&lt;B2,"已过期",94010078)</f>
        <v>94010078</v>
      </c>
      <c r="F6" s="2971">
        <v>46387</v>
      </c>
    </row>
    <row r="7" spans="1:6" ht="20.25" customHeight="1">
      <c r="A7" s="2341" t="s">
        <v>1919</v>
      </c>
      <c r="B7" s="2341">
        <f ca="1">IF(C7&lt;B2,"已过期",1120050019)</f>
        <v>1120050019</v>
      </c>
      <c r="C7" s="2970">
        <v>43359</v>
      </c>
      <c r="D7" s="2341" t="s">
        <v>1919</v>
      </c>
      <c r="E7" s="2341">
        <f ca="1">IF(F7&lt;B2,"已过期",2002110030)</f>
        <v>2002110030</v>
      </c>
      <c r="F7" s="2971">
        <v>46387</v>
      </c>
    </row>
    <row r="8" spans="1:6" ht="20.25" customHeight="1">
      <c r="A8" s="2341" t="s">
        <v>1920</v>
      </c>
      <c r="B8" s="2341">
        <f ca="1">IF(C8&lt;B2,"已过期",1120000080)</f>
        <v>1120000080</v>
      </c>
      <c r="C8" s="2970">
        <v>43849</v>
      </c>
      <c r="D8" s="2341" t="s">
        <v>1920</v>
      </c>
      <c r="E8" s="2341">
        <f ca="1">IF(F8&lt;B2,"已过期",2000110082)</f>
        <v>2000110082</v>
      </c>
      <c r="F8" s="2971">
        <v>46387</v>
      </c>
    </row>
    <row r="9" spans="1:6" ht="20.25" customHeight="1">
      <c r="A9" s="2341" t="s">
        <v>1921</v>
      </c>
      <c r="B9" s="2341">
        <f ca="1">IF(C9&lt;B2,"已过期",1419970001)</f>
        <v>1419970001</v>
      </c>
      <c r="C9" s="2970">
        <v>43867</v>
      </c>
      <c r="D9" s="2341" t="s">
        <v>1921</v>
      </c>
      <c r="E9" s="2341">
        <f ca="1">IF(F9&lt;B2,"已过期",2002110125)</f>
        <v>2002110125</v>
      </c>
      <c r="F9" s="2971">
        <v>47118</v>
      </c>
    </row>
    <row r="10" spans="1:6" ht="20.25" customHeight="1">
      <c r="A10" s="2341" t="s">
        <v>1922</v>
      </c>
      <c r="B10" s="2341">
        <f ca="1">IF(C10&lt;B2,"已过期",1120060040)</f>
        <v>1120060040</v>
      </c>
      <c r="C10" s="2970">
        <v>43483</v>
      </c>
      <c r="D10" s="2341" t="s">
        <v>1922</v>
      </c>
      <c r="E10" s="2341">
        <f ca="1">IF(F10&lt;B2,"已过期",2004110096)</f>
        <v>2004110096</v>
      </c>
      <c r="F10" s="2971">
        <v>47118</v>
      </c>
    </row>
    <row r="11" spans="1:6" ht="20.25" customHeight="1">
      <c r="A11" s="2341" t="s">
        <v>1923</v>
      </c>
      <c r="B11" s="2341">
        <f ca="1">IF(C11&lt;B2,"已过期",1120100036)</f>
        <v>1120100036</v>
      </c>
      <c r="C11" s="2970">
        <v>43622</v>
      </c>
      <c r="D11" s="2341" t="s">
        <v>1923</v>
      </c>
      <c r="E11" s="2341">
        <f ca="1">IF(F11&lt;B2,"已过期",2010110070)</f>
        <v>2010110070</v>
      </c>
      <c r="F11" s="2971">
        <v>47907</v>
      </c>
    </row>
    <row r="12" spans="1:6" ht="20.25" customHeight="1">
      <c r="A12" s="2341"/>
      <c r="B12" s="2341"/>
      <c r="C12" s="2970"/>
      <c r="D12" s="2341"/>
      <c r="E12" s="2341"/>
      <c r="F12" s="2341"/>
    </row>
    <row r="13" spans="1:6" ht="20.25" customHeight="1">
      <c r="A13" s="2341" t="s">
        <v>1924</v>
      </c>
      <c r="B13" s="2341">
        <f ca="1">IF(C13&lt;B2,"已过期",1120070131)</f>
        <v>1120070131</v>
      </c>
      <c r="C13" s="2970">
        <v>43814</v>
      </c>
      <c r="D13" s="2341" t="s">
        <v>1924</v>
      </c>
      <c r="E13" s="2341">
        <v>2014110011</v>
      </c>
      <c r="F13" s="2971">
        <v>49302</v>
      </c>
    </row>
    <row r="14" spans="1:6" ht="20.25" customHeight="1">
      <c r="A14" s="2341" t="s">
        <v>1925</v>
      </c>
      <c r="B14" s="2341">
        <f ca="1">IF(C14&lt;B2,"已过期",1120130020)</f>
        <v>1120130020</v>
      </c>
      <c r="C14" s="2970">
        <v>43622</v>
      </c>
      <c r="D14" s="2341"/>
      <c r="E14" s="2341"/>
      <c r="F14" s="2341"/>
    </row>
    <row r="15" spans="1:6" ht="20.25" customHeight="1">
      <c r="A15" s="2341" t="s">
        <v>2578</v>
      </c>
      <c r="B15" s="2341">
        <v>1120070085</v>
      </c>
      <c r="C15" s="2970">
        <v>43814</v>
      </c>
      <c r="D15" s="2341" t="s">
        <v>2578</v>
      </c>
      <c r="E15" s="2341">
        <v>2004110128</v>
      </c>
      <c r="F15" s="2971">
        <v>47118</v>
      </c>
    </row>
    <row r="16" spans="1:6" ht="20.25" customHeight="1">
      <c r="A16" s="2341" t="s">
        <v>1926</v>
      </c>
      <c r="B16" s="2341">
        <f ca="1">IF(C16&lt;B2,"已过期",1120140022)</f>
        <v>1120140022</v>
      </c>
      <c r="C16" s="2970">
        <v>44029</v>
      </c>
      <c r="D16" s="2341" t="s">
        <v>1926</v>
      </c>
      <c r="E16" s="2341">
        <f ca="1">IF(F16&lt;B2,"已过期",2008110059)</f>
        <v>2008110059</v>
      </c>
      <c r="F16" s="2971">
        <v>47177</v>
      </c>
    </row>
    <row r="17" spans="1:7" ht="20.25" customHeight="1">
      <c r="A17" s="2341"/>
      <c r="B17" s="2341"/>
      <c r="C17" s="2970"/>
      <c r="D17" s="2341"/>
      <c r="E17" s="2341"/>
      <c r="F17" s="2971"/>
    </row>
    <row r="18" spans="1:7" ht="20.25" customHeight="1">
      <c r="A18" s="2341"/>
      <c r="B18" s="2341"/>
      <c r="C18" s="2970"/>
      <c r="D18" s="2341"/>
      <c r="E18" s="2341"/>
      <c r="F18" s="2971"/>
    </row>
    <row r="19" spans="1:7" ht="20.25" customHeight="1">
      <c r="A19" s="2341"/>
      <c r="B19" s="2341"/>
      <c r="C19" s="2970"/>
      <c r="D19" s="2341"/>
      <c r="E19" s="2341"/>
      <c r="F19" s="2341"/>
    </row>
    <row r="20" spans="1:7" ht="20.25" customHeight="1">
      <c r="A20" s="2341"/>
      <c r="B20" s="2341"/>
      <c r="C20" s="2970"/>
      <c r="D20" s="2341"/>
      <c r="E20" s="2341"/>
      <c r="F20" s="2341"/>
    </row>
    <row r="21" spans="1:7" ht="20.25" customHeight="1">
      <c r="A21" s="2341"/>
      <c r="B21" s="2341"/>
      <c r="C21" s="2970"/>
      <c r="D21" s="2341" t="s">
        <v>1927</v>
      </c>
      <c r="E21" s="2341">
        <f ca="1">IF(F21&lt;B2,"已过期",2011110090)</f>
        <v>2011110090</v>
      </c>
      <c r="F21" s="2971">
        <v>48302</v>
      </c>
    </row>
    <row r="22" spans="1:7" ht="20.25" customHeight="1">
      <c r="A22" s="2341" t="s">
        <v>1928</v>
      </c>
      <c r="B22" s="2341">
        <f ca="1">IF(C22&lt;B2,"已过期",1120020033)</f>
        <v>1120020033</v>
      </c>
      <c r="C22" s="2970">
        <v>43304</v>
      </c>
      <c r="D22" s="2341" t="s">
        <v>1928</v>
      </c>
      <c r="E22" s="2341">
        <f ca="1">IF(F22&lt;B2,"已过期",2000110137)</f>
        <v>2000110137</v>
      </c>
      <c r="F22" s="2971">
        <v>46387</v>
      </c>
    </row>
    <row r="23" spans="1:7" ht="20.25" customHeight="1">
      <c r="A23" s="2341" t="s">
        <v>1929</v>
      </c>
      <c r="B23" s="2341">
        <f ca="1">IF(C23&lt;B2,"已过期",1120130048)</f>
        <v>1120130048</v>
      </c>
      <c r="C23" s="2970">
        <v>43686</v>
      </c>
      <c r="D23" s="2341"/>
      <c r="E23" s="2341"/>
      <c r="F23" s="2341"/>
    </row>
    <row r="24" spans="1:7" s="2345" customFormat="1" ht="20.25" customHeight="1">
      <c r="A24" s="2343" t="s">
        <v>2055</v>
      </c>
      <c r="B24" s="2343" t="s">
        <v>2055</v>
      </c>
      <c r="C24" s="2970"/>
      <c r="D24" s="2972" t="s">
        <v>2055</v>
      </c>
      <c r="E24" s="2343" t="s">
        <v>2055</v>
      </c>
      <c r="F24" s="2344"/>
    </row>
    <row r="25" spans="1:7" ht="20.25" customHeight="1">
      <c r="A25" s="3148" t="s">
        <v>1930</v>
      </c>
      <c r="B25" s="3148"/>
      <c r="C25" s="3148"/>
      <c r="D25" s="3148"/>
      <c r="E25" s="3148"/>
      <c r="F25" s="3148"/>
      <c r="G25" s="3148"/>
    </row>
    <row r="26" spans="1:7" ht="20.25" customHeight="1">
      <c r="A26" s="3149" t="s">
        <v>1931</v>
      </c>
      <c r="B26" s="3149"/>
      <c r="C26" s="3149"/>
      <c r="D26" s="3149" t="s">
        <v>1932</v>
      </c>
      <c r="E26" s="3149"/>
      <c r="F26" s="3149"/>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2549</v>
      </c>
      <c r="R1" s="2601" t="s">
        <v>2543</v>
      </c>
      <c r="S1" s="6" t="s">
        <v>146</v>
      </c>
      <c r="T1" s="7" t="s">
        <v>147</v>
      </c>
      <c r="U1" s="6" t="s">
        <v>148</v>
      </c>
      <c r="V1" s="6" t="s">
        <v>149</v>
      </c>
      <c r="W1" s="1002"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2545</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4" t="s">
        <v>761</v>
      </c>
      <c r="Q4" s="9" t="s">
        <v>92</v>
      </c>
      <c r="R4" s="1004"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4" t="s">
        <v>547</v>
      </c>
      <c r="Q5" s="9" t="s">
        <v>97</v>
      </c>
      <c r="R5" s="1004" t="s">
        <v>2547</v>
      </c>
      <c r="S5" s="9" t="s">
        <v>97</v>
      </c>
      <c r="T5" s="9" t="s">
        <v>98</v>
      </c>
      <c r="U5" s="9" t="s">
        <v>97</v>
      </c>
      <c r="W5" s="9" t="s">
        <v>879</v>
      </c>
    </row>
    <row r="6" spans="1:23">
      <c r="A6" s="8" t="s">
        <v>99</v>
      </c>
      <c r="B6" s="1147" t="s">
        <v>1642</v>
      </c>
      <c r="C6" s="1552" t="s">
        <v>1715</v>
      </c>
      <c r="F6" s="9" t="s">
        <v>71</v>
      </c>
      <c r="H6" s="9" t="s">
        <v>72</v>
      </c>
      <c r="I6" s="9" t="s">
        <v>100</v>
      </c>
      <c r="K6" s="9" t="s">
        <v>101</v>
      </c>
      <c r="L6" s="9" t="s">
        <v>101</v>
      </c>
      <c r="M6" s="9" t="s">
        <v>101</v>
      </c>
      <c r="N6" s="9" t="s">
        <v>101</v>
      </c>
      <c r="O6" s="9" t="s">
        <v>101</v>
      </c>
      <c r="P6" s="1004" t="s">
        <v>882</v>
      </c>
      <c r="Q6" s="9" t="s">
        <v>101</v>
      </c>
      <c r="R6" s="1004"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074" t="s">
        <v>2961</v>
      </c>
      <c r="C18" s="1553"/>
    </row>
    <row r="19" spans="1:3">
      <c r="A19" s="8" t="s">
        <v>120</v>
      </c>
      <c r="B19" s="3074" t="s">
        <v>2969</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永丰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150"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c r="D53" s="1765"/>
      <c r="E53" s="1765"/>
    </row>
    <row r="54" spans="1:5">
      <c r="A54" s="3150"/>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150"/>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150"/>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150"/>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2017-12-07T07:21:13Z</dcterms:modified>
</cp:coreProperties>
</file>