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-165" windowWidth="14865" windowHeight="7830" tabRatio="531"/>
  </bookViews>
  <sheets>
    <sheet name="结果" sheetId="7" r:id="rId1"/>
    <sheet name="面积表" sheetId="2" r:id="rId2"/>
    <sheet name="市场比较法（彩虹新都）" sheetId="3" r:id="rId3"/>
    <sheet name="各部位修正" sheetId="8" r:id="rId4"/>
    <sheet name="收益法（彩虹新都）" sheetId="4" r:id="rId5"/>
    <sheet name="Sheet1" sheetId="9" r:id="rId6"/>
  </sheets>
  <externalReferences>
    <externalReference r:id="rId7"/>
  </externalReferences>
  <definedNames>
    <definedName name="_xlnm.Print_Area" localSheetId="5">Sheet1!$A$1:$AG$88</definedName>
    <definedName name="_xlnm.Print_Area" localSheetId="0">结果!$A$1:$K$37</definedName>
    <definedName name="_xlnm.Print_Area" localSheetId="1">面积表!$A$1:$G$9</definedName>
  </definedNames>
  <calcPr calcId="144525"/>
</workbook>
</file>

<file path=xl/calcChain.xml><?xml version="1.0" encoding="utf-8"?>
<calcChain xmlns="http://schemas.openxmlformats.org/spreadsheetml/2006/main">
  <c r="K36" i="3" l="1"/>
  <c r="K37" i="3"/>
  <c r="K38" i="3"/>
  <c r="P12" i="4"/>
  <c r="O12" i="4"/>
  <c r="F12" i="4"/>
  <c r="C30" i="4"/>
  <c r="C27" i="4"/>
  <c r="E18" i="7"/>
  <c r="F5" i="7"/>
  <c r="J61" i="4"/>
  <c r="L61" i="4"/>
  <c r="J62" i="4"/>
  <c r="L62" i="4"/>
  <c r="J63" i="4"/>
  <c r="L63" i="4"/>
  <c r="M16" i="4"/>
  <c r="J64" i="4"/>
  <c r="L64" i="4"/>
  <c r="J60" i="4"/>
  <c r="L60" i="4"/>
  <c r="P13" i="4"/>
  <c r="O13" i="4"/>
  <c r="N13" i="4"/>
  <c r="M13" i="4"/>
  <c r="J12" i="4"/>
  <c r="F16" i="4"/>
  <c r="E6" i="8"/>
  <c r="E7" i="8"/>
  <c r="E5" i="8"/>
  <c r="E4" i="8"/>
  <c r="B7" i="8"/>
  <c r="B6" i="8"/>
  <c r="B5" i="8"/>
  <c r="B4" i="8"/>
  <c r="B3" i="8"/>
  <c r="C7" i="2"/>
  <c r="K27" i="3"/>
  <c r="I27" i="3"/>
  <c r="G27" i="3"/>
  <c r="K23" i="3"/>
  <c r="I23" i="3"/>
  <c r="G23" i="3"/>
  <c r="K22" i="3"/>
  <c r="I22" i="3"/>
  <c r="K19" i="3"/>
  <c r="I19" i="3"/>
  <c r="S38" i="3"/>
  <c r="Q38" i="3"/>
  <c r="O38" i="3"/>
  <c r="X23" i="3"/>
  <c r="Y23" i="3"/>
  <c r="Z23" i="3"/>
  <c r="X24" i="3"/>
  <c r="Y24" i="3"/>
  <c r="Z24" i="3"/>
  <c r="X25" i="3"/>
  <c r="Y25" i="3"/>
  <c r="Z25" i="3"/>
  <c r="X26" i="3"/>
  <c r="Y26" i="3"/>
  <c r="Z26" i="3"/>
  <c r="X27" i="3"/>
  <c r="Y27" i="3"/>
  <c r="Z27" i="3"/>
  <c r="X28" i="3"/>
  <c r="Y28" i="3"/>
  <c r="Z28" i="3"/>
  <c r="X29" i="3"/>
  <c r="Y29" i="3"/>
  <c r="Z29" i="3"/>
  <c r="X30" i="3"/>
  <c r="Y30" i="3"/>
  <c r="Z30" i="3"/>
  <c r="D27" i="3"/>
  <c r="C47" i="3"/>
  <c r="T23" i="3"/>
  <c r="T24" i="3"/>
  <c r="T25" i="3"/>
  <c r="T26" i="3"/>
  <c r="T27" i="3"/>
  <c r="T28" i="3"/>
  <c r="T29" i="3"/>
  <c r="T30" i="3"/>
  <c r="R23" i="3"/>
  <c r="R24" i="3"/>
  <c r="R25" i="3"/>
  <c r="R26" i="3"/>
  <c r="R27" i="3"/>
  <c r="R28" i="3"/>
  <c r="R29" i="3"/>
  <c r="R30" i="3"/>
  <c r="P23" i="3"/>
  <c r="P24" i="3"/>
  <c r="P25" i="3"/>
  <c r="P26" i="3"/>
  <c r="P27" i="3"/>
  <c r="P28" i="3"/>
  <c r="P29" i="3"/>
  <c r="P30" i="3"/>
  <c r="N23" i="3"/>
  <c r="W23" i="3"/>
  <c r="N24" i="3"/>
  <c r="W24" i="3" s="1"/>
  <c r="N25" i="3"/>
  <c r="W25" i="3"/>
  <c r="N26" i="3"/>
  <c r="W26" i="3"/>
  <c r="N27" i="3"/>
  <c r="W27" i="3"/>
  <c r="N28" i="3"/>
  <c r="W28" i="3"/>
  <c r="N29" i="3"/>
  <c r="W29" i="3"/>
  <c r="N30" i="3"/>
  <c r="W30" i="3"/>
  <c r="N20" i="3"/>
  <c r="N21" i="3"/>
  <c r="N22" i="3"/>
  <c r="B8" i="8"/>
  <c r="D60" i="4"/>
  <c r="F13" i="4"/>
  <c r="C17" i="4"/>
  <c r="C12" i="4"/>
  <c r="J37" i="4"/>
  <c r="C41" i="4"/>
  <c r="C21" i="4"/>
  <c r="C18" i="4"/>
  <c r="M40" i="4"/>
  <c r="M46" i="4"/>
  <c r="C19" i="4"/>
  <c r="C16" i="7"/>
  <c r="M49" i="4"/>
  <c r="M48" i="4"/>
  <c r="M44" i="4"/>
  <c r="P22" i="7"/>
  <c r="O22" i="7"/>
  <c r="O23" i="7"/>
  <c r="E19" i="7"/>
  <c r="F11" i="7"/>
  <c r="G10" i="7"/>
  <c r="H10" i="7"/>
  <c r="F8" i="7"/>
  <c r="F46" i="4"/>
  <c r="C20" i="4"/>
  <c r="P23" i="7"/>
  <c r="C22" i="4"/>
  <c r="C23" i="4"/>
  <c r="C29" i="4"/>
  <c r="C26" i="4"/>
  <c r="C32" i="4"/>
  <c r="F35" i="4"/>
  <c r="C35" i="4"/>
  <c r="C39" i="4"/>
  <c r="C36" i="4"/>
  <c r="J36" i="4"/>
  <c r="C16" i="4"/>
  <c r="C40" i="4"/>
  <c r="M60" i="4"/>
  <c r="M63" i="4"/>
  <c r="M62" i="4"/>
  <c r="M61" i="4"/>
  <c r="M64" i="4"/>
  <c r="C34" i="4"/>
  <c r="Z17" i="3"/>
  <c r="Y17" i="3"/>
  <c r="X17" i="3"/>
  <c r="T17" i="3"/>
  <c r="R17" i="3"/>
  <c r="P17" i="3"/>
  <c r="C33" i="4"/>
  <c r="C42" i="4"/>
  <c r="C43" i="4"/>
  <c r="N17" i="3"/>
  <c r="W17" i="3"/>
  <c r="Z22" i="3"/>
  <c r="Y22" i="3"/>
  <c r="X22" i="3"/>
  <c r="T22" i="3"/>
  <c r="R22" i="3"/>
  <c r="P22" i="3"/>
  <c r="W22" i="3"/>
  <c r="Z21" i="3"/>
  <c r="Y21" i="3"/>
  <c r="X21" i="3"/>
  <c r="T21" i="3"/>
  <c r="R21" i="3"/>
  <c r="P21" i="3"/>
  <c r="W21" i="3"/>
  <c r="Z20" i="3"/>
  <c r="Y20" i="3"/>
  <c r="X20" i="3"/>
  <c r="T20" i="3"/>
  <c r="R20" i="3"/>
  <c r="P20" i="3"/>
  <c r="W20" i="3"/>
  <c r="Z19" i="3"/>
  <c r="Y19" i="3"/>
  <c r="X19" i="3"/>
  <c r="T19" i="3"/>
  <c r="R19" i="3"/>
  <c r="P19" i="3"/>
  <c r="N19" i="3"/>
  <c r="W19" i="3"/>
  <c r="Z18" i="3"/>
  <c r="Y18" i="3"/>
  <c r="X18" i="3"/>
  <c r="T18" i="3"/>
  <c r="R18" i="3"/>
  <c r="P18" i="3"/>
  <c r="Z16" i="3"/>
  <c r="Y16" i="3"/>
  <c r="X16" i="3"/>
  <c r="T16" i="3"/>
  <c r="R16" i="3"/>
  <c r="P16" i="3"/>
  <c r="N16" i="3"/>
  <c r="W16" i="3"/>
  <c r="Z15" i="3"/>
  <c r="Y15" i="3"/>
  <c r="X15" i="3"/>
  <c r="T15" i="3"/>
  <c r="R15" i="3"/>
  <c r="P15" i="3"/>
  <c r="N15" i="3"/>
  <c r="W15" i="3" s="1"/>
  <c r="Z14" i="3"/>
  <c r="Y14" i="3"/>
  <c r="X14" i="3"/>
  <c r="T14" i="3"/>
  <c r="R14" i="3"/>
  <c r="P14" i="3"/>
  <c r="N14" i="3"/>
  <c r="W14" i="3"/>
  <c r="Z13" i="3"/>
  <c r="Y13" i="3"/>
  <c r="X13" i="3"/>
  <c r="T13" i="3"/>
  <c r="R13" i="3"/>
  <c r="P13" i="3"/>
  <c r="N13" i="3"/>
  <c r="W13" i="3"/>
  <c r="Z12" i="3"/>
  <c r="Y12" i="3"/>
  <c r="X12" i="3"/>
  <c r="T12" i="3"/>
  <c r="R12" i="3"/>
  <c r="P12" i="3"/>
  <c r="N12" i="3"/>
  <c r="W12" i="3"/>
  <c r="Z11" i="3"/>
  <c r="Y11" i="3"/>
  <c r="X11" i="3"/>
  <c r="T11" i="3"/>
  <c r="R11" i="3"/>
  <c r="P11" i="3"/>
  <c r="N11" i="3"/>
  <c r="W11" i="3"/>
  <c r="Z10" i="3"/>
  <c r="Y10" i="3"/>
  <c r="X10" i="3"/>
  <c r="T10" i="3"/>
  <c r="R10" i="3"/>
  <c r="P10" i="3"/>
  <c r="N10" i="3"/>
  <c r="W10" i="3"/>
  <c r="Z9" i="3"/>
  <c r="Y9" i="3"/>
  <c r="X9" i="3"/>
  <c r="T9" i="3"/>
  <c r="R9" i="3"/>
  <c r="P9" i="3"/>
  <c r="N9" i="3"/>
  <c r="W9" i="3"/>
  <c r="Z8" i="3"/>
  <c r="Y8" i="3"/>
  <c r="X8" i="3"/>
  <c r="T8" i="3"/>
  <c r="R8" i="3"/>
  <c r="P8" i="3"/>
  <c r="N8" i="3"/>
  <c r="W8" i="3"/>
  <c r="Z7" i="3"/>
  <c r="Y7" i="3"/>
  <c r="X7" i="3"/>
  <c r="T7" i="3"/>
  <c r="R7" i="3"/>
  <c r="P7" i="3"/>
  <c r="N7" i="3"/>
  <c r="W7" i="3" s="1"/>
  <c r="Z6" i="3"/>
  <c r="Y6" i="3"/>
  <c r="X6" i="3"/>
  <c r="T6" i="3"/>
  <c r="R6" i="3"/>
  <c r="P6" i="3"/>
  <c r="Z5" i="3"/>
  <c r="S32" i="3"/>
  <c r="Y5" i="3"/>
  <c r="Q32" i="3"/>
  <c r="X5" i="3"/>
  <c r="O32" i="3"/>
  <c r="T5" i="3"/>
  <c r="R5" i="3"/>
  <c r="P5" i="3"/>
  <c r="M43" i="4"/>
  <c r="M41" i="4"/>
  <c r="J41" i="4"/>
  <c r="M39" i="4"/>
  <c r="M38" i="4"/>
  <c r="M37" i="4"/>
  <c r="M36" i="4"/>
  <c r="M35" i="4"/>
  <c r="J35" i="4"/>
  <c r="M31" i="4"/>
  <c r="M29" i="4"/>
  <c r="M27" i="4"/>
  <c r="M26" i="4"/>
  <c r="M24" i="4"/>
  <c r="M23" i="4"/>
  <c r="M21" i="4"/>
  <c r="M20" i="4"/>
  <c r="J20" i="4"/>
  <c r="M19" i="4"/>
  <c r="M18" i="4"/>
  <c r="M17" i="4"/>
  <c r="J17" i="4"/>
  <c r="J21" i="4"/>
  <c r="O33" i="3"/>
  <c r="J18" i="4"/>
  <c r="J27" i="4"/>
  <c r="S37" i="3"/>
  <c r="O36" i="3"/>
  <c r="S36" i="3"/>
  <c r="J30" i="4"/>
  <c r="J19" i="4"/>
  <c r="J22" i="4"/>
  <c r="Q36" i="3"/>
  <c r="Q37" i="3"/>
  <c r="O37" i="3"/>
  <c r="J23" i="4"/>
  <c r="J26" i="4"/>
  <c r="G5" i="8"/>
  <c r="H5" i="8" s="1"/>
  <c r="G4" i="8"/>
  <c r="H4" i="8" s="1"/>
  <c r="H3" i="8"/>
  <c r="O35" i="3"/>
  <c r="J29" i="4"/>
  <c r="J32" i="4"/>
  <c r="J39" i="4"/>
  <c r="J16" i="4"/>
  <c r="J40" i="4"/>
  <c r="J34" i="4"/>
  <c r="J33" i="4" s="1"/>
  <c r="J42" i="4" s="1"/>
  <c r="J43" i="4" s="1"/>
  <c r="J46" i="4" s="1"/>
  <c r="D48" i="4" s="1"/>
  <c r="C52" i="4"/>
  <c r="C55" i="4"/>
  <c r="G7" i="7"/>
  <c r="C56" i="4"/>
  <c r="G7" i="8"/>
  <c r="H7" i="8" s="1"/>
  <c r="G6" i="8"/>
  <c r="H6" i="8" s="1"/>
  <c r="E55" i="4" l="1"/>
  <c r="E56" i="4" s="1"/>
  <c r="D5" i="7"/>
  <c r="E5" i="7" s="1"/>
  <c r="D49" i="4"/>
  <c r="H8" i="8"/>
  <c r="D4" i="7" l="1"/>
  <c r="G4" i="7" l="1"/>
  <c r="I4" i="7"/>
  <c r="I5" i="7" s="1"/>
  <c r="E4" i="7"/>
  <c r="I16" i="7" l="1"/>
  <c r="H4" i="7"/>
  <c r="I30" i="7" l="1"/>
  <c r="J16" i="7"/>
  <c r="E20" i="7"/>
  <c r="E21" i="7" s="1"/>
  <c r="I17" i="7"/>
  <c r="I6" i="8"/>
  <c r="J6" i="8" s="1"/>
  <c r="I4" i="8"/>
  <c r="J4" i="8" s="1"/>
  <c r="I3" i="8"/>
  <c r="I7" i="8"/>
  <c r="J7" i="8" s="1"/>
  <c r="I5" i="8"/>
  <c r="J5" i="8" s="1"/>
  <c r="I8" i="8" l="1"/>
  <c r="J3" i="8"/>
</calcChain>
</file>

<file path=xl/comments1.xml><?xml version="1.0" encoding="utf-8"?>
<comments xmlns="http://schemas.openxmlformats.org/spreadsheetml/2006/main">
  <authors>
    <author>Sky123.Org</author>
    <author>USER</author>
  </authors>
  <commentList>
    <comment ref="B10" authorId="0">
      <text>
        <r>
          <rPr>
            <sz val="9"/>
            <color indexed="81"/>
            <rFont val="宋体"/>
            <family val="3"/>
            <charset val="134"/>
          </rPr>
          <t xml:space="preserve">所在区域的性质（商服区、住宅区还是工业区）、距各类商服中心的距离、商务设施的种类规模与集聚程度、商服氛围、经营类别、客流的数量与质量
</t>
        </r>
      </text>
    </comment>
    <comment ref="B11" authorId="1">
      <text>
        <r>
          <rPr>
            <b/>
            <sz val="9"/>
            <color indexed="81"/>
            <rFont val="宋体"/>
            <family val="3"/>
            <charset val="134"/>
          </rPr>
          <t>侧重公共交通通达、停车便捷程度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3" authorId="0">
      <text>
        <r>
          <rPr>
            <sz val="9"/>
            <color indexed="81"/>
            <rFont val="宋体"/>
            <family val="3"/>
            <charset val="134"/>
          </rPr>
          <t xml:space="preserve">主要为人文环境和自然环境。人文环境包括学校数目和类型；文体休闲设施状况；居民素质；自然环境包括：景观、绿化环境、卫生条件、噪音、空气和水体污染及危险设施或污染源的临近程度
</t>
        </r>
      </text>
    </comment>
    <comment ref="B1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不临街、单面临街、两面临街、多面临街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3" authorId="1">
      <text>
        <r>
          <rPr>
            <b/>
            <sz val="9"/>
            <color indexed="81"/>
            <rFont val="宋体"/>
            <family val="3"/>
            <charset val="134"/>
          </rPr>
          <t>取代建成年代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5" authorId="1">
      <text>
        <r>
          <rPr>
            <b/>
            <sz val="9"/>
            <color indexed="81"/>
            <rFont val="宋体"/>
            <family val="3"/>
            <charset val="134"/>
          </rPr>
          <t>能否餐饮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3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依据税票</t>
        </r>
      </text>
    </comment>
  </commentList>
</comments>
</file>

<file path=xl/sharedStrings.xml><?xml version="1.0" encoding="utf-8"?>
<sst xmlns="http://schemas.openxmlformats.org/spreadsheetml/2006/main" count="665" uniqueCount="364">
  <si>
    <t>估价结果</t>
    <phoneticPr fontId="3" type="noConversion"/>
  </si>
  <si>
    <t>方法</t>
    <phoneticPr fontId="3" type="noConversion"/>
  </si>
  <si>
    <t>总额</t>
    <phoneticPr fontId="3" type="noConversion"/>
  </si>
  <si>
    <t>楼面单价</t>
    <phoneticPr fontId="3" type="noConversion"/>
  </si>
  <si>
    <t>权重</t>
    <phoneticPr fontId="3" type="noConversion"/>
  </si>
  <si>
    <t>总价</t>
    <phoneticPr fontId="3" type="noConversion"/>
  </si>
  <si>
    <t>方法1</t>
    <phoneticPr fontId="3" type="noConversion"/>
  </si>
  <si>
    <t>方法2</t>
    <phoneticPr fontId="3" type="noConversion"/>
  </si>
  <si>
    <t>估价对象3</t>
  </si>
  <si>
    <t>估价结果一览表</t>
    <phoneticPr fontId="3" type="noConversion"/>
  </si>
  <si>
    <t>抵押物名称</t>
  </si>
  <si>
    <t>总建筑面积</t>
  </si>
  <si>
    <t>土地面积</t>
  </si>
  <si>
    <t>出让国有建设用地使用权价值</t>
    <phoneticPr fontId="3" type="noConversion"/>
  </si>
  <si>
    <t>建筑物价值</t>
  </si>
  <si>
    <t>房地产价值</t>
  </si>
  <si>
    <t>总 价</t>
  </si>
  <si>
    <t>楼面单价</t>
  </si>
  <si>
    <t>大写金额</t>
  </si>
  <si>
    <t>房地产估价师知悉的法定优先受偿款</t>
  </si>
  <si>
    <t>房地产抵押价值</t>
  </si>
  <si>
    <t>房地产估价师知悉的法定优先受偿款</t>
    <phoneticPr fontId="3" type="noConversion"/>
  </si>
  <si>
    <t>项目</t>
    <phoneticPr fontId="3" type="noConversion"/>
  </si>
  <si>
    <t>说明</t>
    <phoneticPr fontId="3" type="noConversion"/>
  </si>
  <si>
    <t>抵押权</t>
    <phoneticPr fontId="3" type="noConversion"/>
  </si>
  <si>
    <t>地价款及契税、印花税</t>
    <phoneticPr fontId="3" type="noConversion"/>
  </si>
  <si>
    <t>规划调整新增政府土地收益</t>
    <phoneticPr fontId="3" type="noConversion"/>
  </si>
  <si>
    <t>应付未付工程款</t>
    <phoneticPr fontId="3" type="noConversion"/>
  </si>
  <si>
    <t>测算人：</t>
    <phoneticPr fontId="3" type="noConversion"/>
  </si>
  <si>
    <t>日期：</t>
    <phoneticPr fontId="3" type="noConversion"/>
  </si>
  <si>
    <t>价格初审</t>
    <phoneticPr fontId="3" type="noConversion"/>
  </si>
  <si>
    <t>价格终审：</t>
    <phoneticPr fontId="3" type="noConversion"/>
  </si>
  <si>
    <t>彩虹新都</t>
  </si>
  <si>
    <t>彩虹新都</t>
    <phoneticPr fontId="3" type="noConversion"/>
  </si>
  <si>
    <t>收益法</t>
    <phoneticPr fontId="3" type="noConversion"/>
  </si>
  <si>
    <t>部位</t>
  </si>
  <si>
    <t>建筑面积</t>
  </si>
  <si>
    <t>用途</t>
  </si>
  <si>
    <t>土地位置</t>
  </si>
  <si>
    <t>土地用途</t>
  </si>
  <si>
    <t>裙楼4层ABCD段</t>
  </si>
  <si>
    <t>彩田路</t>
  </si>
  <si>
    <t>商住混合用地</t>
  </si>
  <si>
    <t>裙楼3层ABC段</t>
  </si>
  <si>
    <t>裙楼2层B段</t>
  </si>
  <si>
    <t>裙楼1层C段</t>
  </si>
  <si>
    <t>裙楼1层B段</t>
  </si>
  <si>
    <t>小计</t>
  </si>
  <si>
    <t>100/</t>
    <phoneticPr fontId="3" type="noConversion"/>
  </si>
  <si>
    <t>土地使用年限</t>
  </si>
  <si>
    <t>容积率</t>
  </si>
  <si>
    <t>实物状况</t>
    <phoneticPr fontId="3" type="noConversion"/>
  </si>
  <si>
    <t>楼面价格</t>
    <phoneticPr fontId="3" type="noConversion"/>
  </si>
  <si>
    <t>收益还原法（租约内）</t>
    <phoneticPr fontId="11" type="noConversion"/>
  </si>
  <si>
    <t>收益还原法（租约外）</t>
    <phoneticPr fontId="11" type="noConversion"/>
  </si>
  <si>
    <t>序号</t>
    <phoneticPr fontId="11" type="noConversion"/>
  </si>
  <si>
    <t>项目</t>
    <phoneticPr fontId="11" type="noConversion"/>
  </si>
  <si>
    <t>数额（元）</t>
    <phoneticPr fontId="11" type="noConversion"/>
  </si>
  <si>
    <t>计算公式</t>
    <phoneticPr fontId="11" type="noConversion"/>
  </si>
  <si>
    <t>取费标准</t>
    <phoneticPr fontId="11" type="noConversion"/>
  </si>
  <si>
    <t>未来第一年年总收益</t>
    <phoneticPr fontId="11" type="noConversion"/>
  </si>
  <si>
    <t>租金×月数×（1-空置率）</t>
    <phoneticPr fontId="11" type="noConversion"/>
  </si>
  <si>
    <t>建筑面积（㎡）</t>
    <phoneticPr fontId="11" type="noConversion"/>
  </si>
  <si>
    <t>空置率（%）</t>
    <phoneticPr fontId="11" type="noConversion"/>
  </si>
  <si>
    <t>建筑物现值</t>
    <phoneticPr fontId="11" type="noConversion"/>
  </si>
  <si>
    <t>房屋重置价格×成新度</t>
    <phoneticPr fontId="11" type="noConversion"/>
  </si>
  <si>
    <t>成新度（%）</t>
    <phoneticPr fontId="11" type="noConversion"/>
  </si>
  <si>
    <t>2-1-1</t>
    <phoneticPr fontId="11" type="noConversion"/>
  </si>
  <si>
    <t>建安费用</t>
  </si>
  <si>
    <t>建安单价×建筑面积</t>
    <phoneticPr fontId="11" type="noConversion"/>
  </si>
  <si>
    <t>建安单价（元/㎡）</t>
    <phoneticPr fontId="11" type="noConversion"/>
  </si>
  <si>
    <t>2-1-2</t>
  </si>
  <si>
    <t>勘察设计和前期工程费</t>
  </si>
  <si>
    <t>建安费用×费率</t>
    <phoneticPr fontId="11" type="noConversion"/>
  </si>
  <si>
    <t>费率（%）</t>
    <phoneticPr fontId="11" type="noConversion"/>
  </si>
  <si>
    <t>2-1-3</t>
  </si>
  <si>
    <t>公共配套设施费用</t>
  </si>
  <si>
    <t>2-1-4</t>
  </si>
  <si>
    <t>基础设施建设费</t>
  </si>
  <si>
    <t>建筑面积×取费标准</t>
    <phoneticPr fontId="11" type="noConversion"/>
  </si>
  <si>
    <t>市政费用（元/㎡）</t>
    <phoneticPr fontId="11" type="noConversion"/>
  </si>
  <si>
    <t>2-1-5</t>
  </si>
  <si>
    <t>相关税费</t>
  </si>
  <si>
    <t>2-1</t>
    <phoneticPr fontId="11" type="noConversion"/>
  </si>
  <si>
    <t>建造成本</t>
  </si>
  <si>
    <t>建安费用+公共配套设施费用+基础设施建设费+相关税费</t>
    <phoneticPr fontId="11" type="noConversion"/>
  </si>
  <si>
    <t>2-2</t>
    <phoneticPr fontId="11" type="noConversion"/>
  </si>
  <si>
    <t>管理费用</t>
  </si>
  <si>
    <t>建造成本×费率</t>
    <phoneticPr fontId="11" type="noConversion"/>
  </si>
  <si>
    <t>2-3</t>
    <phoneticPr fontId="11" type="noConversion"/>
  </si>
  <si>
    <t>销售费用</t>
    <phoneticPr fontId="11" type="noConversion"/>
  </si>
  <si>
    <t>——</t>
    <phoneticPr fontId="11" type="noConversion"/>
  </si>
  <si>
    <t>建筑物重置价值×费率</t>
    <phoneticPr fontId="11" type="noConversion"/>
  </si>
  <si>
    <t>销售费率（%）</t>
    <phoneticPr fontId="11" type="noConversion"/>
  </si>
  <si>
    <t>2-4</t>
    <phoneticPr fontId="11" type="noConversion"/>
  </si>
  <si>
    <t>贷款利息</t>
    <phoneticPr fontId="11" type="noConversion"/>
  </si>
  <si>
    <t>（建造成本+管理费用+销售费用）×利率×（建设周期÷2）</t>
    <phoneticPr fontId="11" type="noConversion"/>
  </si>
  <si>
    <t>2-4-1</t>
    <phoneticPr fontId="11" type="noConversion"/>
  </si>
  <si>
    <t>2-1及2-2项产生的利息</t>
    <phoneticPr fontId="11" type="noConversion"/>
  </si>
  <si>
    <t>（建造成本+管理费用）×利率×（建设周期÷2）</t>
    <phoneticPr fontId="11" type="noConversion"/>
  </si>
  <si>
    <t>建设周期（年）</t>
    <phoneticPr fontId="11" type="noConversion"/>
  </si>
  <si>
    <t>2-4-2</t>
    <phoneticPr fontId="11" type="noConversion"/>
  </si>
  <si>
    <t>销售费用产生的利息</t>
    <phoneticPr fontId="11" type="noConversion"/>
  </si>
  <si>
    <t>销售费用×利率×（建设周期÷2）</t>
    <phoneticPr fontId="11" type="noConversion"/>
  </si>
  <si>
    <t>利息（%）</t>
    <phoneticPr fontId="11" type="noConversion"/>
  </si>
  <si>
    <t>2-5</t>
    <phoneticPr fontId="11" type="noConversion"/>
  </si>
  <si>
    <t>利润</t>
  </si>
  <si>
    <t>（建造成本+管理费用+销售费用）×利润率</t>
    <phoneticPr fontId="11" type="noConversion"/>
  </si>
  <si>
    <t>2-5-1</t>
    <phoneticPr fontId="11" type="noConversion"/>
  </si>
  <si>
    <t>2-1、2-2项产生的利润</t>
    <phoneticPr fontId="11" type="noConversion"/>
  </si>
  <si>
    <t>（建造成本+管理费用）×利润率</t>
    <phoneticPr fontId="11" type="noConversion"/>
  </si>
  <si>
    <t>利润率（%）</t>
    <phoneticPr fontId="11" type="noConversion"/>
  </si>
  <si>
    <t>2-5-2</t>
    <phoneticPr fontId="11" type="noConversion"/>
  </si>
  <si>
    <t>销售费用产生的利润</t>
  </si>
  <si>
    <t>销售费用×利润率</t>
    <phoneticPr fontId="11" type="noConversion"/>
  </si>
  <si>
    <t>2-6</t>
    <phoneticPr fontId="11" type="noConversion"/>
  </si>
  <si>
    <t>销售税费</t>
  </si>
  <si>
    <t>2-7</t>
    <phoneticPr fontId="11" type="noConversion"/>
  </si>
  <si>
    <t>建筑物重置价值</t>
    <phoneticPr fontId="11" type="noConversion"/>
  </si>
  <si>
    <t>3</t>
    <phoneticPr fontId="11" type="noConversion"/>
  </si>
  <si>
    <t>年经营费用</t>
    <phoneticPr fontId="11" type="noConversion"/>
  </si>
  <si>
    <t>税费+维修费+保险费+管理费</t>
    <phoneticPr fontId="11" type="noConversion"/>
  </si>
  <si>
    <t>3-1</t>
    <phoneticPr fontId="11" type="noConversion"/>
  </si>
  <si>
    <t>税  费</t>
  </si>
  <si>
    <t>两税一费+房产税+城镇土地使用税</t>
    <phoneticPr fontId="11" type="noConversion"/>
  </si>
  <si>
    <t>3-1-1</t>
    <phoneticPr fontId="11" type="noConversion"/>
  </si>
  <si>
    <t>两税一费</t>
    <phoneticPr fontId="11" type="noConversion"/>
  </si>
  <si>
    <t>年总收益×费率</t>
    <phoneticPr fontId="11" type="noConversion"/>
  </si>
  <si>
    <t>3-1-2</t>
    <phoneticPr fontId="11" type="noConversion"/>
  </si>
  <si>
    <t>房产税</t>
    <phoneticPr fontId="11" type="noConversion"/>
  </si>
  <si>
    <t>房产原值×（1-30%）×费率</t>
    <phoneticPr fontId="11" type="noConversion"/>
  </si>
  <si>
    <t>3-1-3</t>
    <phoneticPr fontId="11" type="noConversion"/>
  </si>
  <si>
    <t>城镇土地使用税</t>
    <phoneticPr fontId="11" type="noConversion"/>
  </si>
  <si>
    <t>土地面积×取费标准</t>
    <phoneticPr fontId="11" type="noConversion"/>
  </si>
  <si>
    <t>纳税标准（元/㎡）</t>
    <phoneticPr fontId="11" type="noConversion"/>
  </si>
  <si>
    <t>土地面积（㎡）</t>
    <phoneticPr fontId="11" type="noConversion"/>
  </si>
  <si>
    <t>3-2</t>
    <phoneticPr fontId="11" type="noConversion"/>
  </si>
  <si>
    <t>维修费</t>
    <phoneticPr fontId="11" type="noConversion"/>
  </si>
  <si>
    <r>
      <t>建筑物重置价值</t>
    </r>
    <r>
      <rPr>
        <sz val="10"/>
        <rFont val="楷体_GB2312"/>
        <family val="3"/>
        <charset val="134"/>
      </rPr>
      <t>×维修费率</t>
    </r>
    <phoneticPr fontId="11" type="noConversion"/>
  </si>
  <si>
    <r>
      <t>现值</t>
    </r>
    <r>
      <rPr>
        <sz val="10"/>
        <rFont val="楷体_GB2312"/>
        <family val="3"/>
        <charset val="134"/>
      </rPr>
      <t>×维修费率</t>
    </r>
    <phoneticPr fontId="11" type="noConversion"/>
  </si>
  <si>
    <t>3-3</t>
    <phoneticPr fontId="11" type="noConversion"/>
  </si>
  <si>
    <t>保险费</t>
  </si>
  <si>
    <t>现值×保险费率</t>
    <phoneticPr fontId="11" type="noConversion"/>
  </si>
  <si>
    <t>3-4</t>
    <phoneticPr fontId="11" type="noConversion"/>
  </si>
  <si>
    <t>4</t>
    <phoneticPr fontId="11" type="noConversion"/>
  </si>
  <si>
    <t>房地产未来第一年净收益</t>
    <phoneticPr fontId="11" type="noConversion"/>
  </si>
  <si>
    <t>年总收益-年经营费用</t>
    <phoneticPr fontId="11" type="noConversion"/>
  </si>
  <si>
    <t>5</t>
    <phoneticPr fontId="11" type="noConversion"/>
  </si>
  <si>
    <t>租约内房地产价值</t>
    <phoneticPr fontId="11" type="noConversion"/>
  </si>
  <si>
    <t>房地产未来第一年净收益×[1-（(1+g)/(1+Y)） ^n ]/(Y-g)</t>
    <phoneticPr fontId="11" type="noConversion"/>
  </si>
  <si>
    <t>报酬率（Y）</t>
    <phoneticPr fontId="11" type="noConversion"/>
  </si>
  <si>
    <t>租约外房地产价值</t>
    <phoneticPr fontId="11" type="noConversion"/>
  </si>
  <si>
    <t>剩余租赁期(n)</t>
    <phoneticPr fontId="11" type="noConversion"/>
  </si>
  <si>
    <t>收益年期(n)</t>
    <phoneticPr fontId="11" type="noConversion"/>
  </si>
  <si>
    <t>年增长比率(g)</t>
    <phoneticPr fontId="11" type="noConversion"/>
  </si>
  <si>
    <t>*房产原值=重置价值-利润</t>
    <phoneticPr fontId="11" type="noConversion"/>
  </si>
  <si>
    <t>6</t>
    <phoneticPr fontId="11" type="noConversion"/>
  </si>
  <si>
    <t>折现价值</t>
    <phoneticPr fontId="11" type="noConversion"/>
  </si>
  <si>
    <t>房地产价值÷建筑面积</t>
    <phoneticPr fontId="11" type="noConversion"/>
  </si>
  <si>
    <t>估价对象房地产价值</t>
    <phoneticPr fontId="11" type="noConversion"/>
  </si>
  <si>
    <t>总收益年期</t>
    <phoneticPr fontId="11" type="noConversion"/>
  </si>
  <si>
    <t>楼面单价</t>
    <phoneticPr fontId="11" type="noConversion"/>
  </si>
  <si>
    <t>元/㎡</t>
    <phoneticPr fontId="11" type="noConversion"/>
  </si>
  <si>
    <t>房屋年纯收益</t>
    <phoneticPr fontId="11" type="noConversion"/>
  </si>
  <si>
    <t>①完好房：十、九、八成新；</t>
  </si>
  <si>
    <t>建筑物资本化率</t>
    <phoneticPr fontId="11" type="noConversion"/>
  </si>
  <si>
    <t>范围8%-10%</t>
    <phoneticPr fontId="11" type="noConversion"/>
  </si>
  <si>
    <t>②基本完好房；七、六成新</t>
    <phoneticPr fontId="11" type="noConversion"/>
  </si>
  <si>
    <t>确定合理的建筑物与土地价值比例</t>
    <phoneticPr fontId="11" type="noConversion"/>
  </si>
  <si>
    <t>③一般损坏房：五、四成新；</t>
    <phoneticPr fontId="11" type="noConversion"/>
  </si>
  <si>
    <t>请注意成新率的取值！！</t>
    <phoneticPr fontId="11" type="noConversion"/>
  </si>
  <si>
    <t>建筑物年收益比率</t>
    <phoneticPr fontId="11" type="noConversion"/>
  </si>
  <si>
    <t>建筑物价值比率</t>
    <phoneticPr fontId="11" type="noConversion"/>
  </si>
  <si>
    <t>④严重损坏房及危险房：三成新以下。</t>
    <phoneticPr fontId="11" type="noConversion"/>
  </si>
  <si>
    <t>土地年收益比率</t>
    <phoneticPr fontId="11" type="noConversion"/>
  </si>
  <si>
    <t>土地价值比率</t>
    <phoneticPr fontId="11" type="noConversion"/>
  </si>
  <si>
    <r>
      <t>市场比较法</t>
    </r>
    <r>
      <rPr>
        <b/>
        <sz val="16"/>
        <color indexed="10"/>
        <rFont val="楷体_GB2312"/>
        <family val="3"/>
        <charset val="134"/>
      </rPr>
      <t>（需配位置图）</t>
    </r>
    <phoneticPr fontId="3" type="noConversion"/>
  </si>
  <si>
    <t>表1：比较因素条件指数表</t>
    <phoneticPr fontId="3" type="noConversion"/>
  </si>
  <si>
    <t>表2：因素比较修正系数表</t>
    <phoneticPr fontId="3" type="noConversion"/>
  </si>
  <si>
    <t>因素比较修正系数表</t>
    <phoneticPr fontId="3" type="noConversion"/>
  </si>
  <si>
    <t>比较因素</t>
    <phoneticPr fontId="3" type="noConversion"/>
  </si>
  <si>
    <t>修正幅度</t>
    <phoneticPr fontId="3" type="noConversion"/>
  </si>
  <si>
    <t>估价对象</t>
    <phoneticPr fontId="3" type="noConversion"/>
  </si>
  <si>
    <t>案例A</t>
    <phoneticPr fontId="3" type="noConversion"/>
  </si>
  <si>
    <t>案例B</t>
    <phoneticPr fontId="3" type="noConversion"/>
  </si>
  <si>
    <t>案例C</t>
    <phoneticPr fontId="3" type="noConversion"/>
  </si>
  <si>
    <t>交易时间</t>
    <phoneticPr fontId="3" type="noConversion"/>
  </si>
  <si>
    <t>100/</t>
    <phoneticPr fontId="3" type="noConversion"/>
  </si>
  <si>
    <t>交易情况</t>
    <phoneticPr fontId="3" type="noConversion"/>
  </si>
  <si>
    <t>权益状况</t>
    <phoneticPr fontId="3" type="noConversion"/>
  </si>
  <si>
    <t>区位状况</t>
    <phoneticPr fontId="3" type="noConversion"/>
  </si>
  <si>
    <t>实物状况</t>
    <phoneticPr fontId="3" type="noConversion"/>
  </si>
  <si>
    <t>销售单价</t>
    <phoneticPr fontId="3" type="noConversion"/>
  </si>
  <si>
    <t>比准价格</t>
    <phoneticPr fontId="3" type="noConversion"/>
  </si>
  <si>
    <t>建筑面积</t>
    <phoneticPr fontId="3" type="noConversion"/>
  </si>
  <si>
    <t>房地产总值</t>
    <phoneticPr fontId="3" type="noConversion"/>
  </si>
  <si>
    <t>项目名称</t>
    <phoneticPr fontId="3" type="noConversion"/>
  </si>
  <si>
    <t>40-45（含）</t>
    <phoneticPr fontId="3" type="noConversion"/>
  </si>
  <si>
    <t>45-50（含）</t>
    <phoneticPr fontId="3" type="noConversion"/>
  </si>
  <si>
    <t>正常</t>
    <phoneticPr fontId="3" type="noConversion"/>
  </si>
  <si>
    <t>——</t>
    <phoneticPr fontId="3" type="noConversion"/>
  </si>
  <si>
    <t>人流量</t>
    <phoneticPr fontId="3" type="noConversion"/>
  </si>
  <si>
    <t>好</t>
    <phoneticPr fontId="3" type="noConversion"/>
  </si>
  <si>
    <t>商业</t>
    <phoneticPr fontId="3" type="noConversion"/>
  </si>
  <si>
    <t>较好</t>
    <phoneticPr fontId="3" type="noConversion"/>
  </si>
  <si>
    <t>序号</t>
    <phoneticPr fontId="3" type="noConversion"/>
  </si>
  <si>
    <t>面积</t>
    <phoneticPr fontId="3" type="noConversion"/>
  </si>
  <si>
    <t>单价</t>
    <phoneticPr fontId="3" type="noConversion"/>
  </si>
  <si>
    <t>住宅底商</t>
    <phoneticPr fontId="3" type="noConversion"/>
  </si>
  <si>
    <t>月数</t>
    <phoneticPr fontId="11" type="noConversion"/>
  </si>
  <si>
    <r>
      <t>租金（元/</t>
    </r>
    <r>
      <rPr>
        <sz val="10"/>
        <rFont val="宋体"/>
        <family val="3"/>
        <charset val="134"/>
      </rPr>
      <t>㎡</t>
    </r>
    <r>
      <rPr>
        <sz val="10"/>
        <rFont val="楷体_GB2312"/>
        <family val="3"/>
        <charset val="134"/>
      </rPr>
      <t>·月）</t>
    </r>
    <phoneticPr fontId="11" type="noConversion"/>
  </si>
  <si>
    <t>月数</t>
    <phoneticPr fontId="11" type="noConversion"/>
  </si>
  <si>
    <t>权重确定打分评价体系</t>
    <phoneticPr fontId="3" type="noConversion"/>
  </si>
  <si>
    <t>估价对象1</t>
    <phoneticPr fontId="3" type="noConversion"/>
  </si>
  <si>
    <t>总价</t>
    <phoneticPr fontId="1" type="noConversion"/>
  </si>
  <si>
    <t>评价因素</t>
    <phoneticPr fontId="3" type="noConversion"/>
  </si>
  <si>
    <t>标准分值</t>
    <phoneticPr fontId="3" type="noConversion"/>
  </si>
  <si>
    <t>打分考虑因素</t>
    <phoneticPr fontId="3" type="noConversion"/>
  </si>
  <si>
    <t>估价方法1</t>
    <phoneticPr fontId="3" type="noConversion"/>
  </si>
  <si>
    <t>估价方法2</t>
    <phoneticPr fontId="3" type="noConversion"/>
  </si>
  <si>
    <t>估价方法的代表性</t>
    <phoneticPr fontId="3" type="noConversion"/>
  </si>
  <si>
    <t>1、估价方法选取分析充分、合理，不采用的估价方法理由真实、可信，取25分；</t>
    <phoneticPr fontId="3" type="noConversion"/>
  </si>
  <si>
    <t>估价对象2</t>
  </si>
  <si>
    <t>2、估价方法选取分析较合理，不采用的估价方法理由不充分，取20分；</t>
    <phoneticPr fontId="3" type="noConversion"/>
  </si>
  <si>
    <t>3、估价方法选取分析无依据及理由，取10分；</t>
    <phoneticPr fontId="3" type="noConversion"/>
  </si>
  <si>
    <t>4、选择了不适宜或限制使用的方法，取5分</t>
    <phoneticPr fontId="3" type="noConversion"/>
  </si>
  <si>
    <t>估价方法所要求的估价资料的完整性</t>
    <phoneticPr fontId="3" type="noConversion"/>
  </si>
  <si>
    <t>1、估价资料完整，来源依据充分，取15分；</t>
    <phoneticPr fontId="3" type="noConversion"/>
  </si>
  <si>
    <t>2、估价资料有欠缺，来源依据不充分，取10分；</t>
    <phoneticPr fontId="3" type="noConversion"/>
  </si>
  <si>
    <t>3、估价资料不全，难以有效支持估价过程，取5分</t>
    <phoneticPr fontId="3" type="noConversion"/>
  </si>
  <si>
    <t>参数选取的客观性</t>
    <phoneticPr fontId="3" type="noConversion"/>
  </si>
  <si>
    <t>1、参数从市场上获取，或从权威机构发布的信息上获取，取15分；</t>
    <phoneticPr fontId="3" type="noConversion"/>
  </si>
  <si>
    <t>2、参数自行分析取得，理由较充分，取10分；</t>
    <phoneticPr fontId="3" type="noConversion"/>
  </si>
  <si>
    <t>3、参数获取理由无分析，取5分</t>
    <phoneticPr fontId="3" type="noConversion"/>
  </si>
  <si>
    <t>参数确定的时效性</t>
    <phoneticPr fontId="3" type="noConversion"/>
  </si>
  <si>
    <t>1、参数在规定的时效范围内，且距价值时点未超过1年，取15分；</t>
    <phoneticPr fontId="3" type="noConversion"/>
  </si>
  <si>
    <t>2、参数在规定的时效范围内，但距价值时点超过1年，取10分；</t>
    <phoneticPr fontId="3" type="noConversion"/>
  </si>
  <si>
    <t>3、参数超过规定的时效范围，取5分</t>
    <phoneticPr fontId="3" type="noConversion"/>
  </si>
  <si>
    <t>估价结果的现势性</t>
    <phoneticPr fontId="3" type="noConversion"/>
  </si>
  <si>
    <t>1、估价结果与同类用途房地产市场价格水平一致，且考虑了房地产市场发展趋势，取20分；</t>
    <phoneticPr fontId="3" type="noConversion"/>
  </si>
  <si>
    <t>2、估价结果与同类用途房地产价格水平基本一致，且适当考虑了房地产市场发展趋势，取15分；</t>
    <phoneticPr fontId="3" type="noConversion"/>
  </si>
  <si>
    <t>3、估价结果与同类用途房地产价格水平有一定差距，未考虑房地产市场发展趋势，取10分；</t>
    <phoneticPr fontId="3" type="noConversion"/>
  </si>
  <si>
    <t>4、估价结果与同类用途房地产价格水平不符，取5分</t>
    <phoneticPr fontId="3" type="noConversion"/>
  </si>
  <si>
    <t>分值</t>
    <phoneticPr fontId="3" type="noConversion"/>
  </si>
  <si>
    <t>楼层系数</t>
    <phoneticPr fontId="1" type="noConversion"/>
  </si>
  <si>
    <t>面积系数</t>
    <phoneticPr fontId="1" type="noConversion"/>
  </si>
  <si>
    <t>单价</t>
    <phoneticPr fontId="1" type="noConversion"/>
  </si>
  <si>
    <t>合计</t>
    <phoneticPr fontId="1" type="noConversion"/>
  </si>
  <si>
    <t>市场法</t>
    <phoneticPr fontId="3" type="noConversion"/>
  </si>
  <si>
    <t>市场法</t>
    <phoneticPr fontId="3" type="noConversion"/>
  </si>
  <si>
    <t>收益法</t>
    <phoneticPr fontId="3" type="noConversion"/>
  </si>
  <si>
    <t>——</t>
    <phoneticPr fontId="11" type="noConversion"/>
  </si>
  <si>
    <t>——</t>
    <phoneticPr fontId="11" type="noConversion"/>
  </si>
  <si>
    <t>六通</t>
    <phoneticPr fontId="3" type="noConversion"/>
  </si>
  <si>
    <t>万元</t>
    <phoneticPr fontId="11" type="noConversion"/>
  </si>
  <si>
    <t>单价</t>
    <phoneticPr fontId="1" type="noConversion"/>
  </si>
  <si>
    <t>单价</t>
    <phoneticPr fontId="3" type="noConversion"/>
  </si>
  <si>
    <t>彩虹新都</t>
    <phoneticPr fontId="1" type="noConversion"/>
  </si>
  <si>
    <t>项目所属土地面积</t>
    <phoneticPr fontId="1" type="noConversion"/>
  </si>
  <si>
    <t>2016.6</t>
    <phoneticPr fontId="3" type="noConversion"/>
  </si>
  <si>
    <t>商业繁华度</t>
    <phoneticPr fontId="3" type="noConversion"/>
  </si>
  <si>
    <t>交通便捷度</t>
    <phoneticPr fontId="3" type="noConversion"/>
  </si>
  <si>
    <t>公用设施及基础设施水平</t>
    <phoneticPr fontId="3" type="noConversion"/>
  </si>
  <si>
    <t>自然及人文环境</t>
    <phoneticPr fontId="3" type="noConversion"/>
  </si>
  <si>
    <t>楼层</t>
    <phoneticPr fontId="3" type="noConversion"/>
  </si>
  <si>
    <t>商业类型</t>
    <phoneticPr fontId="3" type="noConversion"/>
  </si>
  <si>
    <t>项目建筑规模</t>
    <phoneticPr fontId="3" type="noConversion"/>
  </si>
  <si>
    <t>建筑结构</t>
    <phoneticPr fontId="3" type="noConversion"/>
  </si>
  <si>
    <t>公共部分装修</t>
    <phoneticPr fontId="3" type="noConversion"/>
  </si>
  <si>
    <t>成新度</t>
    <phoneticPr fontId="3" type="noConversion"/>
  </si>
  <si>
    <t>业态</t>
    <phoneticPr fontId="3" type="noConversion"/>
  </si>
  <si>
    <t>层高</t>
    <phoneticPr fontId="3" type="noConversion"/>
  </si>
  <si>
    <t>单套建筑面积</t>
    <phoneticPr fontId="3" type="noConversion"/>
  </si>
  <si>
    <t>进深比</t>
    <phoneticPr fontId="3" type="noConversion"/>
  </si>
  <si>
    <t>内部装修</t>
    <phoneticPr fontId="3" type="noConversion"/>
  </si>
  <si>
    <t>内部装修维护情况</t>
    <phoneticPr fontId="3" type="noConversion"/>
  </si>
  <si>
    <t>好</t>
    <phoneticPr fontId="3" type="noConversion"/>
  </si>
  <si>
    <t>较好</t>
    <phoneticPr fontId="3" type="noConversion"/>
  </si>
  <si>
    <t>较大</t>
    <phoneticPr fontId="3" type="noConversion"/>
  </si>
  <si>
    <t>1层</t>
    <phoneticPr fontId="3" type="noConversion"/>
  </si>
  <si>
    <t>备注：土地证对应的建筑物部位为其他小业主持有，企业无法提供剩余部分建筑面积，故无法分摊土地面积，已与信托沟通，按照上次的处理方式，不分摊土地面积</t>
    <phoneticPr fontId="1" type="noConversion"/>
  </si>
  <si>
    <t>钢混</t>
    <phoneticPr fontId="3" type="noConversion"/>
  </si>
  <si>
    <t>普装</t>
    <phoneticPr fontId="3" type="noConversion"/>
  </si>
  <si>
    <t>成新</t>
    <phoneticPr fontId="3" type="noConversion"/>
  </si>
  <si>
    <t>直线成新率</t>
    <phoneticPr fontId="3" type="noConversion"/>
  </si>
  <si>
    <t>观察成新率</t>
    <phoneticPr fontId="3" type="noConversion"/>
  </si>
  <si>
    <t>综合</t>
    <phoneticPr fontId="3" type="noConversion"/>
  </si>
  <si>
    <t>六通</t>
    <phoneticPr fontId="3" type="noConversion"/>
  </si>
  <si>
    <t>可餐饮</t>
    <phoneticPr fontId="3" type="noConversion"/>
  </si>
  <si>
    <t>标准层高</t>
    <phoneticPr fontId="3" type="noConversion"/>
  </si>
  <si>
    <t>凤凰大厦商铺</t>
    <phoneticPr fontId="3" type="noConversion"/>
  </si>
  <si>
    <t>30-35</t>
    <phoneticPr fontId="3" type="noConversion"/>
  </si>
  <si>
    <t>内铺</t>
    <phoneticPr fontId="3" type="noConversion"/>
  </si>
  <si>
    <t>内铺</t>
    <phoneticPr fontId="3" type="noConversion"/>
  </si>
  <si>
    <t>写字楼底商</t>
    <phoneticPr fontId="3" type="noConversion"/>
  </si>
  <si>
    <t>标准层高</t>
    <phoneticPr fontId="3" type="noConversion"/>
  </si>
  <si>
    <t>25-30</t>
    <phoneticPr fontId="3" type="noConversion"/>
  </si>
  <si>
    <t>1层</t>
    <phoneticPr fontId="3" type="noConversion"/>
  </si>
  <si>
    <t>钢混</t>
    <phoneticPr fontId="3" type="noConversion"/>
  </si>
  <si>
    <t>可餐饮</t>
    <phoneticPr fontId="3" type="noConversion"/>
  </si>
  <si>
    <t>标准层高</t>
    <phoneticPr fontId="3" type="noConversion"/>
  </si>
  <si>
    <t>总修正幅度不超过30%</t>
    <phoneticPr fontId="3" type="noConversion"/>
  </si>
  <si>
    <t>各修正结果之间不超过20%</t>
    <phoneticPr fontId="3" type="noConversion"/>
  </si>
  <si>
    <t>各案例间不超过30%</t>
    <phoneticPr fontId="3" type="noConversion"/>
  </si>
  <si>
    <t>安联大厦商铺</t>
    <phoneticPr fontId="3" type="noConversion"/>
  </si>
  <si>
    <t>不可餐饮</t>
    <phoneticPr fontId="3" type="noConversion"/>
  </si>
  <si>
    <t>五通</t>
    <phoneticPr fontId="3" type="noConversion"/>
  </si>
  <si>
    <t>标准层高</t>
    <phoneticPr fontId="3" type="noConversion"/>
  </si>
  <si>
    <t>凤凰大厦</t>
    <phoneticPr fontId="3" type="noConversion"/>
  </si>
  <si>
    <t>凤凰大厦</t>
    <phoneticPr fontId="3" type="noConversion"/>
  </si>
  <si>
    <t>安联大厦</t>
    <phoneticPr fontId="3" type="noConversion"/>
  </si>
  <si>
    <t>20-25</t>
    <phoneticPr fontId="3" type="noConversion"/>
  </si>
  <si>
    <t>15-20</t>
    <phoneticPr fontId="3" type="noConversion"/>
  </si>
  <si>
    <t>15以下</t>
    <phoneticPr fontId="3" type="noConversion"/>
  </si>
  <si>
    <t>精装</t>
    <phoneticPr fontId="3" type="noConversion"/>
  </si>
  <si>
    <t>精装</t>
    <phoneticPr fontId="3" type="noConversion"/>
  </si>
  <si>
    <t>95%-100%（含）</t>
    <phoneticPr fontId="3" type="noConversion"/>
  </si>
  <si>
    <t>90%-95%（含）</t>
    <phoneticPr fontId="3" type="noConversion"/>
  </si>
  <si>
    <t>85%-90%（含）</t>
    <phoneticPr fontId="3" type="noConversion"/>
  </si>
  <si>
    <t>80%-85%（含）</t>
    <phoneticPr fontId="3" type="noConversion"/>
  </si>
  <si>
    <t>75%-80%（含）</t>
    <phoneticPr fontId="3" type="noConversion"/>
  </si>
  <si>
    <t>70%-75%（含）</t>
    <phoneticPr fontId="3" type="noConversion"/>
  </si>
  <si>
    <t>&lt;100</t>
    <phoneticPr fontId="3" type="noConversion"/>
  </si>
  <si>
    <t>100-300（含）</t>
    <phoneticPr fontId="3" type="noConversion"/>
  </si>
  <si>
    <t>300-500（含）</t>
    <phoneticPr fontId="3" type="noConversion"/>
  </si>
  <si>
    <t>500-1000（含）</t>
    <phoneticPr fontId="3" type="noConversion"/>
  </si>
  <si>
    <t>1000-2000（含）</t>
    <phoneticPr fontId="3" type="noConversion"/>
  </si>
  <si>
    <t>2000-3000（含）</t>
    <phoneticPr fontId="3" type="noConversion"/>
  </si>
  <si>
    <t>3000-4000（含）</t>
    <phoneticPr fontId="3" type="noConversion"/>
  </si>
  <si>
    <t>家居商场</t>
    <phoneticPr fontId="1" type="noConversion"/>
  </si>
  <si>
    <t>直线折旧</t>
    <phoneticPr fontId="3" type="noConversion"/>
  </si>
  <si>
    <t>综合成新</t>
    <phoneticPr fontId="3" type="noConversion"/>
  </si>
  <si>
    <t>现值</t>
    <phoneticPr fontId="3" type="noConversion"/>
  </si>
  <si>
    <t>2018</t>
  </si>
  <si>
    <t>2019</t>
  </si>
  <si>
    <t>2020</t>
  </si>
  <si>
    <t>2016</t>
    <phoneticPr fontId="3" type="noConversion"/>
  </si>
  <si>
    <t>2017</t>
    <phoneticPr fontId="1" type="noConversion"/>
  </si>
  <si>
    <t>建成年代</t>
    <phoneticPr fontId="3" type="noConversion"/>
  </si>
  <si>
    <t>耐用年限</t>
    <phoneticPr fontId="3" type="noConversion"/>
  </si>
  <si>
    <t>1995</t>
    <phoneticPr fontId="3" type="noConversion"/>
  </si>
  <si>
    <t>分摊房地产价值</t>
    <phoneticPr fontId="1" type="noConversion"/>
  </si>
  <si>
    <t>单价</t>
    <phoneticPr fontId="1" type="noConversion"/>
  </si>
  <si>
    <t>临街状况</t>
    <phoneticPr fontId="3" type="noConversion"/>
  </si>
  <si>
    <t>不临街</t>
    <phoneticPr fontId="3" type="noConversion"/>
  </si>
  <si>
    <t>观察成新率</t>
    <phoneticPr fontId="3" type="noConversion"/>
  </si>
  <si>
    <t>两个抵押物总值</t>
    <phoneticPr fontId="1" type="noConversion"/>
  </si>
  <si>
    <t>抵押额</t>
    <phoneticPr fontId="1" type="noConversion"/>
  </si>
  <si>
    <t>内铺</t>
    <phoneticPr fontId="3" type="noConversion"/>
  </si>
  <si>
    <t>内铺</t>
    <phoneticPr fontId="3" type="noConversion"/>
  </si>
  <si>
    <t>较大</t>
    <phoneticPr fontId="3" type="noConversion"/>
  </si>
  <si>
    <t>平面位置</t>
    <phoneticPr fontId="1" type="noConversion"/>
  </si>
  <si>
    <t>内铺</t>
    <phoneticPr fontId="1" type="noConversion"/>
  </si>
  <si>
    <t>平面位置系数</t>
    <phoneticPr fontId="1" type="noConversion"/>
  </si>
  <si>
    <t>平面位置</t>
    <phoneticPr fontId="3" type="noConversion"/>
  </si>
  <si>
    <t>红线外基础设施水平</t>
    <phoneticPr fontId="3" type="noConversion"/>
  </si>
  <si>
    <t>用途</t>
    <phoneticPr fontId="3" type="noConversion"/>
  </si>
  <si>
    <t>一层B段</t>
    <phoneticPr fontId="1" type="noConversion"/>
  </si>
  <si>
    <t>一层C段</t>
    <phoneticPr fontId="1" type="noConversion"/>
  </si>
  <si>
    <t>二层B段</t>
    <phoneticPr fontId="1" type="noConversion"/>
  </si>
  <si>
    <t>三层ABC段</t>
    <phoneticPr fontId="1" type="noConversion"/>
  </si>
  <si>
    <t>四层ABCD段</t>
    <phoneticPr fontId="1" type="noConversion"/>
  </si>
  <si>
    <t>建筑面积</t>
    <phoneticPr fontId="1" type="noConversion"/>
  </si>
  <si>
    <t>部位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</si>
</sst>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DBNum2][$-804]General"/>
    <numFmt numFmtId="177" formatCode="0.000_);[Red]\(0.000\)"/>
    <numFmt numFmtId="178" formatCode="0_);[Red]\(0\)"/>
    <numFmt numFmtId="179" formatCode="0.00_ "/>
    <numFmt numFmtId="180" formatCode="0.0%"/>
    <numFmt numFmtId="181" formatCode="0.000%"/>
    <numFmt numFmtId="182" formatCode="0.000_ 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楷体_GB2312"/>
      <family val="3"/>
      <charset val="134"/>
    </font>
    <font>
      <sz val="11"/>
      <color rgb="FF000000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12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2"/>
      <color indexed="53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indexed="53"/>
      <name val="楷体_GB2312"/>
      <family val="3"/>
      <charset val="134"/>
    </font>
    <font>
      <b/>
      <sz val="16"/>
      <color indexed="8"/>
      <name val="宋体"/>
      <family val="3"/>
      <charset val="134"/>
    </font>
    <font>
      <sz val="10"/>
      <color rgb="FF000000"/>
      <name val="Simsun"/>
      <family val="1"/>
    </font>
    <font>
      <sz val="12"/>
      <color theme="1"/>
      <name val="宋体"/>
      <family val="3"/>
      <charset val="134"/>
      <scheme val="minor"/>
    </font>
    <font>
      <b/>
      <sz val="10"/>
      <color rgb="FFFF000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theme="1"/>
      <name val="楷体_GB2312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176" fontId="0" fillId="0" borderId="0">
      <alignment vertical="center"/>
    </xf>
    <xf numFmtId="176" fontId="18" fillId="0" borderId="0">
      <alignment vertical="center"/>
    </xf>
    <xf numFmtId="176" fontId="18" fillId="0" borderId="0">
      <alignment vertical="center"/>
    </xf>
  </cellStyleXfs>
  <cellXfs count="289">
    <xf numFmtId="176" fontId="0" fillId="0" borderId="0" xfId="0">
      <alignment vertical="center"/>
    </xf>
    <xf numFmtId="176" fontId="5" fillId="0" borderId="2" xfId="0" applyFont="1" applyBorder="1" applyAlignment="1">
      <alignment horizontal="center" vertical="center" wrapText="1"/>
    </xf>
    <xf numFmtId="176" fontId="5" fillId="0" borderId="3" xfId="0" applyFont="1" applyBorder="1" applyAlignment="1">
      <alignment horizontal="center" vertical="center" wrapText="1"/>
    </xf>
    <xf numFmtId="176" fontId="4" fillId="0" borderId="5" xfId="0" applyFont="1" applyBorder="1" applyAlignment="1">
      <alignment horizontal="center" vertical="center" wrapText="1"/>
    </xf>
    <xf numFmtId="176" fontId="4" fillId="0" borderId="8" xfId="0" applyFont="1" applyBorder="1" applyAlignment="1">
      <alignment horizontal="center" vertical="center" wrapText="1"/>
    </xf>
    <xf numFmtId="176" fontId="0" fillId="0" borderId="8" xfId="0" applyBorder="1">
      <alignment vertical="center"/>
    </xf>
    <xf numFmtId="2" fontId="4" fillId="0" borderId="0" xfId="0" applyNumberFormat="1" applyFont="1" applyAlignment="1">
      <alignment vertical="center" wrapText="1"/>
    </xf>
    <xf numFmtId="176" fontId="4" fillId="0" borderId="0" xfId="0" applyFont="1" applyAlignment="1">
      <alignment vertical="center" wrapText="1"/>
    </xf>
    <xf numFmtId="176" fontId="0" fillId="0" borderId="0" xfId="0">
      <alignment vertical="center"/>
    </xf>
    <xf numFmtId="176" fontId="0" fillId="0" borderId="5" xfId="0" applyBorder="1">
      <alignment vertical="center"/>
    </xf>
    <xf numFmtId="176" fontId="0" fillId="0" borderId="5" xfId="0" applyBorder="1" applyAlignment="1">
      <alignment horizontal="center" vertical="center" wrapText="1"/>
    </xf>
    <xf numFmtId="182" fontId="24" fillId="0" borderId="5" xfId="0" applyNumberFormat="1" applyFont="1" applyBorder="1" applyAlignment="1">
      <alignment horizontal="center"/>
    </xf>
    <xf numFmtId="176" fontId="24" fillId="0" borderId="5" xfId="0" applyFont="1" applyBorder="1" applyAlignment="1">
      <alignment horizontal="center"/>
    </xf>
    <xf numFmtId="182" fontId="24" fillId="0" borderId="5" xfId="0" applyNumberFormat="1" applyFont="1" applyFill="1" applyBorder="1" applyAlignment="1">
      <alignment horizontal="center"/>
    </xf>
    <xf numFmtId="176" fontId="24" fillId="0" borderId="0" xfId="0" applyFont="1" applyAlignment="1">
      <alignment horizontal="center"/>
    </xf>
    <xf numFmtId="176" fontId="26" fillId="0" borderId="0" xfId="0" applyFont="1" applyAlignment="1">
      <alignment horizontal="center"/>
    </xf>
    <xf numFmtId="176" fontId="27" fillId="0" borderId="0" xfId="0" applyFont="1" applyAlignment="1">
      <alignment horizontal="center"/>
    </xf>
    <xf numFmtId="176" fontId="28" fillId="0" borderId="0" xfId="0" applyFont="1" applyAlignment="1">
      <alignment horizontal="center"/>
    </xf>
    <xf numFmtId="176" fontId="0" fillId="0" borderId="0" xfId="0" applyAlignment="1"/>
    <xf numFmtId="176" fontId="0" fillId="0" borderId="0" xfId="0" applyFill="1" applyAlignment="1"/>
    <xf numFmtId="176" fontId="15" fillId="0" borderId="5" xfId="0" applyFont="1" applyFill="1" applyBorder="1" applyAlignment="1">
      <alignment horizontal="center" vertical="center"/>
    </xf>
    <xf numFmtId="176" fontId="15" fillId="0" borderId="5" xfId="0" applyFont="1" applyFill="1" applyBorder="1" applyAlignment="1">
      <alignment horizontal="left" vertical="center"/>
    </xf>
    <xf numFmtId="176" fontId="17" fillId="5" borderId="5" xfId="0" applyFont="1" applyFill="1" applyBorder="1" applyAlignment="1">
      <alignment horizontal="left"/>
    </xf>
    <xf numFmtId="178" fontId="17" fillId="5" borderId="5" xfId="0" applyNumberFormat="1" applyFont="1" applyFill="1" applyBorder="1" applyAlignment="1">
      <alignment horizontal="center"/>
    </xf>
    <xf numFmtId="176" fontId="0" fillId="5" borderId="5" xfId="0" applyFill="1" applyBorder="1" applyAlignment="1"/>
    <xf numFmtId="176" fontId="17" fillId="5" borderId="5" xfId="0" applyFont="1" applyFill="1" applyBorder="1" applyAlignment="1">
      <alignment vertical="center" wrapText="1"/>
    </xf>
    <xf numFmtId="10" fontId="17" fillId="5" borderId="5" xfId="0" applyNumberFormat="1" applyFont="1" applyFill="1" applyBorder="1" applyAlignment="1">
      <alignment horizontal="center"/>
    </xf>
    <xf numFmtId="9" fontId="17" fillId="5" borderId="5" xfId="0" applyNumberFormat="1" applyFont="1" applyFill="1" applyBorder="1" applyAlignment="1">
      <alignment horizontal="center"/>
    </xf>
    <xf numFmtId="176" fontId="19" fillId="5" borderId="5" xfId="0" applyFont="1" applyFill="1" applyBorder="1" applyAlignment="1"/>
    <xf numFmtId="9" fontId="19" fillId="5" borderId="5" xfId="0" applyNumberFormat="1" applyFont="1" applyFill="1" applyBorder="1" applyAlignment="1">
      <alignment horizontal="center"/>
    </xf>
    <xf numFmtId="176" fontId="21" fillId="0" borderId="0" xfId="0" applyFont="1" applyAlignment="1"/>
    <xf numFmtId="49" fontId="15" fillId="0" borderId="5" xfId="0" applyNumberFormat="1" applyFont="1" applyFill="1" applyBorder="1" applyAlignment="1">
      <alignment horizontal="center" vertical="center"/>
    </xf>
    <xf numFmtId="179" fontId="15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left" vertical="center"/>
    </xf>
    <xf numFmtId="176" fontId="14" fillId="0" borderId="5" xfId="0" applyFont="1" applyFill="1" applyBorder="1" applyAlignment="1">
      <alignment horizontal="left" vertical="center"/>
    </xf>
    <xf numFmtId="49" fontId="15" fillId="0" borderId="5" xfId="0" applyNumberFormat="1" applyFont="1" applyFill="1" applyBorder="1" applyAlignment="1">
      <alignment horizontal="left" vertical="center"/>
    </xf>
    <xf numFmtId="180" fontId="15" fillId="0" borderId="5" xfId="0" applyNumberFormat="1" applyFont="1" applyFill="1" applyBorder="1" applyAlignment="1">
      <alignment horizontal="center" vertical="center"/>
    </xf>
    <xf numFmtId="10" fontId="15" fillId="0" borderId="5" xfId="0" applyNumberFormat="1" applyFont="1" applyFill="1" applyBorder="1" applyAlignment="1">
      <alignment horizontal="center" vertical="center"/>
    </xf>
    <xf numFmtId="181" fontId="15" fillId="0" borderId="5" xfId="0" applyNumberFormat="1" applyFont="1" applyFill="1" applyBorder="1" applyAlignment="1">
      <alignment horizontal="center" vertical="center"/>
    </xf>
    <xf numFmtId="176" fontId="14" fillId="0" borderId="5" xfId="0" applyFont="1" applyFill="1" applyBorder="1" applyAlignment="1">
      <alignment horizontal="left" vertical="center" wrapText="1"/>
    </xf>
    <xf numFmtId="176" fontId="14" fillId="0" borderId="0" xfId="0" applyFont="1" applyFill="1" applyBorder="1" applyAlignment="1">
      <alignment horizontal="left" vertical="center"/>
    </xf>
    <xf numFmtId="176" fontId="14" fillId="0" borderId="0" xfId="0" applyFont="1" applyFill="1" applyBorder="1" applyAlignment="1">
      <alignment horizontal="center" vertical="center"/>
    </xf>
    <xf numFmtId="176" fontId="16" fillId="0" borderId="0" xfId="0" applyFont="1" applyFill="1" applyBorder="1" applyAlignment="1">
      <alignment horizontal="left" vertical="center"/>
    </xf>
    <xf numFmtId="176" fontId="15" fillId="0" borderId="0" xfId="0" applyFont="1" applyFill="1" applyBorder="1" applyAlignment="1">
      <alignment horizontal="left" vertical="center"/>
    </xf>
    <xf numFmtId="179" fontId="15" fillId="0" borderId="0" xfId="0" applyNumberFormat="1" applyFont="1" applyFill="1" applyBorder="1" applyAlignment="1">
      <alignment horizontal="center" vertical="center"/>
    </xf>
    <xf numFmtId="176" fontId="29" fillId="0" borderId="0" xfId="0" applyFont="1" applyAlignment="1"/>
    <xf numFmtId="49" fontId="14" fillId="0" borderId="0" xfId="0" applyNumberFormat="1" applyFont="1" applyFill="1" applyBorder="1" applyAlignment="1">
      <alignment horizontal="left" vertical="center"/>
    </xf>
    <xf numFmtId="176" fontId="21" fillId="0" borderId="0" xfId="0" applyFont="1" applyFill="1" applyAlignment="1"/>
    <xf numFmtId="176" fontId="30" fillId="0" borderId="0" xfId="0" applyFont="1" applyAlignment="1">
      <alignment horizontal="left" vertical="center"/>
    </xf>
    <xf numFmtId="176" fontId="12" fillId="0" borderId="0" xfId="0" applyFont="1" applyAlignment="1">
      <alignment vertical="center"/>
    </xf>
    <xf numFmtId="9" fontId="17" fillId="11" borderId="5" xfId="0" applyNumberFormat="1" applyFont="1" applyFill="1" applyBorder="1" applyAlignment="1">
      <alignment horizontal="center"/>
    </xf>
    <xf numFmtId="176" fontId="24" fillId="0" borderId="0" xfId="0" applyFont="1" applyAlignment="1"/>
    <xf numFmtId="177" fontId="24" fillId="0" borderId="11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/>
    </xf>
    <xf numFmtId="176" fontId="24" fillId="0" borderId="5" xfId="0" applyFont="1" applyBorder="1" applyAlignment="1">
      <alignment horizontal="left"/>
    </xf>
    <xf numFmtId="176" fontId="24" fillId="0" borderId="12" xfId="0" applyFont="1" applyBorder="1" applyAlignment="1"/>
    <xf numFmtId="177" fontId="24" fillId="0" borderId="11" xfId="0" applyNumberFormat="1" applyFont="1" applyFill="1" applyBorder="1" applyAlignment="1">
      <alignment horizontal="right"/>
    </xf>
    <xf numFmtId="49" fontId="24" fillId="0" borderId="12" xfId="0" applyNumberFormat="1" applyFont="1" applyFill="1" applyBorder="1" applyAlignment="1">
      <alignment horizontal="left"/>
    </xf>
    <xf numFmtId="176" fontId="24" fillId="0" borderId="12" xfId="0" applyFont="1" applyFill="1" applyBorder="1" applyAlignment="1"/>
    <xf numFmtId="176" fontId="24" fillId="0" borderId="0" xfId="0" applyFont="1" applyFill="1" applyAlignment="1"/>
    <xf numFmtId="176" fontId="24" fillId="9" borderId="0" xfId="0" applyFont="1" applyFill="1" applyAlignment="1"/>
    <xf numFmtId="176" fontId="24" fillId="0" borderId="0" xfId="0" applyFont="1" applyAlignment="1">
      <alignment horizontal="left" vertical="center"/>
    </xf>
    <xf numFmtId="176" fontId="26" fillId="0" borderId="0" xfId="0" applyFont="1" applyAlignment="1"/>
    <xf numFmtId="176" fontId="26" fillId="9" borderId="0" xfId="0" applyFont="1" applyFill="1" applyAlignment="1"/>
    <xf numFmtId="176" fontId="26" fillId="0" borderId="0" xfId="0" applyFont="1" applyAlignment="1">
      <alignment horizontal="left" vertical="center"/>
    </xf>
    <xf numFmtId="176" fontId="26" fillId="0" borderId="0" xfId="0" applyFont="1" applyFill="1" applyAlignment="1"/>
    <xf numFmtId="176" fontId="28" fillId="0" borderId="0" xfId="0" applyFont="1" applyAlignment="1"/>
    <xf numFmtId="176" fontId="0" fillId="0" borderId="24" xfId="0" applyBorder="1" applyAlignment="1">
      <alignment horizontal="center" vertical="center"/>
    </xf>
    <xf numFmtId="176" fontId="24" fillId="2" borderId="0" xfId="0" applyFont="1" applyFill="1" applyAlignment="1"/>
    <xf numFmtId="176" fontId="0" fillId="0" borderId="5" xfId="0" applyBorder="1" applyAlignment="1">
      <alignment horizontal="center" vertical="center"/>
    </xf>
    <xf numFmtId="176" fontId="7" fillId="0" borderId="5" xfId="0" applyFont="1" applyBorder="1" applyAlignment="1">
      <alignment horizontal="center" vertical="center" wrapText="1"/>
    </xf>
    <xf numFmtId="176" fontId="0" fillId="0" borderId="0" xfId="0" applyFill="1" applyBorder="1" applyAlignment="1"/>
    <xf numFmtId="176" fontId="15" fillId="0" borderId="0" xfId="0" applyFont="1" applyFill="1" applyBorder="1" applyAlignment="1">
      <alignment horizontal="center" vertical="center"/>
    </xf>
    <xf numFmtId="176" fontId="0" fillId="2" borderId="0" xfId="0" applyFill="1" applyAlignment="1"/>
    <xf numFmtId="176" fontId="0" fillId="0" borderId="5" xfId="0" applyFont="1" applyBorder="1" applyAlignment="1">
      <alignment horizontal="center" vertical="center"/>
    </xf>
    <xf numFmtId="176" fontId="31" fillId="0" borderId="3" xfId="0" applyFont="1" applyBorder="1">
      <alignment vertical="center"/>
    </xf>
    <xf numFmtId="176" fontId="31" fillId="0" borderId="6" xfId="0" applyFont="1" applyBorder="1">
      <alignment vertical="center"/>
    </xf>
    <xf numFmtId="176" fontId="31" fillId="0" borderId="9" xfId="0" applyFont="1" applyBorder="1">
      <alignment vertical="center"/>
    </xf>
    <xf numFmtId="9" fontId="0" fillId="0" borderId="5" xfId="0" applyNumberFormat="1" applyBorder="1">
      <alignment vertical="center"/>
    </xf>
    <xf numFmtId="176" fontId="24" fillId="0" borderId="5" xfId="0" applyFont="1" applyFill="1" applyBorder="1" applyAlignment="1">
      <alignment horizontal="center"/>
    </xf>
    <xf numFmtId="176" fontId="24" fillId="0" borderId="5" xfId="0" applyFont="1" applyFill="1" applyBorder="1" applyAlignment="1">
      <alignment horizontal="left"/>
    </xf>
    <xf numFmtId="9" fontId="0" fillId="0" borderId="0" xfId="0" applyNumberFormat="1" applyAlignment="1"/>
    <xf numFmtId="9" fontId="15" fillId="0" borderId="5" xfId="0" applyNumberFormat="1" applyFont="1" applyFill="1" applyBorder="1" applyAlignment="1">
      <alignment horizontal="center" vertical="center"/>
    </xf>
    <xf numFmtId="176" fontId="0" fillId="0" borderId="24" xfId="0" applyBorder="1" applyAlignment="1">
      <alignment horizontal="right" vertical="center"/>
    </xf>
    <xf numFmtId="0" fontId="0" fillId="0" borderId="5" xfId="0" applyNumberFormat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5" xfId="0" applyNumberFormat="1" applyBorder="1">
      <alignment vertical="center"/>
    </xf>
    <xf numFmtId="0" fontId="0" fillId="0" borderId="8" xfId="0" applyNumberFormat="1" applyBorder="1">
      <alignment vertical="center"/>
    </xf>
    <xf numFmtId="0" fontId="25" fillId="6" borderId="12" xfId="0" applyNumberFormat="1" applyFont="1" applyFill="1" applyBorder="1" applyAlignment="1">
      <alignment horizontal="center" vertical="center"/>
    </xf>
    <xf numFmtId="0" fontId="25" fillId="12" borderId="12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176" fontId="28" fillId="0" borderId="0" xfId="0" applyFont="1" applyFill="1" applyAlignment="1">
      <alignment horizontal="center"/>
    </xf>
    <xf numFmtId="176" fontId="15" fillId="0" borderId="5" xfId="0" applyFont="1" applyFill="1" applyBorder="1" applyAlignment="1">
      <alignment horizontal="center" vertical="center"/>
    </xf>
    <xf numFmtId="176" fontId="15" fillId="0" borderId="5" xfId="0" applyFont="1" applyFill="1" applyBorder="1" applyAlignment="1">
      <alignment horizontal="left" vertical="center"/>
    </xf>
    <xf numFmtId="176" fontId="16" fillId="0" borderId="5" xfId="0" applyFont="1" applyFill="1" applyBorder="1" applyAlignment="1">
      <alignment horizontal="left" vertical="center"/>
    </xf>
    <xf numFmtId="176" fontId="16" fillId="0" borderId="5" xfId="0" applyFont="1" applyFill="1" applyBorder="1" applyAlignment="1">
      <alignment horizontal="center" vertical="center"/>
    </xf>
    <xf numFmtId="176" fontId="16" fillId="0" borderId="5" xfId="0" applyFont="1" applyFill="1" applyBorder="1" applyAlignment="1">
      <alignment horizontal="left" vertical="center" wrapText="1"/>
    </xf>
    <xf numFmtId="176" fontId="12" fillId="2" borderId="0" xfId="0" applyFont="1" applyFill="1" applyAlignment="1">
      <alignment horizontal="center" vertical="center"/>
    </xf>
    <xf numFmtId="176" fontId="16" fillId="0" borderId="5" xfId="0" applyFont="1" applyFill="1" applyBorder="1" applyAlignment="1">
      <alignment horizontal="center" vertical="center" wrapText="1"/>
    </xf>
    <xf numFmtId="176" fontId="0" fillId="0" borderId="5" xfId="0" applyBorder="1" applyAlignment="1">
      <alignment horizontal="center" vertical="center"/>
    </xf>
    <xf numFmtId="176" fontId="0" fillId="0" borderId="0" xfId="0" applyFill="1" applyAlignment="1"/>
    <xf numFmtId="176" fontId="0" fillId="0" borderId="5" xfId="0" applyBorder="1" applyAlignment="1">
      <alignment horizontal="center" vertical="center" wrapText="1"/>
    </xf>
    <xf numFmtId="176" fontId="10" fillId="0" borderId="0" xfId="0" applyFont="1" applyAlignment="1">
      <alignment horizontal="left" vertical="center" wrapText="1"/>
    </xf>
    <xf numFmtId="0" fontId="25" fillId="6" borderId="0" xfId="0" applyNumberFormat="1" applyFont="1" applyFill="1" applyBorder="1" applyAlignment="1">
      <alignment horizontal="center" vertical="center"/>
    </xf>
    <xf numFmtId="0" fontId="25" fillId="12" borderId="0" xfId="0" applyNumberFormat="1" applyFont="1" applyFill="1" applyBorder="1" applyAlignment="1">
      <alignment horizontal="center" vertical="center"/>
    </xf>
    <xf numFmtId="0" fontId="25" fillId="0" borderId="5" xfId="0" applyNumberFormat="1" applyFont="1" applyBorder="1" applyAlignment="1">
      <alignment horizontal="center"/>
    </xf>
    <xf numFmtId="0" fontId="25" fillId="0" borderId="5" xfId="0" applyNumberFormat="1" applyFont="1" applyFill="1" applyBorder="1" applyAlignment="1">
      <alignment horizontal="center"/>
    </xf>
    <xf numFmtId="0" fontId="25" fillId="0" borderId="5" xfId="0" applyNumberFormat="1" applyFont="1" applyFill="1" applyBorder="1" applyAlignment="1">
      <alignment horizontal="center" wrapText="1"/>
    </xf>
    <xf numFmtId="0" fontId="24" fillId="0" borderId="0" xfId="0" applyNumberFormat="1" applyFont="1" applyAlignment="1"/>
    <xf numFmtId="0" fontId="24" fillId="0" borderId="0" xfId="0" applyNumberFormat="1" applyFont="1" applyAlignment="1">
      <alignment horizontal="center"/>
    </xf>
    <xf numFmtId="0" fontId="24" fillId="0" borderId="0" xfId="0" applyNumberFormat="1" applyFont="1" applyFill="1" applyAlignment="1"/>
    <xf numFmtId="0" fontId="26" fillId="0" borderId="0" xfId="0" applyNumberFormat="1" applyFont="1" applyAlignment="1">
      <alignment horizontal="center"/>
    </xf>
    <xf numFmtId="0" fontId="27" fillId="0" borderId="0" xfId="0" applyNumberFormat="1" applyFont="1" applyAlignment="1">
      <alignment horizontal="center"/>
    </xf>
    <xf numFmtId="0" fontId="26" fillId="0" borderId="0" xfId="0" applyNumberFormat="1" applyFont="1" applyAlignment="1"/>
    <xf numFmtId="0" fontId="26" fillId="0" borderId="0" xfId="0" applyNumberFormat="1" applyFont="1" applyFill="1" applyAlignment="1">
      <alignment horizontal="center"/>
    </xf>
    <xf numFmtId="0" fontId="26" fillId="0" borderId="0" xfId="0" applyNumberFormat="1" applyFont="1" applyFill="1" applyAlignment="1"/>
    <xf numFmtId="9" fontId="24" fillId="0" borderId="5" xfId="0" applyNumberFormat="1" applyFont="1" applyFill="1" applyBorder="1" applyAlignment="1">
      <alignment horizontal="center" vertical="center"/>
    </xf>
    <xf numFmtId="0" fontId="24" fillId="7" borderId="0" xfId="0" applyNumberFormat="1" applyFont="1" applyFill="1" applyBorder="1" applyAlignment="1">
      <alignment horizontal="center" vertical="center" textRotation="255" wrapText="1"/>
    </xf>
    <xf numFmtId="0" fontId="25" fillId="0" borderId="0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2" borderId="5" xfId="0" applyNumberFormat="1" applyFont="1" applyFill="1" applyBorder="1" applyAlignment="1">
      <alignment horizontal="center" vertical="center"/>
    </xf>
    <xf numFmtId="0" fontId="32" fillId="0" borderId="5" xfId="0" applyNumberFormat="1" applyFont="1" applyFill="1" applyBorder="1" applyAlignment="1">
      <alignment horizontal="center" vertical="center"/>
    </xf>
    <xf numFmtId="180" fontId="14" fillId="0" borderId="5" xfId="0" applyNumberFormat="1" applyFont="1" applyFill="1" applyBorder="1" applyAlignment="1">
      <alignment horizontal="center" vertical="center"/>
    </xf>
    <xf numFmtId="176" fontId="4" fillId="0" borderId="5" xfId="0" applyFont="1" applyBorder="1" applyAlignment="1">
      <alignment vertical="center"/>
    </xf>
    <xf numFmtId="180" fontId="4" fillId="0" borderId="5" xfId="0" applyNumberFormat="1" applyFont="1" applyBorder="1" applyAlignment="1">
      <alignment horizontal="center" vertical="center"/>
    </xf>
    <xf numFmtId="176" fontId="35" fillId="0" borderId="0" xfId="0" applyFont="1" applyAlignment="1">
      <alignment vertical="center"/>
    </xf>
    <xf numFmtId="180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76" fontId="0" fillId="0" borderId="5" xfId="0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32" fillId="2" borderId="5" xfId="0" applyNumberFormat="1" applyFont="1" applyFill="1" applyBorder="1" applyAlignment="1">
      <alignment horizontal="center" vertical="center"/>
    </xf>
    <xf numFmtId="176" fontId="0" fillId="0" borderId="5" xfId="0" applyBorder="1" applyAlignment="1">
      <alignment horizontal="center" vertical="center"/>
    </xf>
    <xf numFmtId="176" fontId="10" fillId="0" borderId="0" xfId="0" applyFont="1" applyAlignment="1">
      <alignment horizontal="left" vertical="center" wrapText="1"/>
    </xf>
    <xf numFmtId="176" fontId="0" fillId="0" borderId="5" xfId="0" applyBorder="1" applyAlignment="1">
      <alignment horizontal="right" vertical="center"/>
    </xf>
    <xf numFmtId="176" fontId="0" fillId="0" borderId="5" xfId="0" applyBorder="1" applyAlignment="1">
      <alignment horizontal="center" vertical="center"/>
    </xf>
    <xf numFmtId="176" fontId="0" fillId="0" borderId="13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9" fillId="0" borderId="5" xfId="0" applyFont="1" applyBorder="1" applyAlignment="1">
      <alignment horizontal="center" vertical="center" wrapText="1"/>
    </xf>
    <xf numFmtId="176" fontId="7" fillId="0" borderId="5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6" fillId="2" borderId="10" xfId="0" applyFont="1" applyFill="1" applyBorder="1" applyAlignment="1">
      <alignment horizontal="center" vertical="center"/>
    </xf>
    <xf numFmtId="176" fontId="6" fillId="0" borderId="16" xfId="0" applyFont="1" applyFill="1" applyBorder="1" applyAlignment="1">
      <alignment horizontal="center" vertical="center"/>
    </xf>
    <xf numFmtId="176" fontId="6" fillId="0" borderId="5" xfId="0" applyFont="1" applyFill="1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4" xfId="0" applyBorder="1" applyAlignment="1">
      <alignment horizontal="center" vertical="center" wrapText="1"/>
    </xf>
    <xf numFmtId="176" fontId="0" fillId="0" borderId="7" xfId="0" applyBorder="1" applyAlignment="1">
      <alignment horizontal="center" vertical="center" wrapText="1"/>
    </xf>
    <xf numFmtId="176" fontId="31" fillId="0" borderId="2" xfId="0" applyFont="1" applyBorder="1" applyAlignment="1">
      <alignment horizontal="center" vertical="center"/>
    </xf>
    <xf numFmtId="176" fontId="31" fillId="0" borderId="5" xfId="0" applyFont="1" applyBorder="1" applyAlignment="1">
      <alignment horizontal="center" vertical="center"/>
    </xf>
    <xf numFmtId="176" fontId="31" fillId="0" borderId="8" xfId="0" applyFont="1" applyBorder="1" applyAlignment="1">
      <alignment horizontal="center" vertical="center"/>
    </xf>
    <xf numFmtId="176" fontId="0" fillId="0" borderId="25" xfId="0" applyBorder="1" applyAlignment="1">
      <alignment horizontal="center" vertical="center"/>
    </xf>
    <xf numFmtId="176" fontId="0" fillId="0" borderId="26" xfId="0" applyBorder="1" applyAlignment="1">
      <alignment horizontal="center" vertical="center"/>
    </xf>
    <xf numFmtId="176" fontId="0" fillId="0" borderId="27" xfId="0" applyBorder="1" applyAlignment="1">
      <alignment horizontal="center" vertical="center"/>
    </xf>
    <xf numFmtId="176" fontId="0" fillId="0" borderId="1" xfId="0" applyFont="1" applyBorder="1" applyAlignment="1">
      <alignment horizontal="center" vertical="center" wrapText="1"/>
    </xf>
    <xf numFmtId="176" fontId="0" fillId="0" borderId="4" xfId="0" applyFont="1" applyBorder="1" applyAlignment="1">
      <alignment horizontal="center" vertical="center" wrapText="1"/>
    </xf>
    <xf numFmtId="176" fontId="0" fillId="0" borderId="7" xfId="0" applyFont="1" applyBorder="1" applyAlignment="1">
      <alignment horizontal="center" vertical="center" wrapText="1"/>
    </xf>
    <xf numFmtId="176" fontId="31" fillId="0" borderId="2" xfId="0" applyFont="1" applyBorder="1" applyAlignment="1">
      <alignment horizontal="center" vertical="center" wrapText="1"/>
    </xf>
    <xf numFmtId="176" fontId="31" fillId="0" borderId="5" xfId="0" applyFont="1" applyBorder="1" applyAlignment="1">
      <alignment horizontal="center" vertical="center" wrapText="1"/>
    </xf>
    <xf numFmtId="176" fontId="31" fillId="0" borderId="8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4" fillId="0" borderId="4" xfId="0" applyFont="1" applyBorder="1" applyAlignment="1">
      <alignment horizontal="center" vertical="center" wrapText="1"/>
    </xf>
    <xf numFmtId="176" fontId="4" fillId="0" borderId="7" xfId="0" applyFont="1" applyBorder="1" applyAlignment="1">
      <alignment horizontal="center" vertical="center" wrapText="1"/>
    </xf>
    <xf numFmtId="176" fontId="5" fillId="3" borderId="5" xfId="0" applyFont="1" applyFill="1" applyBorder="1" applyAlignment="1">
      <alignment horizontal="center" vertical="center" wrapText="1"/>
    </xf>
    <xf numFmtId="176" fontId="5" fillId="3" borderId="8" xfId="0" applyFont="1" applyFill="1" applyBorder="1" applyAlignment="1">
      <alignment horizontal="center" vertical="center" wrapText="1"/>
    </xf>
    <xf numFmtId="176" fontId="5" fillId="0" borderId="6" xfId="0" applyFont="1" applyBorder="1" applyAlignment="1">
      <alignment horizontal="center" vertical="center" wrapText="1"/>
    </xf>
    <xf numFmtId="176" fontId="5" fillId="0" borderId="9" xfId="0" applyFont="1" applyBorder="1" applyAlignment="1">
      <alignment horizontal="center" vertical="center" wrapText="1"/>
    </xf>
    <xf numFmtId="176" fontId="2" fillId="2" borderId="0" xfId="0" applyFont="1" applyFill="1" applyBorder="1" applyAlignment="1">
      <alignment horizontal="center" vertical="center" wrapText="1"/>
    </xf>
    <xf numFmtId="176" fontId="0" fillId="0" borderId="14" xfId="0" applyBorder="1" applyAlignment="1">
      <alignment horizontal="center" vertical="center"/>
    </xf>
    <xf numFmtId="176" fontId="0" fillId="0" borderId="5" xfId="0" applyFon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176" fontId="0" fillId="0" borderId="14" xfId="0" applyBorder="1" applyAlignment="1">
      <alignment horizontal="center" vertical="center" wrapText="1"/>
    </xf>
    <xf numFmtId="176" fontId="0" fillId="0" borderId="15" xfId="0" applyBorder="1" applyAlignment="1">
      <alignment horizontal="center" vertical="center" wrapText="1"/>
    </xf>
    <xf numFmtId="176" fontId="0" fillId="0" borderId="16" xfId="0" applyBorder="1" applyAlignment="1">
      <alignment horizontal="center" vertical="center" wrapText="1"/>
    </xf>
    <xf numFmtId="176" fontId="0" fillId="0" borderId="15" xfId="0" applyBorder="1" applyAlignment="1">
      <alignment horizontal="center" vertical="center"/>
    </xf>
    <xf numFmtId="176" fontId="0" fillId="0" borderId="16" xfId="0" applyBorder="1" applyAlignment="1">
      <alignment horizontal="center" vertical="center"/>
    </xf>
    <xf numFmtId="176" fontId="0" fillId="0" borderId="11" xfId="0" applyBorder="1" applyAlignment="1">
      <alignment horizontal="center" vertical="center"/>
    </xf>
    <xf numFmtId="176" fontId="0" fillId="0" borderId="12" xfId="0" applyBorder="1" applyAlignment="1">
      <alignment horizontal="center" vertical="center"/>
    </xf>
    <xf numFmtId="176" fontId="28" fillId="0" borderId="0" xfId="0" applyFont="1" applyFill="1" applyAlignment="1">
      <alignment horizontal="center"/>
    </xf>
    <xf numFmtId="176" fontId="24" fillId="0" borderId="11" xfId="0" applyFont="1" applyFill="1" applyBorder="1" applyAlignment="1">
      <alignment horizontal="center"/>
    </xf>
    <xf numFmtId="176" fontId="24" fillId="0" borderId="12" xfId="0" applyFont="1" applyFill="1" applyBorder="1" applyAlignment="1">
      <alignment horizontal="center"/>
    </xf>
    <xf numFmtId="0" fontId="24" fillId="0" borderId="0" xfId="0" applyNumberFormat="1" applyFont="1" applyFill="1" applyAlignment="1">
      <alignment horizontal="center"/>
    </xf>
    <xf numFmtId="176" fontId="13" fillId="0" borderId="5" xfId="0" applyFont="1" applyBorder="1" applyAlignment="1">
      <alignment horizontal="center" vertical="center"/>
    </xf>
    <xf numFmtId="178" fontId="13" fillId="0" borderId="5" xfId="0" applyNumberFormat="1" applyFont="1" applyBorder="1" applyAlignment="1">
      <alignment horizontal="center" vertical="center"/>
    </xf>
    <xf numFmtId="0" fontId="24" fillId="0" borderId="0" xfId="0" applyNumberFormat="1" applyFont="1" applyAlignment="1">
      <alignment horizontal="center"/>
    </xf>
    <xf numFmtId="176" fontId="13" fillId="0" borderId="5" xfId="0" applyFont="1" applyFill="1" applyBorder="1" applyAlignment="1">
      <alignment horizontal="center"/>
    </xf>
    <xf numFmtId="0" fontId="24" fillId="0" borderId="11" xfId="0" applyNumberFormat="1" applyFont="1" applyBorder="1" applyAlignment="1">
      <alignment horizontal="center"/>
    </xf>
    <xf numFmtId="0" fontId="24" fillId="0" borderId="12" xfId="0" applyNumberFormat="1" applyFont="1" applyBorder="1" applyAlignment="1">
      <alignment horizontal="center"/>
    </xf>
    <xf numFmtId="178" fontId="24" fillId="0" borderId="5" xfId="0" applyNumberFormat="1" applyFont="1" applyFill="1" applyBorder="1" applyAlignment="1">
      <alignment horizontal="center"/>
    </xf>
    <xf numFmtId="0" fontId="24" fillId="7" borderId="5" xfId="0" applyNumberFormat="1" applyFont="1" applyFill="1" applyBorder="1" applyAlignment="1">
      <alignment horizontal="center" vertical="center" wrapText="1"/>
    </xf>
    <xf numFmtId="176" fontId="24" fillId="7" borderId="5" xfId="0" applyFont="1" applyFill="1" applyBorder="1" applyAlignment="1">
      <alignment horizontal="center" vertical="center" wrapText="1"/>
    </xf>
    <xf numFmtId="0" fontId="24" fillId="0" borderId="11" xfId="0" applyNumberFormat="1" applyFont="1" applyBorder="1" applyAlignment="1">
      <alignment horizontal="center" vertical="center"/>
    </xf>
    <xf numFmtId="0" fontId="24" fillId="0" borderId="12" xfId="0" applyNumberFormat="1" applyFont="1" applyBorder="1" applyAlignment="1">
      <alignment horizontal="center" vertical="center"/>
    </xf>
    <xf numFmtId="176" fontId="24" fillId="0" borderId="11" xfId="0" applyFont="1" applyBorder="1" applyAlignment="1">
      <alignment horizontal="center"/>
    </xf>
    <xf numFmtId="176" fontId="24" fillId="0" borderId="19" xfId="0" applyFont="1" applyBorder="1" applyAlignment="1">
      <alignment horizontal="center"/>
    </xf>
    <xf numFmtId="176" fontId="24" fillId="0" borderId="12" xfId="0" applyFont="1" applyBorder="1" applyAlignment="1">
      <alignment horizontal="center"/>
    </xf>
    <xf numFmtId="0" fontId="24" fillId="0" borderId="17" xfId="0" applyNumberFormat="1" applyFont="1" applyBorder="1" applyAlignment="1">
      <alignment horizontal="center" vertical="center"/>
    </xf>
    <xf numFmtId="176" fontId="24" fillId="0" borderId="14" xfId="0" applyFont="1" applyBorder="1" applyAlignment="1">
      <alignment horizontal="center" vertical="center"/>
    </xf>
    <xf numFmtId="176" fontId="24" fillId="0" borderId="16" xfId="0" applyFont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0" fontId="24" fillId="0" borderId="12" xfId="0" applyNumberFormat="1" applyFont="1" applyFill="1" applyBorder="1" applyAlignment="1">
      <alignment horizontal="center" vertical="center"/>
    </xf>
    <xf numFmtId="0" fontId="24" fillId="0" borderId="5" xfId="0" applyNumberFormat="1" applyFont="1" applyFill="1" applyBorder="1" applyAlignment="1">
      <alignment horizontal="center" vertical="center"/>
    </xf>
    <xf numFmtId="176" fontId="24" fillId="0" borderId="20" xfId="0" applyFont="1" applyBorder="1" applyAlignment="1">
      <alignment horizontal="center" vertical="center"/>
    </xf>
    <xf numFmtId="176" fontId="24" fillId="0" borderId="17" xfId="0" applyFont="1" applyBorder="1" applyAlignment="1">
      <alignment horizontal="center" vertical="center"/>
    </xf>
    <xf numFmtId="176" fontId="24" fillId="0" borderId="21" xfId="0" applyFont="1" applyBorder="1" applyAlignment="1">
      <alignment horizontal="center" vertical="center"/>
    </xf>
    <xf numFmtId="176" fontId="24" fillId="0" borderId="22" xfId="0" applyFont="1" applyBorder="1" applyAlignment="1">
      <alignment horizontal="center" vertical="center"/>
    </xf>
    <xf numFmtId="176" fontId="24" fillId="0" borderId="23" xfId="0" applyFont="1" applyBorder="1" applyAlignment="1">
      <alignment horizontal="center" vertical="center"/>
    </xf>
    <xf numFmtId="176" fontId="24" fillId="0" borderId="18" xfId="0" applyFont="1" applyBorder="1" applyAlignment="1">
      <alignment horizontal="center" vertical="center"/>
    </xf>
    <xf numFmtId="176" fontId="24" fillId="0" borderId="5" xfId="0" applyFont="1" applyBorder="1" applyAlignment="1">
      <alignment horizontal="center" vertical="center"/>
    </xf>
    <xf numFmtId="176" fontId="22" fillId="0" borderId="20" xfId="0" applyFont="1" applyBorder="1" applyAlignment="1">
      <alignment horizontal="left" vertical="center"/>
    </xf>
    <xf numFmtId="176" fontId="22" fillId="0" borderId="13" xfId="0" applyFont="1" applyBorder="1" applyAlignment="1">
      <alignment horizontal="left" vertical="center"/>
    </xf>
    <xf numFmtId="176" fontId="22" fillId="0" borderId="17" xfId="0" applyFont="1" applyBorder="1" applyAlignment="1">
      <alignment horizontal="left" vertical="center"/>
    </xf>
    <xf numFmtId="176" fontId="13" fillId="0" borderId="5" xfId="0" applyFont="1" applyBorder="1" applyAlignment="1">
      <alignment horizontal="center"/>
    </xf>
    <xf numFmtId="0" fontId="24" fillId="0" borderId="20" xfId="0" applyNumberFormat="1" applyFont="1" applyBorder="1" applyAlignment="1">
      <alignment horizontal="center" vertical="center"/>
    </xf>
    <xf numFmtId="0" fontId="24" fillId="0" borderId="21" xfId="0" applyNumberFormat="1" applyFont="1" applyBorder="1" applyAlignment="1">
      <alignment horizontal="center" vertical="center"/>
    </xf>
    <xf numFmtId="0" fontId="24" fillId="0" borderId="22" xfId="0" applyNumberFormat="1" applyFont="1" applyBorder="1" applyAlignment="1">
      <alignment horizontal="center" vertical="center"/>
    </xf>
    <xf numFmtId="0" fontId="25" fillId="6" borderId="14" xfId="0" applyNumberFormat="1" applyFont="1" applyFill="1" applyBorder="1" applyAlignment="1">
      <alignment horizontal="center" vertical="center" wrapText="1"/>
    </xf>
    <xf numFmtId="0" fontId="25" fillId="6" borderId="16" xfId="0" applyNumberFormat="1" applyFont="1" applyFill="1" applyBorder="1" applyAlignment="1">
      <alignment horizontal="center" vertical="center" wrapText="1"/>
    </xf>
    <xf numFmtId="176" fontId="24" fillId="9" borderId="13" xfId="0" applyFont="1" applyFill="1" applyBorder="1" applyAlignment="1">
      <alignment horizontal="center"/>
    </xf>
    <xf numFmtId="176" fontId="24" fillId="9" borderId="15" xfId="0" applyFont="1" applyFill="1" applyBorder="1" applyAlignment="1">
      <alignment horizontal="center"/>
    </xf>
    <xf numFmtId="176" fontId="24" fillId="9" borderId="17" xfId="0" applyFont="1" applyFill="1" applyBorder="1" applyAlignment="1">
      <alignment horizontal="center"/>
    </xf>
    <xf numFmtId="0" fontId="24" fillId="7" borderId="14" xfId="0" applyNumberFormat="1" applyFont="1" applyFill="1" applyBorder="1" applyAlignment="1">
      <alignment horizontal="center" vertical="center" wrapText="1" readingOrder="1"/>
    </xf>
    <xf numFmtId="0" fontId="24" fillId="7" borderId="15" xfId="0" applyNumberFormat="1" applyFont="1" applyFill="1" applyBorder="1" applyAlignment="1">
      <alignment horizontal="center" vertical="center" wrapText="1" readingOrder="1"/>
    </xf>
    <xf numFmtId="0" fontId="24" fillId="7" borderId="16" xfId="0" applyNumberFormat="1" applyFont="1" applyFill="1" applyBorder="1" applyAlignment="1">
      <alignment horizontal="center" vertical="center" wrapText="1" readingOrder="1"/>
    </xf>
    <xf numFmtId="176" fontId="24" fillId="7" borderId="14" xfId="0" applyFont="1" applyFill="1" applyBorder="1" applyAlignment="1">
      <alignment horizontal="center" vertical="center" wrapText="1" readingOrder="1"/>
    </xf>
    <xf numFmtId="176" fontId="24" fillId="7" borderId="15" xfId="0" applyFont="1" applyFill="1" applyBorder="1" applyAlignment="1">
      <alignment horizontal="center" vertical="center" wrapText="1" readingOrder="1"/>
    </xf>
    <xf numFmtId="176" fontId="24" fillId="7" borderId="16" xfId="0" applyFont="1" applyFill="1" applyBorder="1" applyAlignment="1">
      <alignment horizontal="center" vertical="center" wrapText="1" readingOrder="1"/>
    </xf>
    <xf numFmtId="0" fontId="24" fillId="7" borderId="17" xfId="0" applyNumberFormat="1" applyFont="1" applyFill="1" applyBorder="1" applyAlignment="1">
      <alignment horizontal="center" vertical="center" textRotation="255" wrapText="1"/>
    </xf>
    <xf numFmtId="0" fontId="24" fillId="7" borderId="18" xfId="0" applyNumberFormat="1" applyFont="1" applyFill="1" applyBorder="1" applyAlignment="1">
      <alignment horizontal="center" vertical="center" textRotation="255" wrapText="1"/>
    </xf>
    <xf numFmtId="176" fontId="24" fillId="7" borderId="14" xfId="0" applyFont="1" applyFill="1" applyBorder="1" applyAlignment="1">
      <alignment horizontal="center" vertical="center" textRotation="255" wrapText="1"/>
    </xf>
    <xf numFmtId="176" fontId="24" fillId="7" borderId="15" xfId="0" applyFont="1" applyFill="1" applyBorder="1" applyAlignment="1">
      <alignment horizontal="center" vertical="center" textRotation="255" wrapText="1"/>
    </xf>
    <xf numFmtId="176" fontId="24" fillId="7" borderId="16" xfId="0" applyFont="1" applyFill="1" applyBorder="1" applyAlignment="1">
      <alignment horizontal="center" vertical="center" textRotation="255" wrapText="1"/>
    </xf>
    <xf numFmtId="176" fontId="24" fillId="7" borderId="13" xfId="0" applyFont="1" applyFill="1" applyBorder="1" applyAlignment="1">
      <alignment horizontal="center" vertical="center" textRotation="255" wrapText="1"/>
    </xf>
    <xf numFmtId="176" fontId="24" fillId="7" borderId="0" xfId="0" applyFont="1" applyFill="1" applyBorder="1" applyAlignment="1">
      <alignment horizontal="center" vertical="center" textRotation="255" wrapText="1"/>
    </xf>
    <xf numFmtId="180" fontId="15" fillId="0" borderId="5" xfId="0" applyNumberFormat="1" applyFont="1" applyFill="1" applyBorder="1" applyAlignment="1">
      <alignment horizontal="center" vertical="center"/>
    </xf>
    <xf numFmtId="180" fontId="15" fillId="0" borderId="11" xfId="0" applyNumberFormat="1" applyFont="1" applyFill="1" applyBorder="1" applyAlignment="1">
      <alignment horizontal="center" vertical="center"/>
    </xf>
    <xf numFmtId="180" fontId="15" fillId="0" borderId="12" xfId="0" applyNumberFormat="1" applyFont="1" applyFill="1" applyBorder="1" applyAlignment="1">
      <alignment horizontal="center" vertical="center"/>
    </xf>
    <xf numFmtId="176" fontId="29" fillId="8" borderId="23" xfId="0" applyFont="1" applyFill="1" applyBorder="1" applyAlignment="1">
      <alignment horizontal="center"/>
    </xf>
    <xf numFmtId="176" fontId="29" fillId="8" borderId="18" xfId="0" applyFont="1" applyFill="1" applyBorder="1" applyAlignment="1">
      <alignment horizontal="center"/>
    </xf>
    <xf numFmtId="176" fontId="20" fillId="5" borderId="11" xfId="0" applyFont="1" applyFill="1" applyBorder="1" applyAlignment="1">
      <alignment horizontal="center"/>
    </xf>
    <xf numFmtId="176" fontId="20" fillId="5" borderId="19" xfId="0" applyFont="1" applyFill="1" applyBorder="1" applyAlignment="1">
      <alignment horizontal="center"/>
    </xf>
    <xf numFmtId="176" fontId="20" fillId="5" borderId="12" xfId="0" applyFont="1" applyFill="1" applyBorder="1" applyAlignment="1">
      <alignment horizontal="center"/>
    </xf>
    <xf numFmtId="176" fontId="12" fillId="2" borderId="0" xfId="0" applyFont="1" applyFill="1" applyAlignment="1">
      <alignment horizontal="center" vertical="center"/>
    </xf>
    <xf numFmtId="176" fontId="16" fillId="0" borderId="11" xfId="0" applyFont="1" applyFill="1" applyBorder="1" applyAlignment="1">
      <alignment horizontal="left" vertical="center" wrapText="1"/>
    </xf>
    <xf numFmtId="176" fontId="16" fillId="0" borderId="19" xfId="0" applyFont="1" applyFill="1" applyBorder="1" applyAlignment="1">
      <alignment horizontal="left" vertical="center" wrapText="1"/>
    </xf>
    <xf numFmtId="176" fontId="16" fillId="0" borderId="12" xfId="0" applyFont="1" applyFill="1" applyBorder="1" applyAlignment="1">
      <alignment horizontal="left" vertical="center" wrapText="1"/>
    </xf>
    <xf numFmtId="176" fontId="16" fillId="0" borderId="5" xfId="0" applyFont="1" applyFill="1" applyBorder="1" applyAlignment="1">
      <alignment horizontal="center" vertical="center" wrapText="1"/>
    </xf>
    <xf numFmtId="176" fontId="14" fillId="0" borderId="5" xfId="0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left" vertical="center"/>
    </xf>
    <xf numFmtId="176" fontId="16" fillId="0" borderId="5" xfId="0" applyFont="1" applyFill="1" applyBorder="1" applyAlignment="1">
      <alignment horizontal="left" vertical="center" wrapText="1"/>
    </xf>
    <xf numFmtId="176" fontId="16" fillId="0" borderId="11" xfId="0" applyFont="1" applyFill="1" applyBorder="1" applyAlignment="1">
      <alignment horizontal="center" vertical="center" wrapText="1"/>
    </xf>
    <xf numFmtId="176" fontId="16" fillId="0" borderId="19" xfId="0" applyFont="1" applyFill="1" applyBorder="1" applyAlignment="1">
      <alignment horizontal="center" vertical="center" wrapText="1"/>
    </xf>
    <xf numFmtId="176" fontId="16" fillId="0" borderId="12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left" vertical="center"/>
    </xf>
    <xf numFmtId="49" fontId="15" fillId="0" borderId="16" xfId="0" applyNumberFormat="1" applyFont="1" applyFill="1" applyBorder="1" applyAlignment="1">
      <alignment horizontal="left" vertical="center"/>
    </xf>
    <xf numFmtId="176" fontId="15" fillId="0" borderId="14" xfId="0" applyFont="1" applyFill="1" applyBorder="1" applyAlignment="1">
      <alignment horizontal="left" vertical="center"/>
    </xf>
    <xf numFmtId="176" fontId="15" fillId="0" borderId="16" xfId="0" applyFont="1" applyFill="1" applyBorder="1" applyAlignment="1">
      <alignment horizontal="left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>
      <alignment horizontal="center" vertical="center"/>
    </xf>
    <xf numFmtId="176" fontId="16" fillId="0" borderId="14" xfId="0" applyFont="1" applyFill="1" applyBorder="1" applyAlignment="1">
      <alignment horizontal="left" vertical="center" wrapText="1"/>
    </xf>
    <xf numFmtId="176" fontId="16" fillId="0" borderId="16" xfId="0" applyFont="1" applyFill="1" applyBorder="1" applyAlignment="1">
      <alignment horizontal="left" vertical="center" wrapText="1"/>
    </xf>
    <xf numFmtId="176" fontId="16" fillId="0" borderId="14" xfId="0" applyFont="1" applyFill="1" applyBorder="1" applyAlignment="1">
      <alignment horizontal="center" vertical="center" wrapText="1"/>
    </xf>
    <xf numFmtId="176" fontId="16" fillId="0" borderId="16" xfId="0" applyFont="1" applyFill="1" applyBorder="1" applyAlignment="1">
      <alignment horizontal="center" vertical="center" wrapText="1"/>
    </xf>
    <xf numFmtId="180" fontId="15" fillId="0" borderId="14" xfId="0" applyNumberFormat="1" applyFont="1" applyFill="1" applyBorder="1" applyAlignment="1">
      <alignment horizontal="center" vertical="center"/>
    </xf>
    <xf numFmtId="180" fontId="15" fillId="0" borderId="16" xfId="0" applyNumberFormat="1" applyFont="1" applyFill="1" applyBorder="1" applyAlignment="1">
      <alignment horizontal="center" vertical="center"/>
    </xf>
    <xf numFmtId="176" fontId="16" fillId="0" borderId="5" xfId="0" applyFont="1" applyFill="1" applyBorder="1" applyAlignment="1">
      <alignment horizontal="left" vertical="center"/>
    </xf>
    <xf numFmtId="176" fontId="16" fillId="0" borderId="5" xfId="0" applyFont="1" applyFill="1" applyBorder="1" applyAlignment="1">
      <alignment horizontal="center" vertical="center"/>
    </xf>
    <xf numFmtId="176" fontId="16" fillId="0" borderId="11" xfId="0" applyFont="1" applyFill="1" applyBorder="1" applyAlignment="1">
      <alignment horizontal="left" vertical="center"/>
    </xf>
    <xf numFmtId="176" fontId="16" fillId="0" borderId="19" xfId="0" applyFont="1" applyFill="1" applyBorder="1" applyAlignment="1">
      <alignment horizontal="left" vertical="center"/>
    </xf>
    <xf numFmtId="176" fontId="16" fillId="0" borderId="12" xfId="0" applyFont="1" applyFill="1" applyBorder="1" applyAlignment="1">
      <alignment horizontal="left" vertical="center"/>
    </xf>
    <xf numFmtId="176" fontId="16" fillId="0" borderId="11" xfId="0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12" xfId="0" applyFont="1" applyFill="1" applyBorder="1" applyAlignment="1">
      <alignment horizontal="center" vertical="center"/>
    </xf>
    <xf numFmtId="49" fontId="13" fillId="10" borderId="0" xfId="0" applyNumberFormat="1" applyFont="1" applyFill="1" applyBorder="1" applyAlignment="1">
      <alignment horizontal="center"/>
    </xf>
    <xf numFmtId="49" fontId="13" fillId="4" borderId="0" xfId="0" applyNumberFormat="1" applyFont="1" applyFill="1" applyBorder="1" applyAlignment="1">
      <alignment horizontal="center"/>
    </xf>
    <xf numFmtId="176" fontId="15" fillId="0" borderId="5" xfId="0" applyFont="1" applyFill="1" applyBorder="1" applyAlignment="1">
      <alignment horizontal="center" vertical="center"/>
    </xf>
    <xf numFmtId="176" fontId="15" fillId="0" borderId="5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666749</xdr:colOff>
      <xdr:row>8</xdr:row>
      <xdr:rowOff>74084</xdr:rowOff>
    </xdr:to>
    <xdr:sp macro="" textlink="">
      <xdr:nvSpPr>
        <xdr:cNvPr id="2" name="TextBox 1"/>
        <xdr:cNvSpPr txBox="1"/>
      </xdr:nvSpPr>
      <xdr:spPr>
        <a:xfrm>
          <a:off x="0" y="1"/>
          <a:ext cx="7858124" cy="2131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zh-CN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租约期内</a:t>
          </a:r>
          <a:r>
            <a:rPr lang="zh-CN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房地产年总收益：根据委托方提供的《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深圳市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房屋租赁合同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书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》，总租赁期为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，分两个周期。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租金标准为：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第一周期从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2009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日至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2010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日租金为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61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平方米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；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第二周期从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2010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日至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日租金变更为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69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平方米。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从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2012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日起，每年租金在上一年租金基础上逐年递增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3%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截至估价时点，估价对象正处于第二个租赁周期中，故采用《房屋租赁合同》约定的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69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平方米、年增长率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3%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计算未来房地产年收益。</a:t>
          </a: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收益年期：以估价时点至租赁合同终止日期为收益年期计算，即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3.52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年。</a:t>
          </a: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租约期内房地产价值：按照一定的折现率（资本化率），将各年年净收益折现至估价时点，得出租约期内房地产价值。</a:t>
          </a:r>
          <a:endParaRPr lang="zh-CN" altLang="en-US" sz="1100"/>
        </a:p>
      </xdr:txBody>
    </xdr:sp>
    <xdr:clientData/>
  </xdr:twoCellAnchor>
  <xdr:twoCellAnchor>
    <xdr:from>
      <xdr:col>7</xdr:col>
      <xdr:colOff>54429</xdr:colOff>
      <xdr:row>0</xdr:row>
      <xdr:rowOff>0</xdr:rowOff>
    </xdr:from>
    <xdr:to>
      <xdr:col>12</xdr:col>
      <xdr:colOff>598715</xdr:colOff>
      <xdr:row>8</xdr:row>
      <xdr:rowOff>63499</xdr:rowOff>
    </xdr:to>
    <xdr:sp macro="" textlink="">
      <xdr:nvSpPr>
        <xdr:cNvPr id="3" name="TextBox 2"/>
        <xdr:cNvSpPr txBox="1"/>
      </xdr:nvSpPr>
      <xdr:spPr>
        <a:xfrm>
          <a:off x="8188779" y="0"/>
          <a:ext cx="7735661" cy="2120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zh-CN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租约期外：</a:t>
          </a: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房地产年纯收益：根据目前该区域房地产客观年租金及涨幅情况，推算出租约期外第一年租金收入为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500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平方米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，以此计算租约结束后房地产年收益。</a:t>
          </a: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收益年期：估价对象土地为出让土地使用权，土地使用权终止日期为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2042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日，土地剩余使用年限为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年；建筑物为钢混结构，其经济耐用年限为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年，估价对象建成于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1995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年，剩余经济耐用年限为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年。根据《房地产估价规范》，对于土地与建筑物合一的估价对象，当建筑物耐用年限长于或等于土地使用权年限时，应根据土地使用权年限确定未来可获收益的年限。因此，估价对象总收益年限确定为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28.2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年。租约期外估价对象收益年限为总收益年限减租约期内收益年限，即：租约期外收益年期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=28.2-5.53=22.67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（年）</a:t>
          </a: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折现价值：按一定的折现率（资本化率），将租约结束时的房地产价值折现至估价时点，得出租约期外房地产价值的折现价值。</a:t>
          </a: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房地产价值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租约期内房地产价值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租约期外房地产价值的折现价值</a:t>
          </a:r>
        </a:p>
        <a:p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1</xdr:row>
      <xdr:rowOff>15878</xdr:rowOff>
    </xdr:from>
    <xdr:to>
      <xdr:col>11</xdr:col>
      <xdr:colOff>399092</xdr:colOff>
      <xdr:row>34</xdr:row>
      <xdr:rowOff>31751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190503"/>
          <a:ext cx="7574591" cy="57784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53975</xdr:rowOff>
    </xdr:from>
    <xdr:to>
      <xdr:col>11</xdr:col>
      <xdr:colOff>428625</xdr:colOff>
      <xdr:row>70</xdr:row>
      <xdr:rowOff>63087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65850"/>
          <a:ext cx="7937500" cy="6120987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47624</xdr:colOff>
      <xdr:row>0</xdr:row>
      <xdr:rowOff>0</xdr:rowOff>
    </xdr:from>
    <xdr:to>
      <xdr:col>30</xdr:col>
      <xdr:colOff>555624</xdr:colOff>
      <xdr:row>26</xdr:row>
      <xdr:rowOff>164816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7999" y="0"/>
          <a:ext cx="5286375" cy="4705066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29</xdr:row>
      <xdr:rowOff>139699</xdr:rowOff>
    </xdr:from>
    <xdr:to>
      <xdr:col>31</xdr:col>
      <xdr:colOff>29536</xdr:colOff>
      <xdr:row>61</xdr:row>
      <xdr:rowOff>15875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0" y="5203824"/>
          <a:ext cx="5379411" cy="5464176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0</xdr:row>
      <xdr:rowOff>0</xdr:rowOff>
    </xdr:from>
    <xdr:to>
      <xdr:col>22</xdr:col>
      <xdr:colOff>594661</xdr:colOff>
      <xdr:row>42</xdr:row>
      <xdr:rowOff>127000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0"/>
          <a:ext cx="7087536" cy="7461250"/>
        </a:xfrm>
        <a:prstGeom prst="rect">
          <a:avLst/>
        </a:prstGeom>
      </xdr:spPr>
    </xdr:pic>
    <xdr:clientData/>
  </xdr:twoCellAnchor>
  <xdr:twoCellAnchor editAs="oneCell">
    <xdr:from>
      <xdr:col>23</xdr:col>
      <xdr:colOff>238125</xdr:colOff>
      <xdr:row>63</xdr:row>
      <xdr:rowOff>47626</xdr:rowOff>
    </xdr:from>
    <xdr:to>
      <xdr:col>31</xdr:col>
      <xdr:colOff>666750</xdr:colOff>
      <xdr:row>87</xdr:row>
      <xdr:rowOff>105392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8500" y="11049001"/>
          <a:ext cx="5889625" cy="42487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&#21016;&#26757;/&#21016;&#26757;/2016&#24180;/A/2016-1-A-2-077&#28145;&#22323;&#22826;&#24179;&#27915;&#21830;&#36152;&#22823;&#21414;/2016-1-A-2-077&#28145;&#22323;&#22826;&#24179;&#27915;&#21830;&#21414;-&#25970;&#27979;&#316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结果"/>
      <sheetName val="面积表"/>
      <sheetName val="比较"/>
      <sheetName val="太平洋楼层修正"/>
      <sheetName val="收益法"/>
      <sheetName val="权属"/>
      <sheetName val="Sheet2"/>
      <sheetName val="Sheet3"/>
      <sheetName val="Sheet6"/>
    </sheetNames>
    <sheetDataSet>
      <sheetData sheetId="0">
        <row r="16">
          <cell r="I16">
            <v>26013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9"/>
  <sheetViews>
    <sheetView tabSelected="1" view="pageBreakPreview" zoomScale="89" zoomScaleSheetLayoutView="89" workbookViewId="0">
      <selection activeCell="I16" sqref="I16"/>
    </sheetView>
  </sheetViews>
  <sheetFormatPr defaultColWidth="12.625" defaultRowHeight="13.5"/>
  <cols>
    <col min="1" max="1" width="4.5" style="8" customWidth="1"/>
    <col min="2" max="3" width="12.625" style="8"/>
    <col min="4" max="4" width="18" style="8" customWidth="1"/>
    <col min="5" max="5" width="15.375" style="8" customWidth="1"/>
    <col min="6" max="6" width="12.625" style="8"/>
    <col min="7" max="7" width="13.125" style="8" customWidth="1"/>
    <col min="8" max="8" width="14.125" style="8" customWidth="1"/>
    <col min="9" max="9" width="12.25" style="8" customWidth="1"/>
    <col min="10" max="10" width="12.625" style="8"/>
    <col min="11" max="11" width="3.375" style="8" customWidth="1"/>
    <col min="12" max="13" width="12.625" style="8"/>
    <col min="14" max="14" width="79.5" style="8" customWidth="1"/>
    <col min="15" max="256" width="12.625" style="8"/>
    <col min="257" max="257" width="4.5" style="8" customWidth="1"/>
    <col min="258" max="266" width="12.625" style="8"/>
    <col min="267" max="267" width="3.375" style="8" customWidth="1"/>
    <col min="268" max="269" width="12.625" style="8"/>
    <col min="270" max="270" width="79.5" style="8" customWidth="1"/>
    <col min="271" max="512" width="12.625" style="8"/>
    <col min="513" max="513" width="4.5" style="8" customWidth="1"/>
    <col min="514" max="522" width="12.625" style="8"/>
    <col min="523" max="523" width="3.375" style="8" customWidth="1"/>
    <col min="524" max="525" width="12.625" style="8"/>
    <col min="526" max="526" width="79.5" style="8" customWidth="1"/>
    <col min="527" max="768" width="12.625" style="8"/>
    <col min="769" max="769" width="4.5" style="8" customWidth="1"/>
    <col min="770" max="778" width="12.625" style="8"/>
    <col min="779" max="779" width="3.375" style="8" customWidth="1"/>
    <col min="780" max="781" width="12.625" style="8"/>
    <col min="782" max="782" width="79.5" style="8" customWidth="1"/>
    <col min="783" max="1024" width="12.625" style="8"/>
    <col min="1025" max="1025" width="4.5" style="8" customWidth="1"/>
    <col min="1026" max="1034" width="12.625" style="8"/>
    <col min="1035" max="1035" width="3.375" style="8" customWidth="1"/>
    <col min="1036" max="1037" width="12.625" style="8"/>
    <col min="1038" max="1038" width="79.5" style="8" customWidth="1"/>
    <col min="1039" max="1280" width="12.625" style="8"/>
    <col min="1281" max="1281" width="4.5" style="8" customWidth="1"/>
    <col min="1282" max="1290" width="12.625" style="8"/>
    <col min="1291" max="1291" width="3.375" style="8" customWidth="1"/>
    <col min="1292" max="1293" width="12.625" style="8"/>
    <col min="1294" max="1294" width="79.5" style="8" customWidth="1"/>
    <col min="1295" max="1536" width="12.625" style="8"/>
    <col min="1537" max="1537" width="4.5" style="8" customWidth="1"/>
    <col min="1538" max="1546" width="12.625" style="8"/>
    <col min="1547" max="1547" width="3.375" style="8" customWidth="1"/>
    <col min="1548" max="1549" width="12.625" style="8"/>
    <col min="1550" max="1550" width="79.5" style="8" customWidth="1"/>
    <col min="1551" max="1792" width="12.625" style="8"/>
    <col min="1793" max="1793" width="4.5" style="8" customWidth="1"/>
    <col min="1794" max="1802" width="12.625" style="8"/>
    <col min="1803" max="1803" width="3.375" style="8" customWidth="1"/>
    <col min="1804" max="1805" width="12.625" style="8"/>
    <col min="1806" max="1806" width="79.5" style="8" customWidth="1"/>
    <col min="1807" max="2048" width="12.625" style="8"/>
    <col min="2049" max="2049" width="4.5" style="8" customWidth="1"/>
    <col min="2050" max="2058" width="12.625" style="8"/>
    <col min="2059" max="2059" width="3.375" style="8" customWidth="1"/>
    <col min="2060" max="2061" width="12.625" style="8"/>
    <col min="2062" max="2062" width="79.5" style="8" customWidth="1"/>
    <col min="2063" max="2304" width="12.625" style="8"/>
    <col min="2305" max="2305" width="4.5" style="8" customWidth="1"/>
    <col min="2306" max="2314" width="12.625" style="8"/>
    <col min="2315" max="2315" width="3.375" style="8" customWidth="1"/>
    <col min="2316" max="2317" width="12.625" style="8"/>
    <col min="2318" max="2318" width="79.5" style="8" customWidth="1"/>
    <col min="2319" max="2560" width="12.625" style="8"/>
    <col min="2561" max="2561" width="4.5" style="8" customWidth="1"/>
    <col min="2562" max="2570" width="12.625" style="8"/>
    <col min="2571" max="2571" width="3.375" style="8" customWidth="1"/>
    <col min="2572" max="2573" width="12.625" style="8"/>
    <col min="2574" max="2574" width="79.5" style="8" customWidth="1"/>
    <col min="2575" max="2816" width="12.625" style="8"/>
    <col min="2817" max="2817" width="4.5" style="8" customWidth="1"/>
    <col min="2818" max="2826" width="12.625" style="8"/>
    <col min="2827" max="2827" width="3.375" style="8" customWidth="1"/>
    <col min="2828" max="2829" width="12.625" style="8"/>
    <col min="2830" max="2830" width="79.5" style="8" customWidth="1"/>
    <col min="2831" max="3072" width="12.625" style="8"/>
    <col min="3073" max="3073" width="4.5" style="8" customWidth="1"/>
    <col min="3074" max="3082" width="12.625" style="8"/>
    <col min="3083" max="3083" width="3.375" style="8" customWidth="1"/>
    <col min="3084" max="3085" width="12.625" style="8"/>
    <col min="3086" max="3086" width="79.5" style="8" customWidth="1"/>
    <col min="3087" max="3328" width="12.625" style="8"/>
    <col min="3329" max="3329" width="4.5" style="8" customWidth="1"/>
    <col min="3330" max="3338" width="12.625" style="8"/>
    <col min="3339" max="3339" width="3.375" style="8" customWidth="1"/>
    <col min="3340" max="3341" width="12.625" style="8"/>
    <col min="3342" max="3342" width="79.5" style="8" customWidth="1"/>
    <col min="3343" max="3584" width="12.625" style="8"/>
    <col min="3585" max="3585" width="4.5" style="8" customWidth="1"/>
    <col min="3586" max="3594" width="12.625" style="8"/>
    <col min="3595" max="3595" width="3.375" style="8" customWidth="1"/>
    <col min="3596" max="3597" width="12.625" style="8"/>
    <col min="3598" max="3598" width="79.5" style="8" customWidth="1"/>
    <col min="3599" max="3840" width="12.625" style="8"/>
    <col min="3841" max="3841" width="4.5" style="8" customWidth="1"/>
    <col min="3842" max="3850" width="12.625" style="8"/>
    <col min="3851" max="3851" width="3.375" style="8" customWidth="1"/>
    <col min="3852" max="3853" width="12.625" style="8"/>
    <col min="3854" max="3854" width="79.5" style="8" customWidth="1"/>
    <col min="3855" max="4096" width="12.625" style="8"/>
    <col min="4097" max="4097" width="4.5" style="8" customWidth="1"/>
    <col min="4098" max="4106" width="12.625" style="8"/>
    <col min="4107" max="4107" width="3.375" style="8" customWidth="1"/>
    <col min="4108" max="4109" width="12.625" style="8"/>
    <col min="4110" max="4110" width="79.5" style="8" customWidth="1"/>
    <col min="4111" max="4352" width="12.625" style="8"/>
    <col min="4353" max="4353" width="4.5" style="8" customWidth="1"/>
    <col min="4354" max="4362" width="12.625" style="8"/>
    <col min="4363" max="4363" width="3.375" style="8" customWidth="1"/>
    <col min="4364" max="4365" width="12.625" style="8"/>
    <col min="4366" max="4366" width="79.5" style="8" customWidth="1"/>
    <col min="4367" max="4608" width="12.625" style="8"/>
    <col min="4609" max="4609" width="4.5" style="8" customWidth="1"/>
    <col min="4610" max="4618" width="12.625" style="8"/>
    <col min="4619" max="4619" width="3.375" style="8" customWidth="1"/>
    <col min="4620" max="4621" width="12.625" style="8"/>
    <col min="4622" max="4622" width="79.5" style="8" customWidth="1"/>
    <col min="4623" max="4864" width="12.625" style="8"/>
    <col min="4865" max="4865" width="4.5" style="8" customWidth="1"/>
    <col min="4866" max="4874" width="12.625" style="8"/>
    <col min="4875" max="4875" width="3.375" style="8" customWidth="1"/>
    <col min="4876" max="4877" width="12.625" style="8"/>
    <col min="4878" max="4878" width="79.5" style="8" customWidth="1"/>
    <col min="4879" max="5120" width="12.625" style="8"/>
    <col min="5121" max="5121" width="4.5" style="8" customWidth="1"/>
    <col min="5122" max="5130" width="12.625" style="8"/>
    <col min="5131" max="5131" width="3.375" style="8" customWidth="1"/>
    <col min="5132" max="5133" width="12.625" style="8"/>
    <col min="5134" max="5134" width="79.5" style="8" customWidth="1"/>
    <col min="5135" max="5376" width="12.625" style="8"/>
    <col min="5377" max="5377" width="4.5" style="8" customWidth="1"/>
    <col min="5378" max="5386" width="12.625" style="8"/>
    <col min="5387" max="5387" width="3.375" style="8" customWidth="1"/>
    <col min="5388" max="5389" width="12.625" style="8"/>
    <col min="5390" max="5390" width="79.5" style="8" customWidth="1"/>
    <col min="5391" max="5632" width="12.625" style="8"/>
    <col min="5633" max="5633" width="4.5" style="8" customWidth="1"/>
    <col min="5634" max="5642" width="12.625" style="8"/>
    <col min="5643" max="5643" width="3.375" style="8" customWidth="1"/>
    <col min="5644" max="5645" width="12.625" style="8"/>
    <col min="5646" max="5646" width="79.5" style="8" customWidth="1"/>
    <col min="5647" max="5888" width="12.625" style="8"/>
    <col min="5889" max="5889" width="4.5" style="8" customWidth="1"/>
    <col min="5890" max="5898" width="12.625" style="8"/>
    <col min="5899" max="5899" width="3.375" style="8" customWidth="1"/>
    <col min="5900" max="5901" width="12.625" style="8"/>
    <col min="5902" max="5902" width="79.5" style="8" customWidth="1"/>
    <col min="5903" max="6144" width="12.625" style="8"/>
    <col min="6145" max="6145" width="4.5" style="8" customWidth="1"/>
    <col min="6146" max="6154" width="12.625" style="8"/>
    <col min="6155" max="6155" width="3.375" style="8" customWidth="1"/>
    <col min="6156" max="6157" width="12.625" style="8"/>
    <col min="6158" max="6158" width="79.5" style="8" customWidth="1"/>
    <col min="6159" max="6400" width="12.625" style="8"/>
    <col min="6401" max="6401" width="4.5" style="8" customWidth="1"/>
    <col min="6402" max="6410" width="12.625" style="8"/>
    <col min="6411" max="6411" width="3.375" style="8" customWidth="1"/>
    <col min="6412" max="6413" width="12.625" style="8"/>
    <col min="6414" max="6414" width="79.5" style="8" customWidth="1"/>
    <col min="6415" max="6656" width="12.625" style="8"/>
    <col min="6657" max="6657" width="4.5" style="8" customWidth="1"/>
    <col min="6658" max="6666" width="12.625" style="8"/>
    <col min="6667" max="6667" width="3.375" style="8" customWidth="1"/>
    <col min="6668" max="6669" width="12.625" style="8"/>
    <col min="6670" max="6670" width="79.5" style="8" customWidth="1"/>
    <col min="6671" max="6912" width="12.625" style="8"/>
    <col min="6913" max="6913" width="4.5" style="8" customWidth="1"/>
    <col min="6914" max="6922" width="12.625" style="8"/>
    <col min="6923" max="6923" width="3.375" style="8" customWidth="1"/>
    <col min="6924" max="6925" width="12.625" style="8"/>
    <col min="6926" max="6926" width="79.5" style="8" customWidth="1"/>
    <col min="6927" max="7168" width="12.625" style="8"/>
    <col min="7169" max="7169" width="4.5" style="8" customWidth="1"/>
    <col min="7170" max="7178" width="12.625" style="8"/>
    <col min="7179" max="7179" width="3.375" style="8" customWidth="1"/>
    <col min="7180" max="7181" width="12.625" style="8"/>
    <col min="7182" max="7182" width="79.5" style="8" customWidth="1"/>
    <col min="7183" max="7424" width="12.625" style="8"/>
    <col min="7425" max="7425" width="4.5" style="8" customWidth="1"/>
    <col min="7426" max="7434" width="12.625" style="8"/>
    <col min="7435" max="7435" width="3.375" style="8" customWidth="1"/>
    <col min="7436" max="7437" width="12.625" style="8"/>
    <col min="7438" max="7438" width="79.5" style="8" customWidth="1"/>
    <col min="7439" max="7680" width="12.625" style="8"/>
    <col min="7681" max="7681" width="4.5" style="8" customWidth="1"/>
    <col min="7682" max="7690" width="12.625" style="8"/>
    <col min="7691" max="7691" width="3.375" style="8" customWidth="1"/>
    <col min="7692" max="7693" width="12.625" style="8"/>
    <col min="7694" max="7694" width="79.5" style="8" customWidth="1"/>
    <col min="7695" max="7936" width="12.625" style="8"/>
    <col min="7937" max="7937" width="4.5" style="8" customWidth="1"/>
    <col min="7938" max="7946" width="12.625" style="8"/>
    <col min="7947" max="7947" width="3.375" style="8" customWidth="1"/>
    <col min="7948" max="7949" width="12.625" style="8"/>
    <col min="7950" max="7950" width="79.5" style="8" customWidth="1"/>
    <col min="7951" max="8192" width="12.625" style="8"/>
    <col min="8193" max="8193" width="4.5" style="8" customWidth="1"/>
    <col min="8194" max="8202" width="12.625" style="8"/>
    <col min="8203" max="8203" width="3.375" style="8" customWidth="1"/>
    <col min="8204" max="8205" width="12.625" style="8"/>
    <col min="8206" max="8206" width="79.5" style="8" customWidth="1"/>
    <col min="8207" max="8448" width="12.625" style="8"/>
    <col min="8449" max="8449" width="4.5" style="8" customWidth="1"/>
    <col min="8450" max="8458" width="12.625" style="8"/>
    <col min="8459" max="8459" width="3.375" style="8" customWidth="1"/>
    <col min="8460" max="8461" width="12.625" style="8"/>
    <col min="8462" max="8462" width="79.5" style="8" customWidth="1"/>
    <col min="8463" max="8704" width="12.625" style="8"/>
    <col min="8705" max="8705" width="4.5" style="8" customWidth="1"/>
    <col min="8706" max="8714" width="12.625" style="8"/>
    <col min="8715" max="8715" width="3.375" style="8" customWidth="1"/>
    <col min="8716" max="8717" width="12.625" style="8"/>
    <col min="8718" max="8718" width="79.5" style="8" customWidth="1"/>
    <col min="8719" max="8960" width="12.625" style="8"/>
    <col min="8961" max="8961" width="4.5" style="8" customWidth="1"/>
    <col min="8962" max="8970" width="12.625" style="8"/>
    <col min="8971" max="8971" width="3.375" style="8" customWidth="1"/>
    <col min="8972" max="8973" width="12.625" style="8"/>
    <col min="8974" max="8974" width="79.5" style="8" customWidth="1"/>
    <col min="8975" max="9216" width="12.625" style="8"/>
    <col min="9217" max="9217" width="4.5" style="8" customWidth="1"/>
    <col min="9218" max="9226" width="12.625" style="8"/>
    <col min="9227" max="9227" width="3.375" style="8" customWidth="1"/>
    <col min="9228" max="9229" width="12.625" style="8"/>
    <col min="9230" max="9230" width="79.5" style="8" customWidth="1"/>
    <col min="9231" max="9472" width="12.625" style="8"/>
    <col min="9473" max="9473" width="4.5" style="8" customWidth="1"/>
    <col min="9474" max="9482" width="12.625" style="8"/>
    <col min="9483" max="9483" width="3.375" style="8" customWidth="1"/>
    <col min="9484" max="9485" width="12.625" style="8"/>
    <col min="9486" max="9486" width="79.5" style="8" customWidth="1"/>
    <col min="9487" max="9728" width="12.625" style="8"/>
    <col min="9729" max="9729" width="4.5" style="8" customWidth="1"/>
    <col min="9730" max="9738" width="12.625" style="8"/>
    <col min="9739" max="9739" width="3.375" style="8" customWidth="1"/>
    <col min="9740" max="9741" width="12.625" style="8"/>
    <col min="9742" max="9742" width="79.5" style="8" customWidth="1"/>
    <col min="9743" max="9984" width="12.625" style="8"/>
    <col min="9985" max="9985" width="4.5" style="8" customWidth="1"/>
    <col min="9986" max="9994" width="12.625" style="8"/>
    <col min="9995" max="9995" width="3.375" style="8" customWidth="1"/>
    <col min="9996" max="9997" width="12.625" style="8"/>
    <col min="9998" max="9998" width="79.5" style="8" customWidth="1"/>
    <col min="9999" max="10240" width="12.625" style="8"/>
    <col min="10241" max="10241" width="4.5" style="8" customWidth="1"/>
    <col min="10242" max="10250" width="12.625" style="8"/>
    <col min="10251" max="10251" width="3.375" style="8" customWidth="1"/>
    <col min="10252" max="10253" width="12.625" style="8"/>
    <col min="10254" max="10254" width="79.5" style="8" customWidth="1"/>
    <col min="10255" max="10496" width="12.625" style="8"/>
    <col min="10497" max="10497" width="4.5" style="8" customWidth="1"/>
    <col min="10498" max="10506" width="12.625" style="8"/>
    <col min="10507" max="10507" width="3.375" style="8" customWidth="1"/>
    <col min="10508" max="10509" width="12.625" style="8"/>
    <col min="10510" max="10510" width="79.5" style="8" customWidth="1"/>
    <col min="10511" max="10752" width="12.625" style="8"/>
    <col min="10753" max="10753" width="4.5" style="8" customWidth="1"/>
    <col min="10754" max="10762" width="12.625" style="8"/>
    <col min="10763" max="10763" width="3.375" style="8" customWidth="1"/>
    <col min="10764" max="10765" width="12.625" style="8"/>
    <col min="10766" max="10766" width="79.5" style="8" customWidth="1"/>
    <col min="10767" max="11008" width="12.625" style="8"/>
    <col min="11009" max="11009" width="4.5" style="8" customWidth="1"/>
    <col min="11010" max="11018" width="12.625" style="8"/>
    <col min="11019" max="11019" width="3.375" style="8" customWidth="1"/>
    <col min="11020" max="11021" width="12.625" style="8"/>
    <col min="11022" max="11022" width="79.5" style="8" customWidth="1"/>
    <col min="11023" max="11264" width="12.625" style="8"/>
    <col min="11265" max="11265" width="4.5" style="8" customWidth="1"/>
    <col min="11266" max="11274" width="12.625" style="8"/>
    <col min="11275" max="11275" width="3.375" style="8" customWidth="1"/>
    <col min="11276" max="11277" width="12.625" style="8"/>
    <col min="11278" max="11278" width="79.5" style="8" customWidth="1"/>
    <col min="11279" max="11520" width="12.625" style="8"/>
    <col min="11521" max="11521" width="4.5" style="8" customWidth="1"/>
    <col min="11522" max="11530" width="12.625" style="8"/>
    <col min="11531" max="11531" width="3.375" style="8" customWidth="1"/>
    <col min="11532" max="11533" width="12.625" style="8"/>
    <col min="11534" max="11534" width="79.5" style="8" customWidth="1"/>
    <col min="11535" max="11776" width="12.625" style="8"/>
    <col min="11777" max="11777" width="4.5" style="8" customWidth="1"/>
    <col min="11778" max="11786" width="12.625" style="8"/>
    <col min="11787" max="11787" width="3.375" style="8" customWidth="1"/>
    <col min="11788" max="11789" width="12.625" style="8"/>
    <col min="11790" max="11790" width="79.5" style="8" customWidth="1"/>
    <col min="11791" max="12032" width="12.625" style="8"/>
    <col min="12033" max="12033" width="4.5" style="8" customWidth="1"/>
    <col min="12034" max="12042" width="12.625" style="8"/>
    <col min="12043" max="12043" width="3.375" style="8" customWidth="1"/>
    <col min="12044" max="12045" width="12.625" style="8"/>
    <col min="12046" max="12046" width="79.5" style="8" customWidth="1"/>
    <col min="12047" max="12288" width="12.625" style="8"/>
    <col min="12289" max="12289" width="4.5" style="8" customWidth="1"/>
    <col min="12290" max="12298" width="12.625" style="8"/>
    <col min="12299" max="12299" width="3.375" style="8" customWidth="1"/>
    <col min="12300" max="12301" width="12.625" style="8"/>
    <col min="12302" max="12302" width="79.5" style="8" customWidth="1"/>
    <col min="12303" max="12544" width="12.625" style="8"/>
    <col min="12545" max="12545" width="4.5" style="8" customWidth="1"/>
    <col min="12546" max="12554" width="12.625" style="8"/>
    <col min="12555" max="12555" width="3.375" style="8" customWidth="1"/>
    <col min="12556" max="12557" width="12.625" style="8"/>
    <col min="12558" max="12558" width="79.5" style="8" customWidth="1"/>
    <col min="12559" max="12800" width="12.625" style="8"/>
    <col min="12801" max="12801" width="4.5" style="8" customWidth="1"/>
    <col min="12802" max="12810" width="12.625" style="8"/>
    <col min="12811" max="12811" width="3.375" style="8" customWidth="1"/>
    <col min="12812" max="12813" width="12.625" style="8"/>
    <col min="12814" max="12814" width="79.5" style="8" customWidth="1"/>
    <col min="12815" max="13056" width="12.625" style="8"/>
    <col min="13057" max="13057" width="4.5" style="8" customWidth="1"/>
    <col min="13058" max="13066" width="12.625" style="8"/>
    <col min="13067" max="13067" width="3.375" style="8" customWidth="1"/>
    <col min="13068" max="13069" width="12.625" style="8"/>
    <col min="13070" max="13070" width="79.5" style="8" customWidth="1"/>
    <col min="13071" max="13312" width="12.625" style="8"/>
    <col min="13313" max="13313" width="4.5" style="8" customWidth="1"/>
    <col min="13314" max="13322" width="12.625" style="8"/>
    <col min="13323" max="13323" width="3.375" style="8" customWidth="1"/>
    <col min="13324" max="13325" width="12.625" style="8"/>
    <col min="13326" max="13326" width="79.5" style="8" customWidth="1"/>
    <col min="13327" max="13568" width="12.625" style="8"/>
    <col min="13569" max="13569" width="4.5" style="8" customWidth="1"/>
    <col min="13570" max="13578" width="12.625" style="8"/>
    <col min="13579" max="13579" width="3.375" style="8" customWidth="1"/>
    <col min="13580" max="13581" width="12.625" style="8"/>
    <col min="13582" max="13582" width="79.5" style="8" customWidth="1"/>
    <col min="13583" max="13824" width="12.625" style="8"/>
    <col min="13825" max="13825" width="4.5" style="8" customWidth="1"/>
    <col min="13826" max="13834" width="12.625" style="8"/>
    <col min="13835" max="13835" width="3.375" style="8" customWidth="1"/>
    <col min="13836" max="13837" width="12.625" style="8"/>
    <col min="13838" max="13838" width="79.5" style="8" customWidth="1"/>
    <col min="13839" max="14080" width="12.625" style="8"/>
    <col min="14081" max="14081" width="4.5" style="8" customWidth="1"/>
    <col min="14082" max="14090" width="12.625" style="8"/>
    <col min="14091" max="14091" width="3.375" style="8" customWidth="1"/>
    <col min="14092" max="14093" width="12.625" style="8"/>
    <col min="14094" max="14094" width="79.5" style="8" customWidth="1"/>
    <col min="14095" max="14336" width="12.625" style="8"/>
    <col min="14337" max="14337" width="4.5" style="8" customWidth="1"/>
    <col min="14338" max="14346" width="12.625" style="8"/>
    <col min="14347" max="14347" width="3.375" style="8" customWidth="1"/>
    <col min="14348" max="14349" width="12.625" style="8"/>
    <col min="14350" max="14350" width="79.5" style="8" customWidth="1"/>
    <col min="14351" max="14592" width="12.625" style="8"/>
    <col min="14593" max="14593" width="4.5" style="8" customWidth="1"/>
    <col min="14594" max="14602" width="12.625" style="8"/>
    <col min="14603" max="14603" width="3.375" style="8" customWidth="1"/>
    <col min="14604" max="14605" width="12.625" style="8"/>
    <col min="14606" max="14606" width="79.5" style="8" customWidth="1"/>
    <col min="14607" max="14848" width="12.625" style="8"/>
    <col min="14849" max="14849" width="4.5" style="8" customWidth="1"/>
    <col min="14850" max="14858" width="12.625" style="8"/>
    <col min="14859" max="14859" width="3.375" style="8" customWidth="1"/>
    <col min="14860" max="14861" width="12.625" style="8"/>
    <col min="14862" max="14862" width="79.5" style="8" customWidth="1"/>
    <col min="14863" max="15104" width="12.625" style="8"/>
    <col min="15105" max="15105" width="4.5" style="8" customWidth="1"/>
    <col min="15106" max="15114" width="12.625" style="8"/>
    <col min="15115" max="15115" width="3.375" style="8" customWidth="1"/>
    <col min="15116" max="15117" width="12.625" style="8"/>
    <col min="15118" max="15118" width="79.5" style="8" customWidth="1"/>
    <col min="15119" max="15360" width="12.625" style="8"/>
    <col min="15361" max="15361" width="4.5" style="8" customWidth="1"/>
    <col min="15362" max="15370" width="12.625" style="8"/>
    <col min="15371" max="15371" width="3.375" style="8" customWidth="1"/>
    <col min="15372" max="15373" width="12.625" style="8"/>
    <col min="15374" max="15374" width="79.5" style="8" customWidth="1"/>
    <col min="15375" max="15616" width="12.625" style="8"/>
    <col min="15617" max="15617" width="4.5" style="8" customWidth="1"/>
    <col min="15618" max="15626" width="12.625" style="8"/>
    <col min="15627" max="15627" width="3.375" style="8" customWidth="1"/>
    <col min="15628" max="15629" width="12.625" style="8"/>
    <col min="15630" max="15630" width="79.5" style="8" customWidth="1"/>
    <col min="15631" max="15872" width="12.625" style="8"/>
    <col min="15873" max="15873" width="4.5" style="8" customWidth="1"/>
    <col min="15874" max="15882" width="12.625" style="8"/>
    <col min="15883" max="15883" width="3.375" style="8" customWidth="1"/>
    <col min="15884" max="15885" width="12.625" style="8"/>
    <col min="15886" max="15886" width="79.5" style="8" customWidth="1"/>
    <col min="15887" max="16128" width="12.625" style="8"/>
    <col min="16129" max="16129" width="4.5" style="8" customWidth="1"/>
    <col min="16130" max="16138" width="12.625" style="8"/>
    <col min="16139" max="16139" width="3.375" style="8" customWidth="1"/>
    <col min="16140" max="16141" width="12.625" style="8"/>
    <col min="16142" max="16142" width="79.5" style="8" customWidth="1"/>
    <col min="16143" max="16384" width="12.625" style="8"/>
  </cols>
  <sheetData>
    <row r="1" spans="2:16" ht="20.25" customHeight="1"/>
    <row r="2" spans="2:16" ht="20.25" customHeight="1" thickBot="1">
      <c r="B2" s="172" t="s">
        <v>0</v>
      </c>
      <c r="C2" s="172"/>
      <c r="D2" s="172"/>
      <c r="E2" s="172"/>
      <c r="F2" s="172"/>
      <c r="G2" s="172"/>
      <c r="H2" s="172"/>
      <c r="L2" s="139" t="s">
        <v>212</v>
      </c>
      <c r="M2" s="139"/>
      <c r="N2" s="139"/>
      <c r="O2" s="139"/>
      <c r="P2" s="139"/>
    </row>
    <row r="3" spans="2:16" ht="20.25" customHeight="1">
      <c r="B3" s="165" t="s">
        <v>213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214</v>
      </c>
      <c r="H3" s="2" t="s">
        <v>3</v>
      </c>
      <c r="L3" s="139" t="s">
        <v>215</v>
      </c>
      <c r="M3" s="139" t="s">
        <v>216</v>
      </c>
      <c r="N3" s="139" t="s">
        <v>217</v>
      </c>
      <c r="O3" s="174" t="s">
        <v>213</v>
      </c>
      <c r="P3" s="139"/>
    </row>
    <row r="4" spans="2:16" ht="20.25" customHeight="1" thickBot="1">
      <c r="B4" s="166"/>
      <c r="C4" s="3" t="s">
        <v>248</v>
      </c>
      <c r="D4" s="132">
        <f>各部位修正!H8</f>
        <v>56742</v>
      </c>
      <c r="E4" s="132">
        <f>ROUND(D4*10000/C16,0)</f>
        <v>49538</v>
      </c>
      <c r="F4" s="132">
        <v>0.7</v>
      </c>
      <c r="G4" s="175">
        <f>ROUND(D4*F4+D5*F5,0)</f>
        <v>52427</v>
      </c>
      <c r="H4" s="175">
        <f>ROUND(G4/C16*10000,0)</f>
        <v>45771</v>
      </c>
      <c r="I4" s="89">
        <f>D5-D4</f>
        <v>-14382</v>
      </c>
      <c r="L4" s="173"/>
      <c r="M4" s="173"/>
      <c r="N4" s="173"/>
      <c r="O4" s="74" t="s">
        <v>218</v>
      </c>
      <c r="P4" s="74" t="s">
        <v>219</v>
      </c>
    </row>
    <row r="5" spans="2:16" ht="20.25" customHeight="1" thickBot="1">
      <c r="B5" s="167"/>
      <c r="C5" s="4" t="s">
        <v>34</v>
      </c>
      <c r="D5" s="132">
        <f>'收益法（彩虹新都）'!D48</f>
        <v>42360</v>
      </c>
      <c r="E5" s="134">
        <f>ROUND(D5*10000/C16,0)</f>
        <v>36982</v>
      </c>
      <c r="F5" s="132">
        <f>1-F4</f>
        <v>0.30000000000000004</v>
      </c>
      <c r="G5" s="176"/>
      <c r="H5" s="176"/>
      <c r="I5" s="89">
        <f>I4/D4</f>
        <v>-0.25346304324838742</v>
      </c>
      <c r="L5" s="150" t="s">
        <v>220</v>
      </c>
      <c r="M5" s="153">
        <v>25</v>
      </c>
      <c r="N5" s="75" t="s">
        <v>221</v>
      </c>
      <c r="O5" s="156"/>
      <c r="P5" s="156"/>
    </row>
    <row r="6" spans="2:16" ht="20.25" customHeight="1">
      <c r="B6" s="165" t="s">
        <v>222</v>
      </c>
      <c r="C6" s="1" t="s">
        <v>1</v>
      </c>
      <c r="D6" s="1" t="s">
        <v>255</v>
      </c>
      <c r="E6" s="1" t="s">
        <v>3</v>
      </c>
      <c r="F6" s="1" t="s">
        <v>4</v>
      </c>
      <c r="G6" s="1" t="s">
        <v>256</v>
      </c>
      <c r="H6" s="2" t="s">
        <v>3</v>
      </c>
      <c r="L6" s="151"/>
      <c r="M6" s="154"/>
      <c r="N6" s="76" t="s">
        <v>223</v>
      </c>
      <c r="O6" s="157"/>
      <c r="P6" s="157"/>
    </row>
    <row r="7" spans="2:16" ht="20.25" customHeight="1">
      <c r="B7" s="166"/>
      <c r="C7" s="3" t="s">
        <v>249</v>
      </c>
      <c r="D7" s="89"/>
      <c r="E7" s="89"/>
      <c r="F7" s="89">
        <v>0.5</v>
      </c>
      <c r="G7" s="175">
        <f>ROUND(D7*F7+D8*F8,0)</f>
        <v>0</v>
      </c>
      <c r="H7" s="177"/>
      <c r="I7" s="89"/>
      <c r="L7" s="151"/>
      <c r="M7" s="154"/>
      <c r="N7" s="76" t="s">
        <v>224</v>
      </c>
      <c r="O7" s="157"/>
      <c r="P7" s="157"/>
    </row>
    <row r="8" spans="2:16" ht="20.25" customHeight="1" thickBot="1">
      <c r="B8" s="167"/>
      <c r="C8" s="4" t="s">
        <v>250</v>
      </c>
      <c r="D8" s="89"/>
      <c r="E8" s="90"/>
      <c r="F8" s="89">
        <f>1-F7</f>
        <v>0.5</v>
      </c>
      <c r="G8" s="176"/>
      <c r="H8" s="178"/>
      <c r="I8" s="89"/>
      <c r="L8" s="152"/>
      <c r="M8" s="155"/>
      <c r="N8" s="77" t="s">
        <v>225</v>
      </c>
      <c r="O8" s="158"/>
      <c r="P8" s="158"/>
    </row>
    <row r="9" spans="2:16" ht="20.25" customHeight="1">
      <c r="B9" s="165" t="s">
        <v>8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2" t="s">
        <v>3</v>
      </c>
      <c r="L9" s="159" t="s">
        <v>226</v>
      </c>
      <c r="M9" s="162">
        <v>15</v>
      </c>
      <c r="N9" s="75" t="s">
        <v>227</v>
      </c>
      <c r="O9" s="156"/>
      <c r="P9" s="156"/>
    </row>
    <row r="10" spans="2:16" ht="20.25" customHeight="1">
      <c r="B10" s="166"/>
      <c r="C10" s="3" t="s">
        <v>6</v>
      </c>
      <c r="D10" s="3"/>
      <c r="E10" s="9"/>
      <c r="F10" s="89">
        <v>0.5</v>
      </c>
      <c r="G10" s="168">
        <f>ROUND(F10*D10+D11*F11,0)</f>
        <v>0</v>
      </c>
      <c r="H10" s="170" t="e">
        <f>ROUND(G10/#REF!*10000,0)</f>
        <v>#REF!</v>
      </c>
      <c r="L10" s="160"/>
      <c r="M10" s="163"/>
      <c r="N10" s="76" t="s">
        <v>228</v>
      </c>
      <c r="O10" s="157"/>
      <c r="P10" s="157"/>
    </row>
    <row r="11" spans="2:16" ht="20.25" customHeight="1" thickBot="1">
      <c r="B11" s="167"/>
      <c r="C11" s="4" t="s">
        <v>7</v>
      </c>
      <c r="D11" s="4"/>
      <c r="E11" s="5"/>
      <c r="F11" s="89">
        <f>1-F10</f>
        <v>0.5</v>
      </c>
      <c r="G11" s="169"/>
      <c r="H11" s="171"/>
      <c r="L11" s="161"/>
      <c r="M11" s="164"/>
      <c r="N11" s="77" t="s">
        <v>229</v>
      </c>
      <c r="O11" s="158"/>
      <c r="P11" s="158"/>
    </row>
    <row r="12" spans="2:16" ht="20.25" customHeight="1">
      <c r="L12" s="159" t="s">
        <v>230</v>
      </c>
      <c r="M12" s="162">
        <v>15</v>
      </c>
      <c r="N12" s="75" t="s">
        <v>231</v>
      </c>
      <c r="O12" s="156"/>
      <c r="P12" s="156"/>
    </row>
    <row r="13" spans="2:16" ht="20.25" customHeight="1">
      <c r="B13" s="147" t="s">
        <v>9</v>
      </c>
      <c r="C13" s="147"/>
      <c r="D13" s="147"/>
      <c r="E13" s="147"/>
      <c r="F13" s="147"/>
      <c r="G13" s="147"/>
      <c r="H13" s="147"/>
      <c r="I13" s="147"/>
      <c r="J13" s="147"/>
      <c r="L13" s="160"/>
      <c r="M13" s="163"/>
      <c r="N13" s="76" t="s">
        <v>232</v>
      </c>
      <c r="O13" s="157"/>
      <c r="P13" s="157"/>
    </row>
    <row r="14" spans="2:16" ht="20.25" customHeight="1" thickBot="1">
      <c r="B14" s="145" t="s">
        <v>10</v>
      </c>
      <c r="C14" s="145" t="s">
        <v>11</v>
      </c>
      <c r="D14" s="145" t="s">
        <v>12</v>
      </c>
      <c r="E14" s="145" t="s">
        <v>13</v>
      </c>
      <c r="F14" s="145"/>
      <c r="G14" s="145" t="s">
        <v>14</v>
      </c>
      <c r="H14" s="145"/>
      <c r="I14" s="145" t="s">
        <v>15</v>
      </c>
      <c r="J14" s="145"/>
      <c r="L14" s="161"/>
      <c r="M14" s="164"/>
      <c r="N14" s="77" t="s">
        <v>233</v>
      </c>
      <c r="O14" s="158"/>
      <c r="P14" s="158"/>
    </row>
    <row r="15" spans="2:16" ht="20.25" customHeight="1">
      <c r="B15" s="145"/>
      <c r="C15" s="145"/>
      <c r="D15" s="145"/>
      <c r="E15" s="70" t="s">
        <v>16</v>
      </c>
      <c r="F15" s="70" t="s">
        <v>17</v>
      </c>
      <c r="G15" s="70" t="s">
        <v>16</v>
      </c>
      <c r="H15" s="70" t="s">
        <v>17</v>
      </c>
      <c r="I15" s="70" t="s">
        <v>16</v>
      </c>
      <c r="J15" s="70" t="s">
        <v>17</v>
      </c>
      <c r="L15" s="159" t="s">
        <v>234</v>
      </c>
      <c r="M15" s="162">
        <v>15</v>
      </c>
      <c r="N15" s="75" t="s">
        <v>235</v>
      </c>
      <c r="O15" s="156"/>
      <c r="P15" s="156"/>
    </row>
    <row r="16" spans="2:16" ht="20.25" customHeight="1">
      <c r="B16" s="70" t="s">
        <v>257</v>
      </c>
      <c r="C16" s="89">
        <f>面积表!C7</f>
        <v>11454.2</v>
      </c>
      <c r="D16" s="70"/>
      <c r="E16" s="70"/>
      <c r="F16" s="70"/>
      <c r="G16" s="70"/>
      <c r="H16" s="70"/>
      <c r="I16" s="132">
        <f>G4</f>
        <v>52427</v>
      </c>
      <c r="J16" s="132">
        <f>ROUND(I16/C16*10000,0)</f>
        <v>45771</v>
      </c>
      <c r="L16" s="160"/>
      <c r="M16" s="163"/>
      <c r="N16" s="76" t="s">
        <v>236</v>
      </c>
      <c r="O16" s="157"/>
      <c r="P16" s="157"/>
    </row>
    <row r="17" spans="2:16" ht="20.25" customHeight="1" thickBot="1">
      <c r="B17" s="145" t="s">
        <v>18</v>
      </c>
      <c r="C17" s="145"/>
      <c r="D17" s="145"/>
      <c r="E17" s="146"/>
      <c r="F17" s="146"/>
      <c r="G17" s="146"/>
      <c r="H17" s="146"/>
      <c r="I17" s="146">
        <f>I16*10000</f>
        <v>524270000</v>
      </c>
      <c r="J17" s="146"/>
      <c r="L17" s="161"/>
      <c r="M17" s="164"/>
      <c r="N17" s="77" t="s">
        <v>237</v>
      </c>
      <c r="O17" s="158"/>
      <c r="P17" s="158"/>
    </row>
    <row r="18" spans="2:16" ht="20.25" customHeight="1">
      <c r="B18" s="144" t="s">
        <v>19</v>
      </c>
      <c r="C18" s="144"/>
      <c r="D18" s="144"/>
      <c r="E18" s="141">
        <f>F25</f>
        <v>0</v>
      </c>
      <c r="F18" s="142"/>
      <c r="G18" s="142"/>
      <c r="H18" s="142"/>
      <c r="I18" s="142"/>
      <c r="J18" s="142"/>
      <c r="L18" s="150" t="s">
        <v>238</v>
      </c>
      <c r="M18" s="153">
        <v>20</v>
      </c>
      <c r="N18" s="75" t="s">
        <v>239</v>
      </c>
      <c r="O18" s="156"/>
      <c r="P18" s="156"/>
    </row>
    <row r="19" spans="2:16" ht="20.25" customHeight="1">
      <c r="B19" s="145" t="s">
        <v>18</v>
      </c>
      <c r="C19" s="145"/>
      <c r="D19" s="145"/>
      <c r="E19" s="146">
        <f>E18*10000</f>
        <v>0</v>
      </c>
      <c r="F19" s="146"/>
      <c r="G19" s="146"/>
      <c r="H19" s="146"/>
      <c r="I19" s="146"/>
      <c r="J19" s="146"/>
      <c r="L19" s="151"/>
      <c r="M19" s="154"/>
      <c r="N19" s="76" t="s">
        <v>240</v>
      </c>
      <c r="O19" s="157"/>
      <c r="P19" s="157"/>
    </row>
    <row r="20" spans="2:16" ht="20.25" customHeight="1">
      <c r="B20" s="144" t="s">
        <v>20</v>
      </c>
      <c r="C20" s="144"/>
      <c r="D20" s="144"/>
      <c r="E20" s="141">
        <f>I16-E18</f>
        <v>52427</v>
      </c>
      <c r="F20" s="142"/>
      <c r="G20" s="142"/>
      <c r="H20" s="142"/>
      <c r="I20" s="142"/>
      <c r="J20" s="142"/>
      <c r="L20" s="151"/>
      <c r="M20" s="154"/>
      <c r="N20" s="76" t="s">
        <v>241</v>
      </c>
      <c r="O20" s="157"/>
      <c r="P20" s="157"/>
    </row>
    <row r="21" spans="2:16" ht="20.25" customHeight="1" thickBot="1">
      <c r="B21" s="145" t="s">
        <v>18</v>
      </c>
      <c r="C21" s="145"/>
      <c r="D21" s="145"/>
      <c r="E21" s="146">
        <f>E20*10000</f>
        <v>524270000</v>
      </c>
      <c r="F21" s="146"/>
      <c r="G21" s="146"/>
      <c r="H21" s="146"/>
      <c r="I21" s="146"/>
      <c r="J21" s="146"/>
      <c r="L21" s="152"/>
      <c r="M21" s="155"/>
      <c r="N21" s="77" t="s">
        <v>242</v>
      </c>
      <c r="O21" s="158"/>
      <c r="P21" s="158"/>
    </row>
    <row r="22" spans="2:16" ht="20.25" customHeight="1">
      <c r="L22" s="148" t="s">
        <v>243</v>
      </c>
      <c r="M22" s="148"/>
      <c r="N22" s="148"/>
      <c r="O22" s="69">
        <f>SUM(O5:O21)</f>
        <v>0</v>
      </c>
      <c r="P22" s="69">
        <f>SUM(P5:P21)</f>
        <v>0</v>
      </c>
    </row>
    <row r="23" spans="2:16" ht="20.25" customHeight="1">
      <c r="B23" s="147" t="s">
        <v>21</v>
      </c>
      <c r="C23" s="147"/>
      <c r="D23" s="147"/>
      <c r="E23" s="147"/>
      <c r="F23" s="147"/>
      <c r="G23" s="147"/>
      <c r="H23" s="147"/>
      <c r="I23" s="147"/>
      <c r="J23" s="147"/>
      <c r="L23" s="149" t="s">
        <v>4</v>
      </c>
      <c r="M23" s="149"/>
      <c r="N23" s="149"/>
      <c r="O23" s="78" t="e">
        <f>O22/(O22+P22)</f>
        <v>#DIV/0!</v>
      </c>
      <c r="P23" s="78" t="e">
        <f>P22/(O22+P22)</f>
        <v>#DIV/0!</v>
      </c>
    </row>
    <row r="24" spans="2:16" ht="20.25" customHeight="1">
      <c r="B24" s="139" t="s">
        <v>22</v>
      </c>
      <c r="C24" s="139"/>
      <c r="D24" s="139"/>
      <c r="E24" s="69" t="s">
        <v>2</v>
      </c>
      <c r="F24" s="139" t="s">
        <v>23</v>
      </c>
      <c r="G24" s="139"/>
      <c r="H24" s="139"/>
      <c r="I24" s="139"/>
      <c r="J24" s="139"/>
    </row>
    <row r="25" spans="2:16" ht="20.25" customHeight="1">
      <c r="B25" s="138" t="s">
        <v>24</v>
      </c>
      <c r="C25" s="138"/>
      <c r="D25" s="138"/>
      <c r="E25" s="69"/>
      <c r="F25" s="141">
        <v>0</v>
      </c>
      <c r="G25" s="142"/>
      <c r="H25" s="142"/>
      <c r="I25" s="142"/>
      <c r="J25" s="143"/>
    </row>
    <row r="26" spans="2:16" ht="20.25" customHeight="1">
      <c r="B26" s="138" t="s">
        <v>25</v>
      </c>
      <c r="C26" s="138"/>
      <c r="D26" s="138"/>
      <c r="E26" s="69"/>
      <c r="F26" s="139"/>
      <c r="G26" s="139"/>
      <c r="H26" s="139"/>
      <c r="I26" s="139"/>
      <c r="J26" s="139"/>
    </row>
    <row r="27" spans="2:16" ht="20.25" customHeight="1">
      <c r="B27" s="138" t="s">
        <v>26</v>
      </c>
      <c r="C27" s="138"/>
      <c r="D27" s="138"/>
      <c r="E27" s="69"/>
      <c r="F27" s="139"/>
      <c r="G27" s="139"/>
      <c r="H27" s="139"/>
      <c r="I27" s="139"/>
      <c r="J27" s="139"/>
    </row>
    <row r="28" spans="2:16" ht="20.25" customHeight="1">
      <c r="B28" s="138" t="s">
        <v>27</v>
      </c>
      <c r="C28" s="138"/>
      <c r="D28" s="138"/>
      <c r="E28" s="69"/>
      <c r="F28" s="139"/>
      <c r="G28" s="139"/>
      <c r="H28" s="139"/>
      <c r="I28" s="139"/>
      <c r="J28" s="139"/>
    </row>
    <row r="29" spans="2:16" ht="20.25" customHeight="1">
      <c r="B29" s="140"/>
      <c r="C29" s="140"/>
      <c r="D29" s="140"/>
    </row>
    <row r="30" spans="2:16" ht="20.25" customHeight="1">
      <c r="H30" s="9" t="s">
        <v>346</v>
      </c>
      <c r="I30" s="132">
        <f>I16+[1]结果!$I$16</f>
        <v>78440</v>
      </c>
    </row>
    <row r="31" spans="2:16" ht="20.25" customHeight="1">
      <c r="B31" s="137" t="s">
        <v>28</v>
      </c>
      <c r="C31" s="137"/>
      <c r="D31" s="6"/>
      <c r="E31" s="137" t="s">
        <v>29</v>
      </c>
      <c r="F31" s="137"/>
      <c r="G31" s="7"/>
      <c r="H31" s="9" t="s">
        <v>347</v>
      </c>
      <c r="I31" s="132">
        <v>30250</v>
      </c>
    </row>
    <row r="32" spans="2:16" ht="20.25" customHeight="1">
      <c r="B32" s="106"/>
      <c r="C32" s="106"/>
      <c r="D32" s="6"/>
      <c r="E32" s="106"/>
      <c r="F32" s="106"/>
      <c r="G32" s="7"/>
    </row>
    <row r="33" spans="2:7" ht="20.25" customHeight="1">
      <c r="B33" s="106"/>
      <c r="C33" s="106"/>
      <c r="D33" s="6"/>
      <c r="E33" s="106"/>
      <c r="F33" s="106"/>
      <c r="G33" s="7"/>
    </row>
    <row r="34" spans="2:7" ht="20.25" customHeight="1">
      <c r="B34" s="137" t="s">
        <v>30</v>
      </c>
      <c r="C34" s="137"/>
      <c r="D34" s="7"/>
      <c r="E34" s="137" t="s">
        <v>29</v>
      </c>
      <c r="F34" s="137"/>
      <c r="G34" s="7"/>
    </row>
    <row r="35" spans="2:7" ht="20.25" customHeight="1">
      <c r="B35" s="106"/>
      <c r="C35" s="106"/>
      <c r="D35" s="7"/>
      <c r="E35" s="106"/>
      <c r="F35" s="106"/>
      <c r="G35" s="7"/>
    </row>
    <row r="36" spans="2:7" ht="20.25" customHeight="1">
      <c r="B36" s="106"/>
      <c r="C36" s="106"/>
      <c r="D36" s="7"/>
      <c r="E36" s="106"/>
      <c r="F36" s="106"/>
      <c r="G36" s="7"/>
    </row>
    <row r="37" spans="2:7" ht="20.25" customHeight="1">
      <c r="B37" s="137" t="s">
        <v>31</v>
      </c>
      <c r="C37" s="137"/>
      <c r="E37" s="137" t="s">
        <v>29</v>
      </c>
      <c r="F37" s="137"/>
    </row>
    <row r="38" spans="2:7" ht="39.75" customHeight="1"/>
    <row r="39" spans="2:7" ht="39.75" customHeight="1"/>
    <row r="40" spans="2:7" ht="39.75" customHeight="1"/>
    <row r="41" spans="2:7" ht="20.25" customHeight="1"/>
    <row r="42" spans="2:7" ht="20.25" customHeight="1"/>
    <row r="43" spans="2:7" ht="20.25" customHeight="1"/>
    <row r="44" spans="2:7" ht="20.25" customHeight="1"/>
    <row r="45" spans="2:7" ht="20.25" customHeight="1"/>
    <row r="46" spans="2:7" ht="20.25" customHeight="1"/>
    <row r="47" spans="2:7" ht="20.25" customHeight="1"/>
    <row r="48" spans="2: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mergeCells count="74">
    <mergeCell ref="B2:H2"/>
    <mergeCell ref="L2:P2"/>
    <mergeCell ref="B3:B5"/>
    <mergeCell ref="L3:L4"/>
    <mergeCell ref="M3:M4"/>
    <mergeCell ref="N3:N4"/>
    <mergeCell ref="O3:P3"/>
    <mergeCell ref="G4:G5"/>
    <mergeCell ref="H4:H5"/>
    <mergeCell ref="L5:L8"/>
    <mergeCell ref="M5:M8"/>
    <mergeCell ref="O5:O8"/>
    <mergeCell ref="P5:P8"/>
    <mergeCell ref="B6:B8"/>
    <mergeCell ref="G7:G8"/>
    <mergeCell ref="H7:H8"/>
    <mergeCell ref="B9:B11"/>
    <mergeCell ref="L9:L11"/>
    <mergeCell ref="M9:M11"/>
    <mergeCell ref="O9:O11"/>
    <mergeCell ref="P9:P11"/>
    <mergeCell ref="G10:G11"/>
    <mergeCell ref="H10:H11"/>
    <mergeCell ref="B13:J13"/>
    <mergeCell ref="B14:B15"/>
    <mergeCell ref="C14:C15"/>
    <mergeCell ref="D14:D15"/>
    <mergeCell ref="E14:F14"/>
    <mergeCell ref="G14:H14"/>
    <mergeCell ref="I14:J14"/>
    <mergeCell ref="O18:O21"/>
    <mergeCell ref="P18:P21"/>
    <mergeCell ref="L12:L14"/>
    <mergeCell ref="M12:M14"/>
    <mergeCell ref="O12:O14"/>
    <mergeCell ref="P12:P14"/>
    <mergeCell ref="L15:L17"/>
    <mergeCell ref="M15:M17"/>
    <mergeCell ref="O15:O17"/>
    <mergeCell ref="P15:P17"/>
    <mergeCell ref="L22:N22"/>
    <mergeCell ref="B20:D20"/>
    <mergeCell ref="E20:J20"/>
    <mergeCell ref="L23:N23"/>
    <mergeCell ref="B17:D17"/>
    <mergeCell ref="E17:F17"/>
    <mergeCell ref="G17:H17"/>
    <mergeCell ref="I17:J17"/>
    <mergeCell ref="L18:L21"/>
    <mergeCell ref="M18:M21"/>
    <mergeCell ref="B25:D25"/>
    <mergeCell ref="F25:J25"/>
    <mergeCell ref="B18:D18"/>
    <mergeCell ref="E18:J18"/>
    <mergeCell ref="B19:D19"/>
    <mergeCell ref="E19:J19"/>
    <mergeCell ref="B21:D21"/>
    <mergeCell ref="E21:J21"/>
    <mergeCell ref="B23:J23"/>
    <mergeCell ref="B24:D24"/>
    <mergeCell ref="F24:J24"/>
    <mergeCell ref="B37:C37"/>
    <mergeCell ref="E37:F37"/>
    <mergeCell ref="B26:D26"/>
    <mergeCell ref="F26:J26"/>
    <mergeCell ref="B27:D27"/>
    <mergeCell ref="F27:J27"/>
    <mergeCell ref="B28:D28"/>
    <mergeCell ref="F28:J28"/>
    <mergeCell ref="B29:D29"/>
    <mergeCell ref="B31:C31"/>
    <mergeCell ref="E31:F31"/>
    <mergeCell ref="B34:C34"/>
    <mergeCell ref="E34:F34"/>
  </mergeCells>
  <phoneticPr fontId="1" type="noConversion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BreakPreview" zoomScaleNormal="100" zoomScaleSheetLayoutView="100" workbookViewId="0">
      <selection activeCell="C28" sqref="C28"/>
    </sheetView>
  </sheetViews>
  <sheetFormatPr defaultRowHeight="20.100000000000001" customHeight="1"/>
  <cols>
    <col min="2" max="2" width="21.875" customWidth="1"/>
    <col min="3" max="3" width="20.625" customWidth="1"/>
    <col min="5" max="5" width="16.75" customWidth="1"/>
  </cols>
  <sheetData>
    <row r="1" spans="1:8" ht="20.100000000000001" customHeight="1">
      <c r="A1" s="9"/>
      <c r="B1" s="10" t="s">
        <v>35</v>
      </c>
      <c r="C1" s="10" t="s">
        <v>36</v>
      </c>
      <c r="D1" s="10" t="s">
        <v>37</v>
      </c>
      <c r="E1" s="10" t="s">
        <v>258</v>
      </c>
      <c r="F1" s="10" t="s">
        <v>38</v>
      </c>
      <c r="G1" s="10" t="s">
        <v>39</v>
      </c>
      <c r="H1" s="8"/>
    </row>
    <row r="2" spans="1:8" ht="20.100000000000001" customHeight="1">
      <c r="A2" s="173" t="s">
        <v>32</v>
      </c>
      <c r="B2" s="10" t="s">
        <v>40</v>
      </c>
      <c r="C2" s="84">
        <v>3930.74</v>
      </c>
      <c r="D2" s="10" t="s">
        <v>329</v>
      </c>
      <c r="E2" s="179">
        <v>8995.5</v>
      </c>
      <c r="F2" s="182" t="s">
        <v>41</v>
      </c>
      <c r="G2" s="182" t="s">
        <v>42</v>
      </c>
      <c r="H2" s="8"/>
    </row>
    <row r="3" spans="1:8" ht="20.100000000000001" customHeight="1">
      <c r="A3" s="185"/>
      <c r="B3" s="10" t="s">
        <v>43</v>
      </c>
      <c r="C3" s="84">
        <v>3690.94</v>
      </c>
      <c r="D3" s="105" t="s">
        <v>329</v>
      </c>
      <c r="E3" s="180"/>
      <c r="F3" s="183"/>
      <c r="G3" s="183"/>
      <c r="H3" s="8"/>
    </row>
    <row r="4" spans="1:8" ht="20.100000000000001" customHeight="1">
      <c r="A4" s="185"/>
      <c r="B4" s="10" t="s">
        <v>44</v>
      </c>
      <c r="C4" s="84">
        <v>2042.34</v>
      </c>
      <c r="D4" s="105" t="s">
        <v>329</v>
      </c>
      <c r="E4" s="180"/>
      <c r="F4" s="183"/>
      <c r="G4" s="183"/>
      <c r="H4" s="8"/>
    </row>
    <row r="5" spans="1:8" ht="20.100000000000001" customHeight="1">
      <c r="A5" s="185"/>
      <c r="B5" s="10" t="s">
        <v>45</v>
      </c>
      <c r="C5" s="84">
        <v>1610.78</v>
      </c>
      <c r="D5" s="105" t="s">
        <v>329</v>
      </c>
      <c r="E5" s="180"/>
      <c r="F5" s="183"/>
      <c r="G5" s="183"/>
      <c r="H5" s="8"/>
    </row>
    <row r="6" spans="1:8" ht="20.100000000000001" customHeight="1">
      <c r="A6" s="186"/>
      <c r="B6" s="10" t="s">
        <v>46</v>
      </c>
      <c r="C6" s="84">
        <v>179.4</v>
      </c>
      <c r="D6" s="105" t="s">
        <v>329</v>
      </c>
      <c r="E6" s="181"/>
      <c r="F6" s="184"/>
      <c r="G6" s="184"/>
      <c r="H6" s="8"/>
    </row>
    <row r="7" spans="1:8" ht="20.100000000000001" customHeight="1">
      <c r="A7" s="187" t="s">
        <v>47</v>
      </c>
      <c r="B7" s="188"/>
      <c r="C7" s="84">
        <f>SUM(C2:C6)</f>
        <v>11454.2</v>
      </c>
      <c r="D7" s="10"/>
      <c r="E7" s="10"/>
      <c r="F7" s="10"/>
      <c r="G7" s="10"/>
      <c r="H7" s="8"/>
    </row>
    <row r="9" spans="1:8" ht="20.100000000000001" customHeight="1">
      <c r="C9" t="s">
        <v>280</v>
      </c>
    </row>
  </sheetData>
  <mergeCells count="5">
    <mergeCell ref="E2:E6"/>
    <mergeCell ref="F2:F6"/>
    <mergeCell ref="G2:G6"/>
    <mergeCell ref="A2:A6"/>
    <mergeCell ref="A7:B7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50"/>
  <sheetViews>
    <sheetView view="pageBreakPreview" topLeftCell="A7" zoomScale="91" zoomScaleNormal="85" zoomScaleSheetLayoutView="91" workbookViewId="0">
      <selection activeCell="O31" sqref="O31:T31"/>
    </sheetView>
  </sheetViews>
  <sheetFormatPr defaultRowHeight="19.5" customHeight="1"/>
  <cols>
    <col min="1" max="1" width="4.75" style="51" customWidth="1"/>
    <col min="2" max="2" width="18.875" style="51" customWidth="1"/>
    <col min="3" max="3" width="7.625" style="14" customWidth="1"/>
    <col min="4" max="4" width="17.875" style="51" customWidth="1"/>
    <col min="5" max="5" width="9" style="51" customWidth="1"/>
    <col min="6" max="6" width="12.375" style="51" customWidth="1"/>
    <col min="7" max="7" width="7.5" style="51" customWidth="1"/>
    <col min="8" max="8" width="12.375" style="51" customWidth="1"/>
    <col min="9" max="9" width="7.5" style="51" customWidth="1"/>
    <col min="10" max="10" width="12.375" style="59" customWidth="1"/>
    <col min="11" max="11" width="7.5" style="59" customWidth="1"/>
    <col min="12" max="12" width="3" style="60" customWidth="1"/>
    <col min="13" max="13" width="4.5" style="51" customWidth="1"/>
    <col min="14" max="14" width="18.375" style="51" customWidth="1"/>
    <col min="15" max="17" width="8" style="51" customWidth="1"/>
    <col min="18" max="18" width="8" style="61" customWidth="1"/>
    <col min="19" max="20" width="8" style="51" customWidth="1"/>
    <col min="21" max="21" width="3" style="60" customWidth="1"/>
    <col min="22" max="22" width="4.25" style="51" customWidth="1"/>
    <col min="23" max="23" width="14.25" style="51" customWidth="1"/>
    <col min="24" max="26" width="9.375" style="51" customWidth="1"/>
    <col min="27" max="256" width="9" style="51"/>
    <col min="257" max="257" width="4.75" style="51" customWidth="1"/>
    <col min="258" max="258" width="18.625" style="51" customWidth="1"/>
    <col min="259" max="259" width="7.625" style="51" customWidth="1"/>
    <col min="260" max="260" width="12.375" style="51" customWidth="1"/>
    <col min="261" max="261" width="7.5" style="51" customWidth="1"/>
    <col min="262" max="262" width="12.375" style="51" customWidth="1"/>
    <col min="263" max="263" width="7.5" style="51" customWidth="1"/>
    <col min="264" max="264" width="12.375" style="51" customWidth="1"/>
    <col min="265" max="265" width="7.5" style="51" customWidth="1"/>
    <col min="266" max="266" width="12.375" style="51" customWidth="1"/>
    <col min="267" max="267" width="7.5" style="51" customWidth="1"/>
    <col min="268" max="268" width="3" style="51" customWidth="1"/>
    <col min="269" max="269" width="4.5" style="51" customWidth="1"/>
    <col min="270" max="270" width="18.375" style="51" customWidth="1"/>
    <col min="271" max="276" width="8" style="51" customWidth="1"/>
    <col min="277" max="277" width="3" style="51" customWidth="1"/>
    <col min="278" max="278" width="4.25" style="51" customWidth="1"/>
    <col min="279" max="279" width="14.25" style="51" customWidth="1"/>
    <col min="280" max="282" width="9.375" style="51" customWidth="1"/>
    <col min="283" max="512" width="9" style="51"/>
    <col min="513" max="513" width="4.75" style="51" customWidth="1"/>
    <col min="514" max="514" width="18.625" style="51" customWidth="1"/>
    <col min="515" max="515" width="7.625" style="51" customWidth="1"/>
    <col min="516" max="516" width="12.375" style="51" customWidth="1"/>
    <col min="517" max="517" width="7.5" style="51" customWidth="1"/>
    <col min="518" max="518" width="12.375" style="51" customWidth="1"/>
    <col min="519" max="519" width="7.5" style="51" customWidth="1"/>
    <col min="520" max="520" width="12.375" style="51" customWidth="1"/>
    <col min="521" max="521" width="7.5" style="51" customWidth="1"/>
    <col min="522" max="522" width="12.375" style="51" customWidth="1"/>
    <col min="523" max="523" width="7.5" style="51" customWidth="1"/>
    <col min="524" max="524" width="3" style="51" customWidth="1"/>
    <col min="525" max="525" width="4.5" style="51" customWidth="1"/>
    <col min="526" max="526" width="18.375" style="51" customWidth="1"/>
    <col min="527" max="532" width="8" style="51" customWidth="1"/>
    <col min="533" max="533" width="3" style="51" customWidth="1"/>
    <col min="534" max="534" width="4.25" style="51" customWidth="1"/>
    <col min="535" max="535" width="14.25" style="51" customWidth="1"/>
    <col min="536" max="538" width="9.375" style="51" customWidth="1"/>
    <col min="539" max="768" width="9" style="51"/>
    <col min="769" max="769" width="4.75" style="51" customWidth="1"/>
    <col min="770" max="770" width="18.625" style="51" customWidth="1"/>
    <col min="771" max="771" width="7.625" style="51" customWidth="1"/>
    <col min="772" max="772" width="12.375" style="51" customWidth="1"/>
    <col min="773" max="773" width="7.5" style="51" customWidth="1"/>
    <col min="774" max="774" width="12.375" style="51" customWidth="1"/>
    <col min="775" max="775" width="7.5" style="51" customWidth="1"/>
    <col min="776" max="776" width="12.375" style="51" customWidth="1"/>
    <col min="777" max="777" width="7.5" style="51" customWidth="1"/>
    <col min="778" max="778" width="12.375" style="51" customWidth="1"/>
    <col min="779" max="779" width="7.5" style="51" customWidth="1"/>
    <col min="780" max="780" width="3" style="51" customWidth="1"/>
    <col min="781" max="781" width="4.5" style="51" customWidth="1"/>
    <col min="782" max="782" width="18.375" style="51" customWidth="1"/>
    <col min="783" max="788" width="8" style="51" customWidth="1"/>
    <col min="789" max="789" width="3" style="51" customWidth="1"/>
    <col min="790" max="790" width="4.25" style="51" customWidth="1"/>
    <col min="791" max="791" width="14.25" style="51" customWidth="1"/>
    <col min="792" max="794" width="9.375" style="51" customWidth="1"/>
    <col min="795" max="1024" width="9" style="51"/>
    <col min="1025" max="1025" width="4.75" style="51" customWidth="1"/>
    <col min="1026" max="1026" width="18.625" style="51" customWidth="1"/>
    <col min="1027" max="1027" width="7.625" style="51" customWidth="1"/>
    <col min="1028" max="1028" width="12.375" style="51" customWidth="1"/>
    <col min="1029" max="1029" width="7.5" style="51" customWidth="1"/>
    <col min="1030" max="1030" width="12.375" style="51" customWidth="1"/>
    <col min="1031" max="1031" width="7.5" style="51" customWidth="1"/>
    <col min="1032" max="1032" width="12.375" style="51" customWidth="1"/>
    <col min="1033" max="1033" width="7.5" style="51" customWidth="1"/>
    <col min="1034" max="1034" width="12.375" style="51" customWidth="1"/>
    <col min="1035" max="1035" width="7.5" style="51" customWidth="1"/>
    <col min="1036" max="1036" width="3" style="51" customWidth="1"/>
    <col min="1037" max="1037" width="4.5" style="51" customWidth="1"/>
    <col min="1038" max="1038" width="18.375" style="51" customWidth="1"/>
    <col min="1039" max="1044" width="8" style="51" customWidth="1"/>
    <col min="1045" max="1045" width="3" style="51" customWidth="1"/>
    <col min="1046" max="1046" width="4.25" style="51" customWidth="1"/>
    <col min="1047" max="1047" width="14.25" style="51" customWidth="1"/>
    <col min="1048" max="1050" width="9.375" style="51" customWidth="1"/>
    <col min="1051" max="1280" width="9" style="51"/>
    <col min="1281" max="1281" width="4.75" style="51" customWidth="1"/>
    <col min="1282" max="1282" width="18.625" style="51" customWidth="1"/>
    <col min="1283" max="1283" width="7.625" style="51" customWidth="1"/>
    <col min="1284" max="1284" width="12.375" style="51" customWidth="1"/>
    <col min="1285" max="1285" width="7.5" style="51" customWidth="1"/>
    <col min="1286" max="1286" width="12.375" style="51" customWidth="1"/>
    <col min="1287" max="1287" width="7.5" style="51" customWidth="1"/>
    <col min="1288" max="1288" width="12.375" style="51" customWidth="1"/>
    <col min="1289" max="1289" width="7.5" style="51" customWidth="1"/>
    <col min="1290" max="1290" width="12.375" style="51" customWidth="1"/>
    <col min="1291" max="1291" width="7.5" style="51" customWidth="1"/>
    <col min="1292" max="1292" width="3" style="51" customWidth="1"/>
    <col min="1293" max="1293" width="4.5" style="51" customWidth="1"/>
    <col min="1294" max="1294" width="18.375" style="51" customWidth="1"/>
    <col min="1295" max="1300" width="8" style="51" customWidth="1"/>
    <col min="1301" max="1301" width="3" style="51" customWidth="1"/>
    <col min="1302" max="1302" width="4.25" style="51" customWidth="1"/>
    <col min="1303" max="1303" width="14.25" style="51" customWidth="1"/>
    <col min="1304" max="1306" width="9.375" style="51" customWidth="1"/>
    <col min="1307" max="1536" width="9" style="51"/>
    <col min="1537" max="1537" width="4.75" style="51" customWidth="1"/>
    <col min="1538" max="1538" width="18.625" style="51" customWidth="1"/>
    <col min="1539" max="1539" width="7.625" style="51" customWidth="1"/>
    <col min="1540" max="1540" width="12.375" style="51" customWidth="1"/>
    <col min="1541" max="1541" width="7.5" style="51" customWidth="1"/>
    <col min="1542" max="1542" width="12.375" style="51" customWidth="1"/>
    <col min="1543" max="1543" width="7.5" style="51" customWidth="1"/>
    <col min="1544" max="1544" width="12.375" style="51" customWidth="1"/>
    <col min="1545" max="1545" width="7.5" style="51" customWidth="1"/>
    <col min="1546" max="1546" width="12.375" style="51" customWidth="1"/>
    <col min="1547" max="1547" width="7.5" style="51" customWidth="1"/>
    <col min="1548" max="1548" width="3" style="51" customWidth="1"/>
    <col min="1549" max="1549" width="4.5" style="51" customWidth="1"/>
    <col min="1550" max="1550" width="18.375" style="51" customWidth="1"/>
    <col min="1551" max="1556" width="8" style="51" customWidth="1"/>
    <col min="1557" max="1557" width="3" style="51" customWidth="1"/>
    <col min="1558" max="1558" width="4.25" style="51" customWidth="1"/>
    <col min="1559" max="1559" width="14.25" style="51" customWidth="1"/>
    <col min="1560" max="1562" width="9.375" style="51" customWidth="1"/>
    <col min="1563" max="1792" width="9" style="51"/>
    <col min="1793" max="1793" width="4.75" style="51" customWidth="1"/>
    <col min="1794" max="1794" width="18.625" style="51" customWidth="1"/>
    <col min="1795" max="1795" width="7.625" style="51" customWidth="1"/>
    <col min="1796" max="1796" width="12.375" style="51" customWidth="1"/>
    <col min="1797" max="1797" width="7.5" style="51" customWidth="1"/>
    <col min="1798" max="1798" width="12.375" style="51" customWidth="1"/>
    <col min="1799" max="1799" width="7.5" style="51" customWidth="1"/>
    <col min="1800" max="1800" width="12.375" style="51" customWidth="1"/>
    <col min="1801" max="1801" width="7.5" style="51" customWidth="1"/>
    <col min="1802" max="1802" width="12.375" style="51" customWidth="1"/>
    <col min="1803" max="1803" width="7.5" style="51" customWidth="1"/>
    <col min="1804" max="1804" width="3" style="51" customWidth="1"/>
    <col min="1805" max="1805" width="4.5" style="51" customWidth="1"/>
    <col min="1806" max="1806" width="18.375" style="51" customWidth="1"/>
    <col min="1807" max="1812" width="8" style="51" customWidth="1"/>
    <col min="1813" max="1813" width="3" style="51" customWidth="1"/>
    <col min="1814" max="1814" width="4.25" style="51" customWidth="1"/>
    <col min="1815" max="1815" width="14.25" style="51" customWidth="1"/>
    <col min="1816" max="1818" width="9.375" style="51" customWidth="1"/>
    <col min="1819" max="2048" width="9" style="51"/>
    <col min="2049" max="2049" width="4.75" style="51" customWidth="1"/>
    <col min="2050" max="2050" width="18.625" style="51" customWidth="1"/>
    <col min="2051" max="2051" width="7.625" style="51" customWidth="1"/>
    <col min="2052" max="2052" width="12.375" style="51" customWidth="1"/>
    <col min="2053" max="2053" width="7.5" style="51" customWidth="1"/>
    <col min="2054" max="2054" width="12.375" style="51" customWidth="1"/>
    <col min="2055" max="2055" width="7.5" style="51" customWidth="1"/>
    <col min="2056" max="2056" width="12.375" style="51" customWidth="1"/>
    <col min="2057" max="2057" width="7.5" style="51" customWidth="1"/>
    <col min="2058" max="2058" width="12.375" style="51" customWidth="1"/>
    <col min="2059" max="2059" width="7.5" style="51" customWidth="1"/>
    <col min="2060" max="2060" width="3" style="51" customWidth="1"/>
    <col min="2061" max="2061" width="4.5" style="51" customWidth="1"/>
    <col min="2062" max="2062" width="18.375" style="51" customWidth="1"/>
    <col min="2063" max="2068" width="8" style="51" customWidth="1"/>
    <col min="2069" max="2069" width="3" style="51" customWidth="1"/>
    <col min="2070" max="2070" width="4.25" style="51" customWidth="1"/>
    <col min="2071" max="2071" width="14.25" style="51" customWidth="1"/>
    <col min="2072" max="2074" width="9.375" style="51" customWidth="1"/>
    <col min="2075" max="2304" width="9" style="51"/>
    <col min="2305" max="2305" width="4.75" style="51" customWidth="1"/>
    <col min="2306" max="2306" width="18.625" style="51" customWidth="1"/>
    <col min="2307" max="2307" width="7.625" style="51" customWidth="1"/>
    <col min="2308" max="2308" width="12.375" style="51" customWidth="1"/>
    <col min="2309" max="2309" width="7.5" style="51" customWidth="1"/>
    <col min="2310" max="2310" width="12.375" style="51" customWidth="1"/>
    <col min="2311" max="2311" width="7.5" style="51" customWidth="1"/>
    <col min="2312" max="2312" width="12.375" style="51" customWidth="1"/>
    <col min="2313" max="2313" width="7.5" style="51" customWidth="1"/>
    <col min="2314" max="2314" width="12.375" style="51" customWidth="1"/>
    <col min="2315" max="2315" width="7.5" style="51" customWidth="1"/>
    <col min="2316" max="2316" width="3" style="51" customWidth="1"/>
    <col min="2317" max="2317" width="4.5" style="51" customWidth="1"/>
    <col min="2318" max="2318" width="18.375" style="51" customWidth="1"/>
    <col min="2319" max="2324" width="8" style="51" customWidth="1"/>
    <col min="2325" max="2325" width="3" style="51" customWidth="1"/>
    <col min="2326" max="2326" width="4.25" style="51" customWidth="1"/>
    <col min="2327" max="2327" width="14.25" style="51" customWidth="1"/>
    <col min="2328" max="2330" width="9.375" style="51" customWidth="1"/>
    <col min="2331" max="2560" width="9" style="51"/>
    <col min="2561" max="2561" width="4.75" style="51" customWidth="1"/>
    <col min="2562" max="2562" width="18.625" style="51" customWidth="1"/>
    <col min="2563" max="2563" width="7.625" style="51" customWidth="1"/>
    <col min="2564" max="2564" width="12.375" style="51" customWidth="1"/>
    <col min="2565" max="2565" width="7.5" style="51" customWidth="1"/>
    <col min="2566" max="2566" width="12.375" style="51" customWidth="1"/>
    <col min="2567" max="2567" width="7.5" style="51" customWidth="1"/>
    <col min="2568" max="2568" width="12.375" style="51" customWidth="1"/>
    <col min="2569" max="2569" width="7.5" style="51" customWidth="1"/>
    <col min="2570" max="2570" width="12.375" style="51" customWidth="1"/>
    <col min="2571" max="2571" width="7.5" style="51" customWidth="1"/>
    <col min="2572" max="2572" width="3" style="51" customWidth="1"/>
    <col min="2573" max="2573" width="4.5" style="51" customWidth="1"/>
    <col min="2574" max="2574" width="18.375" style="51" customWidth="1"/>
    <col min="2575" max="2580" width="8" style="51" customWidth="1"/>
    <col min="2581" max="2581" width="3" style="51" customWidth="1"/>
    <col min="2582" max="2582" width="4.25" style="51" customWidth="1"/>
    <col min="2583" max="2583" width="14.25" style="51" customWidth="1"/>
    <col min="2584" max="2586" width="9.375" style="51" customWidth="1"/>
    <col min="2587" max="2816" width="9" style="51"/>
    <col min="2817" max="2817" width="4.75" style="51" customWidth="1"/>
    <col min="2818" max="2818" width="18.625" style="51" customWidth="1"/>
    <col min="2819" max="2819" width="7.625" style="51" customWidth="1"/>
    <col min="2820" max="2820" width="12.375" style="51" customWidth="1"/>
    <col min="2821" max="2821" width="7.5" style="51" customWidth="1"/>
    <col min="2822" max="2822" width="12.375" style="51" customWidth="1"/>
    <col min="2823" max="2823" width="7.5" style="51" customWidth="1"/>
    <col min="2824" max="2824" width="12.375" style="51" customWidth="1"/>
    <col min="2825" max="2825" width="7.5" style="51" customWidth="1"/>
    <col min="2826" max="2826" width="12.375" style="51" customWidth="1"/>
    <col min="2827" max="2827" width="7.5" style="51" customWidth="1"/>
    <col min="2828" max="2828" width="3" style="51" customWidth="1"/>
    <col min="2829" max="2829" width="4.5" style="51" customWidth="1"/>
    <col min="2830" max="2830" width="18.375" style="51" customWidth="1"/>
    <col min="2831" max="2836" width="8" style="51" customWidth="1"/>
    <col min="2837" max="2837" width="3" style="51" customWidth="1"/>
    <col min="2838" max="2838" width="4.25" style="51" customWidth="1"/>
    <col min="2839" max="2839" width="14.25" style="51" customWidth="1"/>
    <col min="2840" max="2842" width="9.375" style="51" customWidth="1"/>
    <col min="2843" max="3072" width="9" style="51"/>
    <col min="3073" max="3073" width="4.75" style="51" customWidth="1"/>
    <col min="3074" max="3074" width="18.625" style="51" customWidth="1"/>
    <col min="3075" max="3075" width="7.625" style="51" customWidth="1"/>
    <col min="3076" max="3076" width="12.375" style="51" customWidth="1"/>
    <col min="3077" max="3077" width="7.5" style="51" customWidth="1"/>
    <col min="3078" max="3078" width="12.375" style="51" customWidth="1"/>
    <col min="3079" max="3079" width="7.5" style="51" customWidth="1"/>
    <col min="3080" max="3080" width="12.375" style="51" customWidth="1"/>
    <col min="3081" max="3081" width="7.5" style="51" customWidth="1"/>
    <col min="3082" max="3082" width="12.375" style="51" customWidth="1"/>
    <col min="3083" max="3083" width="7.5" style="51" customWidth="1"/>
    <col min="3084" max="3084" width="3" style="51" customWidth="1"/>
    <col min="3085" max="3085" width="4.5" style="51" customWidth="1"/>
    <col min="3086" max="3086" width="18.375" style="51" customWidth="1"/>
    <col min="3087" max="3092" width="8" style="51" customWidth="1"/>
    <col min="3093" max="3093" width="3" style="51" customWidth="1"/>
    <col min="3094" max="3094" width="4.25" style="51" customWidth="1"/>
    <col min="3095" max="3095" width="14.25" style="51" customWidth="1"/>
    <col min="3096" max="3098" width="9.375" style="51" customWidth="1"/>
    <col min="3099" max="3328" width="9" style="51"/>
    <col min="3329" max="3329" width="4.75" style="51" customWidth="1"/>
    <col min="3330" max="3330" width="18.625" style="51" customWidth="1"/>
    <col min="3331" max="3331" width="7.625" style="51" customWidth="1"/>
    <col min="3332" max="3332" width="12.375" style="51" customWidth="1"/>
    <col min="3333" max="3333" width="7.5" style="51" customWidth="1"/>
    <col min="3334" max="3334" width="12.375" style="51" customWidth="1"/>
    <col min="3335" max="3335" width="7.5" style="51" customWidth="1"/>
    <col min="3336" max="3336" width="12.375" style="51" customWidth="1"/>
    <col min="3337" max="3337" width="7.5" style="51" customWidth="1"/>
    <col min="3338" max="3338" width="12.375" style="51" customWidth="1"/>
    <col min="3339" max="3339" width="7.5" style="51" customWidth="1"/>
    <col min="3340" max="3340" width="3" style="51" customWidth="1"/>
    <col min="3341" max="3341" width="4.5" style="51" customWidth="1"/>
    <col min="3342" max="3342" width="18.375" style="51" customWidth="1"/>
    <col min="3343" max="3348" width="8" style="51" customWidth="1"/>
    <col min="3349" max="3349" width="3" style="51" customWidth="1"/>
    <col min="3350" max="3350" width="4.25" style="51" customWidth="1"/>
    <col min="3351" max="3351" width="14.25" style="51" customWidth="1"/>
    <col min="3352" max="3354" width="9.375" style="51" customWidth="1"/>
    <col min="3355" max="3584" width="9" style="51"/>
    <col min="3585" max="3585" width="4.75" style="51" customWidth="1"/>
    <col min="3586" max="3586" width="18.625" style="51" customWidth="1"/>
    <col min="3587" max="3587" width="7.625" style="51" customWidth="1"/>
    <col min="3588" max="3588" width="12.375" style="51" customWidth="1"/>
    <col min="3589" max="3589" width="7.5" style="51" customWidth="1"/>
    <col min="3590" max="3590" width="12.375" style="51" customWidth="1"/>
    <col min="3591" max="3591" width="7.5" style="51" customWidth="1"/>
    <col min="3592" max="3592" width="12.375" style="51" customWidth="1"/>
    <col min="3593" max="3593" width="7.5" style="51" customWidth="1"/>
    <col min="3594" max="3594" width="12.375" style="51" customWidth="1"/>
    <col min="3595" max="3595" width="7.5" style="51" customWidth="1"/>
    <col min="3596" max="3596" width="3" style="51" customWidth="1"/>
    <col min="3597" max="3597" width="4.5" style="51" customWidth="1"/>
    <col min="3598" max="3598" width="18.375" style="51" customWidth="1"/>
    <col min="3599" max="3604" width="8" style="51" customWidth="1"/>
    <col min="3605" max="3605" width="3" style="51" customWidth="1"/>
    <col min="3606" max="3606" width="4.25" style="51" customWidth="1"/>
    <col min="3607" max="3607" width="14.25" style="51" customWidth="1"/>
    <col min="3608" max="3610" width="9.375" style="51" customWidth="1"/>
    <col min="3611" max="3840" width="9" style="51"/>
    <col min="3841" max="3841" width="4.75" style="51" customWidth="1"/>
    <col min="3842" max="3842" width="18.625" style="51" customWidth="1"/>
    <col min="3843" max="3843" width="7.625" style="51" customWidth="1"/>
    <col min="3844" max="3844" width="12.375" style="51" customWidth="1"/>
    <col min="3845" max="3845" width="7.5" style="51" customWidth="1"/>
    <col min="3846" max="3846" width="12.375" style="51" customWidth="1"/>
    <col min="3847" max="3847" width="7.5" style="51" customWidth="1"/>
    <col min="3848" max="3848" width="12.375" style="51" customWidth="1"/>
    <col min="3849" max="3849" width="7.5" style="51" customWidth="1"/>
    <col min="3850" max="3850" width="12.375" style="51" customWidth="1"/>
    <col min="3851" max="3851" width="7.5" style="51" customWidth="1"/>
    <col min="3852" max="3852" width="3" style="51" customWidth="1"/>
    <col min="3853" max="3853" width="4.5" style="51" customWidth="1"/>
    <col min="3854" max="3854" width="18.375" style="51" customWidth="1"/>
    <col min="3855" max="3860" width="8" style="51" customWidth="1"/>
    <col min="3861" max="3861" width="3" style="51" customWidth="1"/>
    <col min="3862" max="3862" width="4.25" style="51" customWidth="1"/>
    <col min="3863" max="3863" width="14.25" style="51" customWidth="1"/>
    <col min="3864" max="3866" width="9.375" style="51" customWidth="1"/>
    <col min="3867" max="4096" width="9" style="51"/>
    <col min="4097" max="4097" width="4.75" style="51" customWidth="1"/>
    <col min="4098" max="4098" width="18.625" style="51" customWidth="1"/>
    <col min="4099" max="4099" width="7.625" style="51" customWidth="1"/>
    <col min="4100" max="4100" width="12.375" style="51" customWidth="1"/>
    <col min="4101" max="4101" width="7.5" style="51" customWidth="1"/>
    <col min="4102" max="4102" width="12.375" style="51" customWidth="1"/>
    <col min="4103" max="4103" width="7.5" style="51" customWidth="1"/>
    <col min="4104" max="4104" width="12.375" style="51" customWidth="1"/>
    <col min="4105" max="4105" width="7.5" style="51" customWidth="1"/>
    <col min="4106" max="4106" width="12.375" style="51" customWidth="1"/>
    <col min="4107" max="4107" width="7.5" style="51" customWidth="1"/>
    <col min="4108" max="4108" width="3" style="51" customWidth="1"/>
    <col min="4109" max="4109" width="4.5" style="51" customWidth="1"/>
    <col min="4110" max="4110" width="18.375" style="51" customWidth="1"/>
    <col min="4111" max="4116" width="8" style="51" customWidth="1"/>
    <col min="4117" max="4117" width="3" style="51" customWidth="1"/>
    <col min="4118" max="4118" width="4.25" style="51" customWidth="1"/>
    <col min="4119" max="4119" width="14.25" style="51" customWidth="1"/>
    <col min="4120" max="4122" width="9.375" style="51" customWidth="1"/>
    <col min="4123" max="4352" width="9" style="51"/>
    <col min="4353" max="4353" width="4.75" style="51" customWidth="1"/>
    <col min="4354" max="4354" width="18.625" style="51" customWidth="1"/>
    <col min="4355" max="4355" width="7.625" style="51" customWidth="1"/>
    <col min="4356" max="4356" width="12.375" style="51" customWidth="1"/>
    <col min="4357" max="4357" width="7.5" style="51" customWidth="1"/>
    <col min="4358" max="4358" width="12.375" style="51" customWidth="1"/>
    <col min="4359" max="4359" width="7.5" style="51" customWidth="1"/>
    <col min="4360" max="4360" width="12.375" style="51" customWidth="1"/>
    <col min="4361" max="4361" width="7.5" style="51" customWidth="1"/>
    <col min="4362" max="4362" width="12.375" style="51" customWidth="1"/>
    <col min="4363" max="4363" width="7.5" style="51" customWidth="1"/>
    <col min="4364" max="4364" width="3" style="51" customWidth="1"/>
    <col min="4365" max="4365" width="4.5" style="51" customWidth="1"/>
    <col min="4366" max="4366" width="18.375" style="51" customWidth="1"/>
    <col min="4367" max="4372" width="8" style="51" customWidth="1"/>
    <col min="4373" max="4373" width="3" style="51" customWidth="1"/>
    <col min="4374" max="4374" width="4.25" style="51" customWidth="1"/>
    <col min="4375" max="4375" width="14.25" style="51" customWidth="1"/>
    <col min="4376" max="4378" width="9.375" style="51" customWidth="1"/>
    <col min="4379" max="4608" width="9" style="51"/>
    <col min="4609" max="4609" width="4.75" style="51" customWidth="1"/>
    <col min="4610" max="4610" width="18.625" style="51" customWidth="1"/>
    <col min="4611" max="4611" width="7.625" style="51" customWidth="1"/>
    <col min="4612" max="4612" width="12.375" style="51" customWidth="1"/>
    <col min="4613" max="4613" width="7.5" style="51" customWidth="1"/>
    <col min="4614" max="4614" width="12.375" style="51" customWidth="1"/>
    <col min="4615" max="4615" width="7.5" style="51" customWidth="1"/>
    <col min="4616" max="4616" width="12.375" style="51" customWidth="1"/>
    <col min="4617" max="4617" width="7.5" style="51" customWidth="1"/>
    <col min="4618" max="4618" width="12.375" style="51" customWidth="1"/>
    <col min="4619" max="4619" width="7.5" style="51" customWidth="1"/>
    <col min="4620" max="4620" width="3" style="51" customWidth="1"/>
    <col min="4621" max="4621" width="4.5" style="51" customWidth="1"/>
    <col min="4622" max="4622" width="18.375" style="51" customWidth="1"/>
    <col min="4623" max="4628" width="8" style="51" customWidth="1"/>
    <col min="4629" max="4629" width="3" style="51" customWidth="1"/>
    <col min="4630" max="4630" width="4.25" style="51" customWidth="1"/>
    <col min="4631" max="4631" width="14.25" style="51" customWidth="1"/>
    <col min="4632" max="4634" width="9.375" style="51" customWidth="1"/>
    <col min="4635" max="4864" width="9" style="51"/>
    <col min="4865" max="4865" width="4.75" style="51" customWidth="1"/>
    <col min="4866" max="4866" width="18.625" style="51" customWidth="1"/>
    <col min="4867" max="4867" width="7.625" style="51" customWidth="1"/>
    <col min="4868" max="4868" width="12.375" style="51" customWidth="1"/>
    <col min="4869" max="4869" width="7.5" style="51" customWidth="1"/>
    <col min="4870" max="4870" width="12.375" style="51" customWidth="1"/>
    <col min="4871" max="4871" width="7.5" style="51" customWidth="1"/>
    <col min="4872" max="4872" width="12.375" style="51" customWidth="1"/>
    <col min="4873" max="4873" width="7.5" style="51" customWidth="1"/>
    <col min="4874" max="4874" width="12.375" style="51" customWidth="1"/>
    <col min="4875" max="4875" width="7.5" style="51" customWidth="1"/>
    <col min="4876" max="4876" width="3" style="51" customWidth="1"/>
    <col min="4877" max="4877" width="4.5" style="51" customWidth="1"/>
    <col min="4878" max="4878" width="18.375" style="51" customWidth="1"/>
    <col min="4879" max="4884" width="8" style="51" customWidth="1"/>
    <col min="4885" max="4885" width="3" style="51" customWidth="1"/>
    <col min="4886" max="4886" width="4.25" style="51" customWidth="1"/>
    <col min="4887" max="4887" width="14.25" style="51" customWidth="1"/>
    <col min="4888" max="4890" width="9.375" style="51" customWidth="1"/>
    <col min="4891" max="5120" width="9" style="51"/>
    <col min="5121" max="5121" width="4.75" style="51" customWidth="1"/>
    <col min="5122" max="5122" width="18.625" style="51" customWidth="1"/>
    <col min="5123" max="5123" width="7.625" style="51" customWidth="1"/>
    <col min="5124" max="5124" width="12.375" style="51" customWidth="1"/>
    <col min="5125" max="5125" width="7.5" style="51" customWidth="1"/>
    <col min="5126" max="5126" width="12.375" style="51" customWidth="1"/>
    <col min="5127" max="5127" width="7.5" style="51" customWidth="1"/>
    <col min="5128" max="5128" width="12.375" style="51" customWidth="1"/>
    <col min="5129" max="5129" width="7.5" style="51" customWidth="1"/>
    <col min="5130" max="5130" width="12.375" style="51" customWidth="1"/>
    <col min="5131" max="5131" width="7.5" style="51" customWidth="1"/>
    <col min="5132" max="5132" width="3" style="51" customWidth="1"/>
    <col min="5133" max="5133" width="4.5" style="51" customWidth="1"/>
    <col min="5134" max="5134" width="18.375" style="51" customWidth="1"/>
    <col min="5135" max="5140" width="8" style="51" customWidth="1"/>
    <col min="5141" max="5141" width="3" style="51" customWidth="1"/>
    <col min="5142" max="5142" width="4.25" style="51" customWidth="1"/>
    <col min="5143" max="5143" width="14.25" style="51" customWidth="1"/>
    <col min="5144" max="5146" width="9.375" style="51" customWidth="1"/>
    <col min="5147" max="5376" width="9" style="51"/>
    <col min="5377" max="5377" width="4.75" style="51" customWidth="1"/>
    <col min="5378" max="5378" width="18.625" style="51" customWidth="1"/>
    <col min="5379" max="5379" width="7.625" style="51" customWidth="1"/>
    <col min="5380" max="5380" width="12.375" style="51" customWidth="1"/>
    <col min="5381" max="5381" width="7.5" style="51" customWidth="1"/>
    <col min="5382" max="5382" width="12.375" style="51" customWidth="1"/>
    <col min="5383" max="5383" width="7.5" style="51" customWidth="1"/>
    <col min="5384" max="5384" width="12.375" style="51" customWidth="1"/>
    <col min="5385" max="5385" width="7.5" style="51" customWidth="1"/>
    <col min="5386" max="5386" width="12.375" style="51" customWidth="1"/>
    <col min="5387" max="5387" width="7.5" style="51" customWidth="1"/>
    <col min="5388" max="5388" width="3" style="51" customWidth="1"/>
    <col min="5389" max="5389" width="4.5" style="51" customWidth="1"/>
    <col min="5390" max="5390" width="18.375" style="51" customWidth="1"/>
    <col min="5391" max="5396" width="8" style="51" customWidth="1"/>
    <col min="5397" max="5397" width="3" style="51" customWidth="1"/>
    <col min="5398" max="5398" width="4.25" style="51" customWidth="1"/>
    <col min="5399" max="5399" width="14.25" style="51" customWidth="1"/>
    <col min="5400" max="5402" width="9.375" style="51" customWidth="1"/>
    <col min="5403" max="5632" width="9" style="51"/>
    <col min="5633" max="5633" width="4.75" style="51" customWidth="1"/>
    <col min="5634" max="5634" width="18.625" style="51" customWidth="1"/>
    <col min="5635" max="5635" width="7.625" style="51" customWidth="1"/>
    <col min="5636" max="5636" width="12.375" style="51" customWidth="1"/>
    <col min="5637" max="5637" width="7.5" style="51" customWidth="1"/>
    <col min="5638" max="5638" width="12.375" style="51" customWidth="1"/>
    <col min="5639" max="5639" width="7.5" style="51" customWidth="1"/>
    <col min="5640" max="5640" width="12.375" style="51" customWidth="1"/>
    <col min="5641" max="5641" width="7.5" style="51" customWidth="1"/>
    <col min="5642" max="5642" width="12.375" style="51" customWidth="1"/>
    <col min="5643" max="5643" width="7.5" style="51" customWidth="1"/>
    <col min="5644" max="5644" width="3" style="51" customWidth="1"/>
    <col min="5645" max="5645" width="4.5" style="51" customWidth="1"/>
    <col min="5646" max="5646" width="18.375" style="51" customWidth="1"/>
    <col min="5647" max="5652" width="8" style="51" customWidth="1"/>
    <col min="5653" max="5653" width="3" style="51" customWidth="1"/>
    <col min="5654" max="5654" width="4.25" style="51" customWidth="1"/>
    <col min="5655" max="5655" width="14.25" style="51" customWidth="1"/>
    <col min="5656" max="5658" width="9.375" style="51" customWidth="1"/>
    <col min="5659" max="5888" width="9" style="51"/>
    <col min="5889" max="5889" width="4.75" style="51" customWidth="1"/>
    <col min="5890" max="5890" width="18.625" style="51" customWidth="1"/>
    <col min="5891" max="5891" width="7.625" style="51" customWidth="1"/>
    <col min="5892" max="5892" width="12.375" style="51" customWidth="1"/>
    <col min="5893" max="5893" width="7.5" style="51" customWidth="1"/>
    <col min="5894" max="5894" width="12.375" style="51" customWidth="1"/>
    <col min="5895" max="5895" width="7.5" style="51" customWidth="1"/>
    <col min="5896" max="5896" width="12.375" style="51" customWidth="1"/>
    <col min="5897" max="5897" width="7.5" style="51" customWidth="1"/>
    <col min="5898" max="5898" width="12.375" style="51" customWidth="1"/>
    <col min="5899" max="5899" width="7.5" style="51" customWidth="1"/>
    <col min="5900" max="5900" width="3" style="51" customWidth="1"/>
    <col min="5901" max="5901" width="4.5" style="51" customWidth="1"/>
    <col min="5902" max="5902" width="18.375" style="51" customWidth="1"/>
    <col min="5903" max="5908" width="8" style="51" customWidth="1"/>
    <col min="5909" max="5909" width="3" style="51" customWidth="1"/>
    <col min="5910" max="5910" width="4.25" style="51" customWidth="1"/>
    <col min="5911" max="5911" width="14.25" style="51" customWidth="1"/>
    <col min="5912" max="5914" width="9.375" style="51" customWidth="1"/>
    <col min="5915" max="6144" width="9" style="51"/>
    <col min="6145" max="6145" width="4.75" style="51" customWidth="1"/>
    <col min="6146" max="6146" width="18.625" style="51" customWidth="1"/>
    <col min="6147" max="6147" width="7.625" style="51" customWidth="1"/>
    <col min="6148" max="6148" width="12.375" style="51" customWidth="1"/>
    <col min="6149" max="6149" width="7.5" style="51" customWidth="1"/>
    <col min="6150" max="6150" width="12.375" style="51" customWidth="1"/>
    <col min="6151" max="6151" width="7.5" style="51" customWidth="1"/>
    <col min="6152" max="6152" width="12.375" style="51" customWidth="1"/>
    <col min="6153" max="6153" width="7.5" style="51" customWidth="1"/>
    <col min="6154" max="6154" width="12.375" style="51" customWidth="1"/>
    <col min="6155" max="6155" width="7.5" style="51" customWidth="1"/>
    <col min="6156" max="6156" width="3" style="51" customWidth="1"/>
    <col min="6157" max="6157" width="4.5" style="51" customWidth="1"/>
    <col min="6158" max="6158" width="18.375" style="51" customWidth="1"/>
    <col min="6159" max="6164" width="8" style="51" customWidth="1"/>
    <col min="6165" max="6165" width="3" style="51" customWidth="1"/>
    <col min="6166" max="6166" width="4.25" style="51" customWidth="1"/>
    <col min="6167" max="6167" width="14.25" style="51" customWidth="1"/>
    <col min="6168" max="6170" width="9.375" style="51" customWidth="1"/>
    <col min="6171" max="6400" width="9" style="51"/>
    <col min="6401" max="6401" width="4.75" style="51" customWidth="1"/>
    <col min="6402" max="6402" width="18.625" style="51" customWidth="1"/>
    <col min="6403" max="6403" width="7.625" style="51" customWidth="1"/>
    <col min="6404" max="6404" width="12.375" style="51" customWidth="1"/>
    <col min="6405" max="6405" width="7.5" style="51" customWidth="1"/>
    <col min="6406" max="6406" width="12.375" style="51" customWidth="1"/>
    <col min="6407" max="6407" width="7.5" style="51" customWidth="1"/>
    <col min="6408" max="6408" width="12.375" style="51" customWidth="1"/>
    <col min="6409" max="6409" width="7.5" style="51" customWidth="1"/>
    <col min="6410" max="6410" width="12.375" style="51" customWidth="1"/>
    <col min="6411" max="6411" width="7.5" style="51" customWidth="1"/>
    <col min="6412" max="6412" width="3" style="51" customWidth="1"/>
    <col min="6413" max="6413" width="4.5" style="51" customWidth="1"/>
    <col min="6414" max="6414" width="18.375" style="51" customWidth="1"/>
    <col min="6415" max="6420" width="8" style="51" customWidth="1"/>
    <col min="6421" max="6421" width="3" style="51" customWidth="1"/>
    <col min="6422" max="6422" width="4.25" style="51" customWidth="1"/>
    <col min="6423" max="6423" width="14.25" style="51" customWidth="1"/>
    <col min="6424" max="6426" width="9.375" style="51" customWidth="1"/>
    <col min="6427" max="6656" width="9" style="51"/>
    <col min="6657" max="6657" width="4.75" style="51" customWidth="1"/>
    <col min="6658" max="6658" width="18.625" style="51" customWidth="1"/>
    <col min="6659" max="6659" width="7.625" style="51" customWidth="1"/>
    <col min="6660" max="6660" width="12.375" style="51" customWidth="1"/>
    <col min="6661" max="6661" width="7.5" style="51" customWidth="1"/>
    <col min="6662" max="6662" width="12.375" style="51" customWidth="1"/>
    <col min="6663" max="6663" width="7.5" style="51" customWidth="1"/>
    <col min="6664" max="6664" width="12.375" style="51" customWidth="1"/>
    <col min="6665" max="6665" width="7.5" style="51" customWidth="1"/>
    <col min="6666" max="6666" width="12.375" style="51" customWidth="1"/>
    <col min="6667" max="6667" width="7.5" style="51" customWidth="1"/>
    <col min="6668" max="6668" width="3" style="51" customWidth="1"/>
    <col min="6669" max="6669" width="4.5" style="51" customWidth="1"/>
    <col min="6670" max="6670" width="18.375" style="51" customWidth="1"/>
    <col min="6671" max="6676" width="8" style="51" customWidth="1"/>
    <col min="6677" max="6677" width="3" style="51" customWidth="1"/>
    <col min="6678" max="6678" width="4.25" style="51" customWidth="1"/>
    <col min="6679" max="6679" width="14.25" style="51" customWidth="1"/>
    <col min="6680" max="6682" width="9.375" style="51" customWidth="1"/>
    <col min="6683" max="6912" width="9" style="51"/>
    <col min="6913" max="6913" width="4.75" style="51" customWidth="1"/>
    <col min="6914" max="6914" width="18.625" style="51" customWidth="1"/>
    <col min="6915" max="6915" width="7.625" style="51" customWidth="1"/>
    <col min="6916" max="6916" width="12.375" style="51" customWidth="1"/>
    <col min="6917" max="6917" width="7.5" style="51" customWidth="1"/>
    <col min="6918" max="6918" width="12.375" style="51" customWidth="1"/>
    <col min="6919" max="6919" width="7.5" style="51" customWidth="1"/>
    <col min="6920" max="6920" width="12.375" style="51" customWidth="1"/>
    <col min="6921" max="6921" width="7.5" style="51" customWidth="1"/>
    <col min="6922" max="6922" width="12.375" style="51" customWidth="1"/>
    <col min="6923" max="6923" width="7.5" style="51" customWidth="1"/>
    <col min="6924" max="6924" width="3" style="51" customWidth="1"/>
    <col min="6925" max="6925" width="4.5" style="51" customWidth="1"/>
    <col min="6926" max="6926" width="18.375" style="51" customWidth="1"/>
    <col min="6927" max="6932" width="8" style="51" customWidth="1"/>
    <col min="6933" max="6933" width="3" style="51" customWidth="1"/>
    <col min="6934" max="6934" width="4.25" style="51" customWidth="1"/>
    <col min="6935" max="6935" width="14.25" style="51" customWidth="1"/>
    <col min="6936" max="6938" width="9.375" style="51" customWidth="1"/>
    <col min="6939" max="7168" width="9" style="51"/>
    <col min="7169" max="7169" width="4.75" style="51" customWidth="1"/>
    <col min="7170" max="7170" width="18.625" style="51" customWidth="1"/>
    <col min="7171" max="7171" width="7.625" style="51" customWidth="1"/>
    <col min="7172" max="7172" width="12.375" style="51" customWidth="1"/>
    <col min="7173" max="7173" width="7.5" style="51" customWidth="1"/>
    <col min="7174" max="7174" width="12.375" style="51" customWidth="1"/>
    <col min="7175" max="7175" width="7.5" style="51" customWidth="1"/>
    <col min="7176" max="7176" width="12.375" style="51" customWidth="1"/>
    <col min="7177" max="7177" width="7.5" style="51" customWidth="1"/>
    <col min="7178" max="7178" width="12.375" style="51" customWidth="1"/>
    <col min="7179" max="7179" width="7.5" style="51" customWidth="1"/>
    <col min="7180" max="7180" width="3" style="51" customWidth="1"/>
    <col min="7181" max="7181" width="4.5" style="51" customWidth="1"/>
    <col min="7182" max="7182" width="18.375" style="51" customWidth="1"/>
    <col min="7183" max="7188" width="8" style="51" customWidth="1"/>
    <col min="7189" max="7189" width="3" style="51" customWidth="1"/>
    <col min="7190" max="7190" width="4.25" style="51" customWidth="1"/>
    <col min="7191" max="7191" width="14.25" style="51" customWidth="1"/>
    <col min="7192" max="7194" width="9.375" style="51" customWidth="1"/>
    <col min="7195" max="7424" width="9" style="51"/>
    <col min="7425" max="7425" width="4.75" style="51" customWidth="1"/>
    <col min="7426" max="7426" width="18.625" style="51" customWidth="1"/>
    <col min="7427" max="7427" width="7.625" style="51" customWidth="1"/>
    <col min="7428" max="7428" width="12.375" style="51" customWidth="1"/>
    <col min="7429" max="7429" width="7.5" style="51" customWidth="1"/>
    <col min="7430" max="7430" width="12.375" style="51" customWidth="1"/>
    <col min="7431" max="7431" width="7.5" style="51" customWidth="1"/>
    <col min="7432" max="7432" width="12.375" style="51" customWidth="1"/>
    <col min="7433" max="7433" width="7.5" style="51" customWidth="1"/>
    <col min="7434" max="7434" width="12.375" style="51" customWidth="1"/>
    <col min="7435" max="7435" width="7.5" style="51" customWidth="1"/>
    <col min="7436" max="7436" width="3" style="51" customWidth="1"/>
    <col min="7437" max="7437" width="4.5" style="51" customWidth="1"/>
    <col min="7438" max="7438" width="18.375" style="51" customWidth="1"/>
    <col min="7439" max="7444" width="8" style="51" customWidth="1"/>
    <col min="7445" max="7445" width="3" style="51" customWidth="1"/>
    <col min="7446" max="7446" width="4.25" style="51" customWidth="1"/>
    <col min="7447" max="7447" width="14.25" style="51" customWidth="1"/>
    <col min="7448" max="7450" width="9.375" style="51" customWidth="1"/>
    <col min="7451" max="7680" width="9" style="51"/>
    <col min="7681" max="7681" width="4.75" style="51" customWidth="1"/>
    <col min="7682" max="7682" width="18.625" style="51" customWidth="1"/>
    <col min="7683" max="7683" width="7.625" style="51" customWidth="1"/>
    <col min="7684" max="7684" width="12.375" style="51" customWidth="1"/>
    <col min="7685" max="7685" width="7.5" style="51" customWidth="1"/>
    <col min="7686" max="7686" width="12.375" style="51" customWidth="1"/>
    <col min="7687" max="7687" width="7.5" style="51" customWidth="1"/>
    <col min="7688" max="7688" width="12.375" style="51" customWidth="1"/>
    <col min="7689" max="7689" width="7.5" style="51" customWidth="1"/>
    <col min="7690" max="7690" width="12.375" style="51" customWidth="1"/>
    <col min="7691" max="7691" width="7.5" style="51" customWidth="1"/>
    <col min="7692" max="7692" width="3" style="51" customWidth="1"/>
    <col min="7693" max="7693" width="4.5" style="51" customWidth="1"/>
    <col min="7694" max="7694" width="18.375" style="51" customWidth="1"/>
    <col min="7695" max="7700" width="8" style="51" customWidth="1"/>
    <col min="7701" max="7701" width="3" style="51" customWidth="1"/>
    <col min="7702" max="7702" width="4.25" style="51" customWidth="1"/>
    <col min="7703" max="7703" width="14.25" style="51" customWidth="1"/>
    <col min="7704" max="7706" width="9.375" style="51" customWidth="1"/>
    <col min="7707" max="7936" width="9" style="51"/>
    <col min="7937" max="7937" width="4.75" style="51" customWidth="1"/>
    <col min="7938" max="7938" width="18.625" style="51" customWidth="1"/>
    <col min="7939" max="7939" width="7.625" style="51" customWidth="1"/>
    <col min="7940" max="7940" width="12.375" style="51" customWidth="1"/>
    <col min="7941" max="7941" width="7.5" style="51" customWidth="1"/>
    <col min="7942" max="7942" width="12.375" style="51" customWidth="1"/>
    <col min="7943" max="7943" width="7.5" style="51" customWidth="1"/>
    <col min="7944" max="7944" width="12.375" style="51" customWidth="1"/>
    <col min="7945" max="7945" width="7.5" style="51" customWidth="1"/>
    <col min="7946" max="7946" width="12.375" style="51" customWidth="1"/>
    <col min="7947" max="7947" width="7.5" style="51" customWidth="1"/>
    <col min="7948" max="7948" width="3" style="51" customWidth="1"/>
    <col min="7949" max="7949" width="4.5" style="51" customWidth="1"/>
    <col min="7950" max="7950" width="18.375" style="51" customWidth="1"/>
    <col min="7951" max="7956" width="8" style="51" customWidth="1"/>
    <col min="7957" max="7957" width="3" style="51" customWidth="1"/>
    <col min="7958" max="7958" width="4.25" style="51" customWidth="1"/>
    <col min="7959" max="7959" width="14.25" style="51" customWidth="1"/>
    <col min="7960" max="7962" width="9.375" style="51" customWidth="1"/>
    <col min="7963" max="8192" width="9" style="51"/>
    <col min="8193" max="8193" width="4.75" style="51" customWidth="1"/>
    <col min="8194" max="8194" width="18.625" style="51" customWidth="1"/>
    <col min="8195" max="8195" width="7.625" style="51" customWidth="1"/>
    <col min="8196" max="8196" width="12.375" style="51" customWidth="1"/>
    <col min="8197" max="8197" width="7.5" style="51" customWidth="1"/>
    <col min="8198" max="8198" width="12.375" style="51" customWidth="1"/>
    <col min="8199" max="8199" width="7.5" style="51" customWidth="1"/>
    <col min="8200" max="8200" width="12.375" style="51" customWidth="1"/>
    <col min="8201" max="8201" width="7.5" style="51" customWidth="1"/>
    <col min="8202" max="8202" width="12.375" style="51" customWidth="1"/>
    <col min="8203" max="8203" width="7.5" style="51" customWidth="1"/>
    <col min="8204" max="8204" width="3" style="51" customWidth="1"/>
    <col min="8205" max="8205" width="4.5" style="51" customWidth="1"/>
    <col min="8206" max="8206" width="18.375" style="51" customWidth="1"/>
    <col min="8207" max="8212" width="8" style="51" customWidth="1"/>
    <col min="8213" max="8213" width="3" style="51" customWidth="1"/>
    <col min="8214" max="8214" width="4.25" style="51" customWidth="1"/>
    <col min="8215" max="8215" width="14.25" style="51" customWidth="1"/>
    <col min="8216" max="8218" width="9.375" style="51" customWidth="1"/>
    <col min="8219" max="8448" width="9" style="51"/>
    <col min="8449" max="8449" width="4.75" style="51" customWidth="1"/>
    <col min="8450" max="8450" width="18.625" style="51" customWidth="1"/>
    <col min="8451" max="8451" width="7.625" style="51" customWidth="1"/>
    <col min="8452" max="8452" width="12.375" style="51" customWidth="1"/>
    <col min="8453" max="8453" width="7.5" style="51" customWidth="1"/>
    <col min="8454" max="8454" width="12.375" style="51" customWidth="1"/>
    <col min="8455" max="8455" width="7.5" style="51" customWidth="1"/>
    <col min="8456" max="8456" width="12.375" style="51" customWidth="1"/>
    <col min="8457" max="8457" width="7.5" style="51" customWidth="1"/>
    <col min="8458" max="8458" width="12.375" style="51" customWidth="1"/>
    <col min="8459" max="8459" width="7.5" style="51" customWidth="1"/>
    <col min="8460" max="8460" width="3" style="51" customWidth="1"/>
    <col min="8461" max="8461" width="4.5" style="51" customWidth="1"/>
    <col min="8462" max="8462" width="18.375" style="51" customWidth="1"/>
    <col min="8463" max="8468" width="8" style="51" customWidth="1"/>
    <col min="8469" max="8469" width="3" style="51" customWidth="1"/>
    <col min="8470" max="8470" width="4.25" style="51" customWidth="1"/>
    <col min="8471" max="8471" width="14.25" style="51" customWidth="1"/>
    <col min="8472" max="8474" width="9.375" style="51" customWidth="1"/>
    <col min="8475" max="8704" width="9" style="51"/>
    <col min="8705" max="8705" width="4.75" style="51" customWidth="1"/>
    <col min="8706" max="8706" width="18.625" style="51" customWidth="1"/>
    <col min="8707" max="8707" width="7.625" style="51" customWidth="1"/>
    <col min="8708" max="8708" width="12.375" style="51" customWidth="1"/>
    <col min="8709" max="8709" width="7.5" style="51" customWidth="1"/>
    <col min="8710" max="8710" width="12.375" style="51" customWidth="1"/>
    <col min="8711" max="8711" width="7.5" style="51" customWidth="1"/>
    <col min="8712" max="8712" width="12.375" style="51" customWidth="1"/>
    <col min="8713" max="8713" width="7.5" style="51" customWidth="1"/>
    <col min="8714" max="8714" width="12.375" style="51" customWidth="1"/>
    <col min="8715" max="8715" width="7.5" style="51" customWidth="1"/>
    <col min="8716" max="8716" width="3" style="51" customWidth="1"/>
    <col min="8717" max="8717" width="4.5" style="51" customWidth="1"/>
    <col min="8718" max="8718" width="18.375" style="51" customWidth="1"/>
    <col min="8719" max="8724" width="8" style="51" customWidth="1"/>
    <col min="8725" max="8725" width="3" style="51" customWidth="1"/>
    <col min="8726" max="8726" width="4.25" style="51" customWidth="1"/>
    <col min="8727" max="8727" width="14.25" style="51" customWidth="1"/>
    <col min="8728" max="8730" width="9.375" style="51" customWidth="1"/>
    <col min="8731" max="8960" width="9" style="51"/>
    <col min="8961" max="8961" width="4.75" style="51" customWidth="1"/>
    <col min="8962" max="8962" width="18.625" style="51" customWidth="1"/>
    <col min="8963" max="8963" width="7.625" style="51" customWidth="1"/>
    <col min="8964" max="8964" width="12.375" style="51" customWidth="1"/>
    <col min="8965" max="8965" width="7.5" style="51" customWidth="1"/>
    <col min="8966" max="8966" width="12.375" style="51" customWidth="1"/>
    <col min="8967" max="8967" width="7.5" style="51" customWidth="1"/>
    <col min="8968" max="8968" width="12.375" style="51" customWidth="1"/>
    <col min="8969" max="8969" width="7.5" style="51" customWidth="1"/>
    <col min="8970" max="8970" width="12.375" style="51" customWidth="1"/>
    <col min="8971" max="8971" width="7.5" style="51" customWidth="1"/>
    <col min="8972" max="8972" width="3" style="51" customWidth="1"/>
    <col min="8973" max="8973" width="4.5" style="51" customWidth="1"/>
    <col min="8974" max="8974" width="18.375" style="51" customWidth="1"/>
    <col min="8975" max="8980" width="8" style="51" customWidth="1"/>
    <col min="8981" max="8981" width="3" style="51" customWidth="1"/>
    <col min="8982" max="8982" width="4.25" style="51" customWidth="1"/>
    <col min="8983" max="8983" width="14.25" style="51" customWidth="1"/>
    <col min="8984" max="8986" width="9.375" style="51" customWidth="1"/>
    <col min="8987" max="9216" width="9" style="51"/>
    <col min="9217" max="9217" width="4.75" style="51" customWidth="1"/>
    <col min="9218" max="9218" width="18.625" style="51" customWidth="1"/>
    <col min="9219" max="9219" width="7.625" style="51" customWidth="1"/>
    <col min="9220" max="9220" width="12.375" style="51" customWidth="1"/>
    <col min="9221" max="9221" width="7.5" style="51" customWidth="1"/>
    <col min="9222" max="9222" width="12.375" style="51" customWidth="1"/>
    <col min="9223" max="9223" width="7.5" style="51" customWidth="1"/>
    <col min="9224" max="9224" width="12.375" style="51" customWidth="1"/>
    <col min="9225" max="9225" width="7.5" style="51" customWidth="1"/>
    <col min="9226" max="9226" width="12.375" style="51" customWidth="1"/>
    <col min="9227" max="9227" width="7.5" style="51" customWidth="1"/>
    <col min="9228" max="9228" width="3" style="51" customWidth="1"/>
    <col min="9229" max="9229" width="4.5" style="51" customWidth="1"/>
    <col min="9230" max="9230" width="18.375" style="51" customWidth="1"/>
    <col min="9231" max="9236" width="8" style="51" customWidth="1"/>
    <col min="9237" max="9237" width="3" style="51" customWidth="1"/>
    <col min="9238" max="9238" width="4.25" style="51" customWidth="1"/>
    <col min="9239" max="9239" width="14.25" style="51" customWidth="1"/>
    <col min="9240" max="9242" width="9.375" style="51" customWidth="1"/>
    <col min="9243" max="9472" width="9" style="51"/>
    <col min="9473" max="9473" width="4.75" style="51" customWidth="1"/>
    <col min="9474" max="9474" width="18.625" style="51" customWidth="1"/>
    <col min="9475" max="9475" width="7.625" style="51" customWidth="1"/>
    <col min="9476" max="9476" width="12.375" style="51" customWidth="1"/>
    <col min="9477" max="9477" width="7.5" style="51" customWidth="1"/>
    <col min="9478" max="9478" width="12.375" style="51" customWidth="1"/>
    <col min="9479" max="9479" width="7.5" style="51" customWidth="1"/>
    <col min="9480" max="9480" width="12.375" style="51" customWidth="1"/>
    <col min="9481" max="9481" width="7.5" style="51" customWidth="1"/>
    <col min="9482" max="9482" width="12.375" style="51" customWidth="1"/>
    <col min="9483" max="9483" width="7.5" style="51" customWidth="1"/>
    <col min="9484" max="9484" width="3" style="51" customWidth="1"/>
    <col min="9485" max="9485" width="4.5" style="51" customWidth="1"/>
    <col min="9486" max="9486" width="18.375" style="51" customWidth="1"/>
    <col min="9487" max="9492" width="8" style="51" customWidth="1"/>
    <col min="9493" max="9493" width="3" style="51" customWidth="1"/>
    <col min="9494" max="9494" width="4.25" style="51" customWidth="1"/>
    <col min="9495" max="9495" width="14.25" style="51" customWidth="1"/>
    <col min="9496" max="9498" width="9.375" style="51" customWidth="1"/>
    <col min="9499" max="9728" width="9" style="51"/>
    <col min="9729" max="9729" width="4.75" style="51" customWidth="1"/>
    <col min="9730" max="9730" width="18.625" style="51" customWidth="1"/>
    <col min="9731" max="9731" width="7.625" style="51" customWidth="1"/>
    <col min="9732" max="9732" width="12.375" style="51" customWidth="1"/>
    <col min="9733" max="9733" width="7.5" style="51" customWidth="1"/>
    <col min="9734" max="9734" width="12.375" style="51" customWidth="1"/>
    <col min="9735" max="9735" width="7.5" style="51" customWidth="1"/>
    <col min="9736" max="9736" width="12.375" style="51" customWidth="1"/>
    <col min="9737" max="9737" width="7.5" style="51" customWidth="1"/>
    <col min="9738" max="9738" width="12.375" style="51" customWidth="1"/>
    <col min="9739" max="9739" width="7.5" style="51" customWidth="1"/>
    <col min="9740" max="9740" width="3" style="51" customWidth="1"/>
    <col min="9741" max="9741" width="4.5" style="51" customWidth="1"/>
    <col min="9742" max="9742" width="18.375" style="51" customWidth="1"/>
    <col min="9743" max="9748" width="8" style="51" customWidth="1"/>
    <col min="9749" max="9749" width="3" style="51" customWidth="1"/>
    <col min="9750" max="9750" width="4.25" style="51" customWidth="1"/>
    <col min="9751" max="9751" width="14.25" style="51" customWidth="1"/>
    <col min="9752" max="9754" width="9.375" style="51" customWidth="1"/>
    <col min="9755" max="9984" width="9" style="51"/>
    <col min="9985" max="9985" width="4.75" style="51" customWidth="1"/>
    <col min="9986" max="9986" width="18.625" style="51" customWidth="1"/>
    <col min="9987" max="9987" width="7.625" style="51" customWidth="1"/>
    <col min="9988" max="9988" width="12.375" style="51" customWidth="1"/>
    <col min="9989" max="9989" width="7.5" style="51" customWidth="1"/>
    <col min="9990" max="9990" width="12.375" style="51" customWidth="1"/>
    <col min="9991" max="9991" width="7.5" style="51" customWidth="1"/>
    <col min="9992" max="9992" width="12.375" style="51" customWidth="1"/>
    <col min="9993" max="9993" width="7.5" style="51" customWidth="1"/>
    <col min="9994" max="9994" width="12.375" style="51" customWidth="1"/>
    <col min="9995" max="9995" width="7.5" style="51" customWidth="1"/>
    <col min="9996" max="9996" width="3" style="51" customWidth="1"/>
    <col min="9997" max="9997" width="4.5" style="51" customWidth="1"/>
    <col min="9998" max="9998" width="18.375" style="51" customWidth="1"/>
    <col min="9999" max="10004" width="8" style="51" customWidth="1"/>
    <col min="10005" max="10005" width="3" style="51" customWidth="1"/>
    <col min="10006" max="10006" width="4.25" style="51" customWidth="1"/>
    <col min="10007" max="10007" width="14.25" style="51" customWidth="1"/>
    <col min="10008" max="10010" width="9.375" style="51" customWidth="1"/>
    <col min="10011" max="10240" width="9" style="51"/>
    <col min="10241" max="10241" width="4.75" style="51" customWidth="1"/>
    <col min="10242" max="10242" width="18.625" style="51" customWidth="1"/>
    <col min="10243" max="10243" width="7.625" style="51" customWidth="1"/>
    <col min="10244" max="10244" width="12.375" style="51" customWidth="1"/>
    <col min="10245" max="10245" width="7.5" style="51" customWidth="1"/>
    <col min="10246" max="10246" width="12.375" style="51" customWidth="1"/>
    <col min="10247" max="10247" width="7.5" style="51" customWidth="1"/>
    <col min="10248" max="10248" width="12.375" style="51" customWidth="1"/>
    <col min="10249" max="10249" width="7.5" style="51" customWidth="1"/>
    <col min="10250" max="10250" width="12.375" style="51" customWidth="1"/>
    <col min="10251" max="10251" width="7.5" style="51" customWidth="1"/>
    <col min="10252" max="10252" width="3" style="51" customWidth="1"/>
    <col min="10253" max="10253" width="4.5" style="51" customWidth="1"/>
    <col min="10254" max="10254" width="18.375" style="51" customWidth="1"/>
    <col min="10255" max="10260" width="8" style="51" customWidth="1"/>
    <col min="10261" max="10261" width="3" style="51" customWidth="1"/>
    <col min="10262" max="10262" width="4.25" style="51" customWidth="1"/>
    <col min="10263" max="10263" width="14.25" style="51" customWidth="1"/>
    <col min="10264" max="10266" width="9.375" style="51" customWidth="1"/>
    <col min="10267" max="10496" width="9" style="51"/>
    <col min="10497" max="10497" width="4.75" style="51" customWidth="1"/>
    <col min="10498" max="10498" width="18.625" style="51" customWidth="1"/>
    <col min="10499" max="10499" width="7.625" style="51" customWidth="1"/>
    <col min="10500" max="10500" width="12.375" style="51" customWidth="1"/>
    <col min="10501" max="10501" width="7.5" style="51" customWidth="1"/>
    <col min="10502" max="10502" width="12.375" style="51" customWidth="1"/>
    <col min="10503" max="10503" width="7.5" style="51" customWidth="1"/>
    <col min="10504" max="10504" width="12.375" style="51" customWidth="1"/>
    <col min="10505" max="10505" width="7.5" style="51" customWidth="1"/>
    <col min="10506" max="10506" width="12.375" style="51" customWidth="1"/>
    <col min="10507" max="10507" width="7.5" style="51" customWidth="1"/>
    <col min="10508" max="10508" width="3" style="51" customWidth="1"/>
    <col min="10509" max="10509" width="4.5" style="51" customWidth="1"/>
    <col min="10510" max="10510" width="18.375" style="51" customWidth="1"/>
    <col min="10511" max="10516" width="8" style="51" customWidth="1"/>
    <col min="10517" max="10517" width="3" style="51" customWidth="1"/>
    <col min="10518" max="10518" width="4.25" style="51" customWidth="1"/>
    <col min="10519" max="10519" width="14.25" style="51" customWidth="1"/>
    <col min="10520" max="10522" width="9.375" style="51" customWidth="1"/>
    <col min="10523" max="10752" width="9" style="51"/>
    <col min="10753" max="10753" width="4.75" style="51" customWidth="1"/>
    <col min="10754" max="10754" width="18.625" style="51" customWidth="1"/>
    <col min="10755" max="10755" width="7.625" style="51" customWidth="1"/>
    <col min="10756" max="10756" width="12.375" style="51" customWidth="1"/>
    <col min="10757" max="10757" width="7.5" style="51" customWidth="1"/>
    <col min="10758" max="10758" width="12.375" style="51" customWidth="1"/>
    <col min="10759" max="10759" width="7.5" style="51" customWidth="1"/>
    <col min="10760" max="10760" width="12.375" style="51" customWidth="1"/>
    <col min="10761" max="10761" width="7.5" style="51" customWidth="1"/>
    <col min="10762" max="10762" width="12.375" style="51" customWidth="1"/>
    <col min="10763" max="10763" width="7.5" style="51" customWidth="1"/>
    <col min="10764" max="10764" width="3" style="51" customWidth="1"/>
    <col min="10765" max="10765" width="4.5" style="51" customWidth="1"/>
    <col min="10766" max="10766" width="18.375" style="51" customWidth="1"/>
    <col min="10767" max="10772" width="8" style="51" customWidth="1"/>
    <col min="10773" max="10773" width="3" style="51" customWidth="1"/>
    <col min="10774" max="10774" width="4.25" style="51" customWidth="1"/>
    <col min="10775" max="10775" width="14.25" style="51" customWidth="1"/>
    <col min="10776" max="10778" width="9.375" style="51" customWidth="1"/>
    <col min="10779" max="11008" width="9" style="51"/>
    <col min="11009" max="11009" width="4.75" style="51" customWidth="1"/>
    <col min="11010" max="11010" width="18.625" style="51" customWidth="1"/>
    <col min="11011" max="11011" width="7.625" style="51" customWidth="1"/>
    <col min="11012" max="11012" width="12.375" style="51" customWidth="1"/>
    <col min="11013" max="11013" width="7.5" style="51" customWidth="1"/>
    <col min="11014" max="11014" width="12.375" style="51" customWidth="1"/>
    <col min="11015" max="11015" width="7.5" style="51" customWidth="1"/>
    <col min="11016" max="11016" width="12.375" style="51" customWidth="1"/>
    <col min="11017" max="11017" width="7.5" style="51" customWidth="1"/>
    <col min="11018" max="11018" width="12.375" style="51" customWidth="1"/>
    <col min="11019" max="11019" width="7.5" style="51" customWidth="1"/>
    <col min="11020" max="11020" width="3" style="51" customWidth="1"/>
    <col min="11021" max="11021" width="4.5" style="51" customWidth="1"/>
    <col min="11022" max="11022" width="18.375" style="51" customWidth="1"/>
    <col min="11023" max="11028" width="8" style="51" customWidth="1"/>
    <col min="11029" max="11029" width="3" style="51" customWidth="1"/>
    <col min="11030" max="11030" width="4.25" style="51" customWidth="1"/>
    <col min="11031" max="11031" width="14.25" style="51" customWidth="1"/>
    <col min="11032" max="11034" width="9.375" style="51" customWidth="1"/>
    <col min="11035" max="11264" width="9" style="51"/>
    <col min="11265" max="11265" width="4.75" style="51" customWidth="1"/>
    <col min="11266" max="11266" width="18.625" style="51" customWidth="1"/>
    <col min="11267" max="11267" width="7.625" style="51" customWidth="1"/>
    <col min="11268" max="11268" width="12.375" style="51" customWidth="1"/>
    <col min="11269" max="11269" width="7.5" style="51" customWidth="1"/>
    <col min="11270" max="11270" width="12.375" style="51" customWidth="1"/>
    <col min="11271" max="11271" width="7.5" style="51" customWidth="1"/>
    <col min="11272" max="11272" width="12.375" style="51" customWidth="1"/>
    <col min="11273" max="11273" width="7.5" style="51" customWidth="1"/>
    <col min="11274" max="11274" width="12.375" style="51" customWidth="1"/>
    <col min="11275" max="11275" width="7.5" style="51" customWidth="1"/>
    <col min="11276" max="11276" width="3" style="51" customWidth="1"/>
    <col min="11277" max="11277" width="4.5" style="51" customWidth="1"/>
    <col min="11278" max="11278" width="18.375" style="51" customWidth="1"/>
    <col min="11279" max="11284" width="8" style="51" customWidth="1"/>
    <col min="11285" max="11285" width="3" style="51" customWidth="1"/>
    <col min="11286" max="11286" width="4.25" style="51" customWidth="1"/>
    <col min="11287" max="11287" width="14.25" style="51" customWidth="1"/>
    <col min="11288" max="11290" width="9.375" style="51" customWidth="1"/>
    <col min="11291" max="11520" width="9" style="51"/>
    <col min="11521" max="11521" width="4.75" style="51" customWidth="1"/>
    <col min="11522" max="11522" width="18.625" style="51" customWidth="1"/>
    <col min="11523" max="11523" width="7.625" style="51" customWidth="1"/>
    <col min="11524" max="11524" width="12.375" style="51" customWidth="1"/>
    <col min="11525" max="11525" width="7.5" style="51" customWidth="1"/>
    <col min="11526" max="11526" width="12.375" style="51" customWidth="1"/>
    <col min="11527" max="11527" width="7.5" style="51" customWidth="1"/>
    <col min="11528" max="11528" width="12.375" style="51" customWidth="1"/>
    <col min="11529" max="11529" width="7.5" style="51" customWidth="1"/>
    <col min="11530" max="11530" width="12.375" style="51" customWidth="1"/>
    <col min="11531" max="11531" width="7.5" style="51" customWidth="1"/>
    <col min="11532" max="11532" width="3" style="51" customWidth="1"/>
    <col min="11533" max="11533" width="4.5" style="51" customWidth="1"/>
    <col min="11534" max="11534" width="18.375" style="51" customWidth="1"/>
    <col min="11535" max="11540" width="8" style="51" customWidth="1"/>
    <col min="11541" max="11541" width="3" style="51" customWidth="1"/>
    <col min="11542" max="11542" width="4.25" style="51" customWidth="1"/>
    <col min="11543" max="11543" width="14.25" style="51" customWidth="1"/>
    <col min="11544" max="11546" width="9.375" style="51" customWidth="1"/>
    <col min="11547" max="11776" width="9" style="51"/>
    <col min="11777" max="11777" width="4.75" style="51" customWidth="1"/>
    <col min="11778" max="11778" width="18.625" style="51" customWidth="1"/>
    <col min="11779" max="11779" width="7.625" style="51" customWidth="1"/>
    <col min="11780" max="11780" width="12.375" style="51" customWidth="1"/>
    <col min="11781" max="11781" width="7.5" style="51" customWidth="1"/>
    <col min="11782" max="11782" width="12.375" style="51" customWidth="1"/>
    <col min="11783" max="11783" width="7.5" style="51" customWidth="1"/>
    <col min="11784" max="11784" width="12.375" style="51" customWidth="1"/>
    <col min="11785" max="11785" width="7.5" style="51" customWidth="1"/>
    <col min="11786" max="11786" width="12.375" style="51" customWidth="1"/>
    <col min="11787" max="11787" width="7.5" style="51" customWidth="1"/>
    <col min="11788" max="11788" width="3" style="51" customWidth="1"/>
    <col min="11789" max="11789" width="4.5" style="51" customWidth="1"/>
    <col min="11790" max="11790" width="18.375" style="51" customWidth="1"/>
    <col min="11791" max="11796" width="8" style="51" customWidth="1"/>
    <col min="11797" max="11797" width="3" style="51" customWidth="1"/>
    <col min="11798" max="11798" width="4.25" style="51" customWidth="1"/>
    <col min="11799" max="11799" width="14.25" style="51" customWidth="1"/>
    <col min="11800" max="11802" width="9.375" style="51" customWidth="1"/>
    <col min="11803" max="12032" width="9" style="51"/>
    <col min="12033" max="12033" width="4.75" style="51" customWidth="1"/>
    <col min="12034" max="12034" width="18.625" style="51" customWidth="1"/>
    <col min="12035" max="12035" width="7.625" style="51" customWidth="1"/>
    <col min="12036" max="12036" width="12.375" style="51" customWidth="1"/>
    <col min="12037" max="12037" width="7.5" style="51" customWidth="1"/>
    <col min="12038" max="12038" width="12.375" style="51" customWidth="1"/>
    <col min="12039" max="12039" width="7.5" style="51" customWidth="1"/>
    <col min="12040" max="12040" width="12.375" style="51" customWidth="1"/>
    <col min="12041" max="12041" width="7.5" style="51" customWidth="1"/>
    <col min="12042" max="12042" width="12.375" style="51" customWidth="1"/>
    <col min="12043" max="12043" width="7.5" style="51" customWidth="1"/>
    <col min="12044" max="12044" width="3" style="51" customWidth="1"/>
    <col min="12045" max="12045" width="4.5" style="51" customWidth="1"/>
    <col min="12046" max="12046" width="18.375" style="51" customWidth="1"/>
    <col min="12047" max="12052" width="8" style="51" customWidth="1"/>
    <col min="12053" max="12053" width="3" style="51" customWidth="1"/>
    <col min="12054" max="12054" width="4.25" style="51" customWidth="1"/>
    <col min="12055" max="12055" width="14.25" style="51" customWidth="1"/>
    <col min="12056" max="12058" width="9.375" style="51" customWidth="1"/>
    <col min="12059" max="12288" width="9" style="51"/>
    <col min="12289" max="12289" width="4.75" style="51" customWidth="1"/>
    <col min="12290" max="12290" width="18.625" style="51" customWidth="1"/>
    <col min="12291" max="12291" width="7.625" style="51" customWidth="1"/>
    <col min="12292" max="12292" width="12.375" style="51" customWidth="1"/>
    <col min="12293" max="12293" width="7.5" style="51" customWidth="1"/>
    <col min="12294" max="12294" width="12.375" style="51" customWidth="1"/>
    <col min="12295" max="12295" width="7.5" style="51" customWidth="1"/>
    <col min="12296" max="12296" width="12.375" style="51" customWidth="1"/>
    <col min="12297" max="12297" width="7.5" style="51" customWidth="1"/>
    <col min="12298" max="12298" width="12.375" style="51" customWidth="1"/>
    <col min="12299" max="12299" width="7.5" style="51" customWidth="1"/>
    <col min="12300" max="12300" width="3" style="51" customWidth="1"/>
    <col min="12301" max="12301" width="4.5" style="51" customWidth="1"/>
    <col min="12302" max="12302" width="18.375" style="51" customWidth="1"/>
    <col min="12303" max="12308" width="8" style="51" customWidth="1"/>
    <col min="12309" max="12309" width="3" style="51" customWidth="1"/>
    <col min="12310" max="12310" width="4.25" style="51" customWidth="1"/>
    <col min="12311" max="12311" width="14.25" style="51" customWidth="1"/>
    <col min="12312" max="12314" width="9.375" style="51" customWidth="1"/>
    <col min="12315" max="12544" width="9" style="51"/>
    <col min="12545" max="12545" width="4.75" style="51" customWidth="1"/>
    <col min="12546" max="12546" width="18.625" style="51" customWidth="1"/>
    <col min="12547" max="12547" width="7.625" style="51" customWidth="1"/>
    <col min="12548" max="12548" width="12.375" style="51" customWidth="1"/>
    <col min="12549" max="12549" width="7.5" style="51" customWidth="1"/>
    <col min="12550" max="12550" width="12.375" style="51" customWidth="1"/>
    <col min="12551" max="12551" width="7.5" style="51" customWidth="1"/>
    <col min="12552" max="12552" width="12.375" style="51" customWidth="1"/>
    <col min="12553" max="12553" width="7.5" style="51" customWidth="1"/>
    <col min="12554" max="12554" width="12.375" style="51" customWidth="1"/>
    <col min="12555" max="12555" width="7.5" style="51" customWidth="1"/>
    <col min="12556" max="12556" width="3" style="51" customWidth="1"/>
    <col min="12557" max="12557" width="4.5" style="51" customWidth="1"/>
    <col min="12558" max="12558" width="18.375" style="51" customWidth="1"/>
    <col min="12559" max="12564" width="8" style="51" customWidth="1"/>
    <col min="12565" max="12565" width="3" style="51" customWidth="1"/>
    <col min="12566" max="12566" width="4.25" style="51" customWidth="1"/>
    <col min="12567" max="12567" width="14.25" style="51" customWidth="1"/>
    <col min="12568" max="12570" width="9.375" style="51" customWidth="1"/>
    <col min="12571" max="12800" width="9" style="51"/>
    <col min="12801" max="12801" width="4.75" style="51" customWidth="1"/>
    <col min="12802" max="12802" width="18.625" style="51" customWidth="1"/>
    <col min="12803" max="12803" width="7.625" style="51" customWidth="1"/>
    <col min="12804" max="12804" width="12.375" style="51" customWidth="1"/>
    <col min="12805" max="12805" width="7.5" style="51" customWidth="1"/>
    <col min="12806" max="12806" width="12.375" style="51" customWidth="1"/>
    <col min="12807" max="12807" width="7.5" style="51" customWidth="1"/>
    <col min="12808" max="12808" width="12.375" style="51" customWidth="1"/>
    <col min="12809" max="12809" width="7.5" style="51" customWidth="1"/>
    <col min="12810" max="12810" width="12.375" style="51" customWidth="1"/>
    <col min="12811" max="12811" width="7.5" style="51" customWidth="1"/>
    <col min="12812" max="12812" width="3" style="51" customWidth="1"/>
    <col min="12813" max="12813" width="4.5" style="51" customWidth="1"/>
    <col min="12814" max="12814" width="18.375" style="51" customWidth="1"/>
    <col min="12815" max="12820" width="8" style="51" customWidth="1"/>
    <col min="12821" max="12821" width="3" style="51" customWidth="1"/>
    <col min="12822" max="12822" width="4.25" style="51" customWidth="1"/>
    <col min="12823" max="12823" width="14.25" style="51" customWidth="1"/>
    <col min="12824" max="12826" width="9.375" style="51" customWidth="1"/>
    <col min="12827" max="13056" width="9" style="51"/>
    <col min="13057" max="13057" width="4.75" style="51" customWidth="1"/>
    <col min="13058" max="13058" width="18.625" style="51" customWidth="1"/>
    <col min="13059" max="13059" width="7.625" style="51" customWidth="1"/>
    <col min="13060" max="13060" width="12.375" style="51" customWidth="1"/>
    <col min="13061" max="13061" width="7.5" style="51" customWidth="1"/>
    <col min="13062" max="13062" width="12.375" style="51" customWidth="1"/>
    <col min="13063" max="13063" width="7.5" style="51" customWidth="1"/>
    <col min="13064" max="13064" width="12.375" style="51" customWidth="1"/>
    <col min="13065" max="13065" width="7.5" style="51" customWidth="1"/>
    <col min="13066" max="13066" width="12.375" style="51" customWidth="1"/>
    <col min="13067" max="13067" width="7.5" style="51" customWidth="1"/>
    <col min="13068" max="13068" width="3" style="51" customWidth="1"/>
    <col min="13069" max="13069" width="4.5" style="51" customWidth="1"/>
    <col min="13070" max="13070" width="18.375" style="51" customWidth="1"/>
    <col min="13071" max="13076" width="8" style="51" customWidth="1"/>
    <col min="13077" max="13077" width="3" style="51" customWidth="1"/>
    <col min="13078" max="13078" width="4.25" style="51" customWidth="1"/>
    <col min="13079" max="13079" width="14.25" style="51" customWidth="1"/>
    <col min="13080" max="13082" width="9.375" style="51" customWidth="1"/>
    <col min="13083" max="13312" width="9" style="51"/>
    <col min="13313" max="13313" width="4.75" style="51" customWidth="1"/>
    <col min="13314" max="13314" width="18.625" style="51" customWidth="1"/>
    <col min="13315" max="13315" width="7.625" style="51" customWidth="1"/>
    <col min="13316" max="13316" width="12.375" style="51" customWidth="1"/>
    <col min="13317" max="13317" width="7.5" style="51" customWidth="1"/>
    <col min="13318" max="13318" width="12.375" style="51" customWidth="1"/>
    <col min="13319" max="13319" width="7.5" style="51" customWidth="1"/>
    <col min="13320" max="13320" width="12.375" style="51" customWidth="1"/>
    <col min="13321" max="13321" width="7.5" style="51" customWidth="1"/>
    <col min="13322" max="13322" width="12.375" style="51" customWidth="1"/>
    <col min="13323" max="13323" width="7.5" style="51" customWidth="1"/>
    <col min="13324" max="13324" width="3" style="51" customWidth="1"/>
    <col min="13325" max="13325" width="4.5" style="51" customWidth="1"/>
    <col min="13326" max="13326" width="18.375" style="51" customWidth="1"/>
    <col min="13327" max="13332" width="8" style="51" customWidth="1"/>
    <col min="13333" max="13333" width="3" style="51" customWidth="1"/>
    <col min="13334" max="13334" width="4.25" style="51" customWidth="1"/>
    <col min="13335" max="13335" width="14.25" style="51" customWidth="1"/>
    <col min="13336" max="13338" width="9.375" style="51" customWidth="1"/>
    <col min="13339" max="13568" width="9" style="51"/>
    <col min="13569" max="13569" width="4.75" style="51" customWidth="1"/>
    <col min="13570" max="13570" width="18.625" style="51" customWidth="1"/>
    <col min="13571" max="13571" width="7.625" style="51" customWidth="1"/>
    <col min="13572" max="13572" width="12.375" style="51" customWidth="1"/>
    <col min="13573" max="13573" width="7.5" style="51" customWidth="1"/>
    <col min="13574" max="13574" width="12.375" style="51" customWidth="1"/>
    <col min="13575" max="13575" width="7.5" style="51" customWidth="1"/>
    <col min="13576" max="13576" width="12.375" style="51" customWidth="1"/>
    <col min="13577" max="13577" width="7.5" style="51" customWidth="1"/>
    <col min="13578" max="13578" width="12.375" style="51" customWidth="1"/>
    <col min="13579" max="13579" width="7.5" style="51" customWidth="1"/>
    <col min="13580" max="13580" width="3" style="51" customWidth="1"/>
    <col min="13581" max="13581" width="4.5" style="51" customWidth="1"/>
    <col min="13582" max="13582" width="18.375" style="51" customWidth="1"/>
    <col min="13583" max="13588" width="8" style="51" customWidth="1"/>
    <col min="13589" max="13589" width="3" style="51" customWidth="1"/>
    <col min="13590" max="13590" width="4.25" style="51" customWidth="1"/>
    <col min="13591" max="13591" width="14.25" style="51" customWidth="1"/>
    <col min="13592" max="13594" width="9.375" style="51" customWidth="1"/>
    <col min="13595" max="13824" width="9" style="51"/>
    <col min="13825" max="13825" width="4.75" style="51" customWidth="1"/>
    <col min="13826" max="13826" width="18.625" style="51" customWidth="1"/>
    <col min="13827" max="13827" width="7.625" style="51" customWidth="1"/>
    <col min="13828" max="13828" width="12.375" style="51" customWidth="1"/>
    <col min="13829" max="13829" width="7.5" style="51" customWidth="1"/>
    <col min="13830" max="13830" width="12.375" style="51" customWidth="1"/>
    <col min="13831" max="13831" width="7.5" style="51" customWidth="1"/>
    <col min="13832" max="13832" width="12.375" style="51" customWidth="1"/>
    <col min="13833" max="13833" width="7.5" style="51" customWidth="1"/>
    <col min="13834" max="13834" width="12.375" style="51" customWidth="1"/>
    <col min="13835" max="13835" width="7.5" style="51" customWidth="1"/>
    <col min="13836" max="13836" width="3" style="51" customWidth="1"/>
    <col min="13837" max="13837" width="4.5" style="51" customWidth="1"/>
    <col min="13838" max="13838" width="18.375" style="51" customWidth="1"/>
    <col min="13839" max="13844" width="8" style="51" customWidth="1"/>
    <col min="13845" max="13845" width="3" style="51" customWidth="1"/>
    <col min="13846" max="13846" width="4.25" style="51" customWidth="1"/>
    <col min="13847" max="13847" width="14.25" style="51" customWidth="1"/>
    <col min="13848" max="13850" width="9.375" style="51" customWidth="1"/>
    <col min="13851" max="14080" width="9" style="51"/>
    <col min="14081" max="14081" width="4.75" style="51" customWidth="1"/>
    <col min="14082" max="14082" width="18.625" style="51" customWidth="1"/>
    <col min="14083" max="14083" width="7.625" style="51" customWidth="1"/>
    <col min="14084" max="14084" width="12.375" style="51" customWidth="1"/>
    <col min="14085" max="14085" width="7.5" style="51" customWidth="1"/>
    <col min="14086" max="14086" width="12.375" style="51" customWidth="1"/>
    <col min="14087" max="14087" width="7.5" style="51" customWidth="1"/>
    <col min="14088" max="14088" width="12.375" style="51" customWidth="1"/>
    <col min="14089" max="14089" width="7.5" style="51" customWidth="1"/>
    <col min="14090" max="14090" width="12.375" style="51" customWidth="1"/>
    <col min="14091" max="14091" width="7.5" style="51" customWidth="1"/>
    <col min="14092" max="14092" width="3" style="51" customWidth="1"/>
    <col min="14093" max="14093" width="4.5" style="51" customWidth="1"/>
    <col min="14094" max="14094" width="18.375" style="51" customWidth="1"/>
    <col min="14095" max="14100" width="8" style="51" customWidth="1"/>
    <col min="14101" max="14101" width="3" style="51" customWidth="1"/>
    <col min="14102" max="14102" width="4.25" style="51" customWidth="1"/>
    <col min="14103" max="14103" width="14.25" style="51" customWidth="1"/>
    <col min="14104" max="14106" width="9.375" style="51" customWidth="1"/>
    <col min="14107" max="14336" width="9" style="51"/>
    <col min="14337" max="14337" width="4.75" style="51" customWidth="1"/>
    <col min="14338" max="14338" width="18.625" style="51" customWidth="1"/>
    <col min="14339" max="14339" width="7.625" style="51" customWidth="1"/>
    <col min="14340" max="14340" width="12.375" style="51" customWidth="1"/>
    <col min="14341" max="14341" width="7.5" style="51" customWidth="1"/>
    <col min="14342" max="14342" width="12.375" style="51" customWidth="1"/>
    <col min="14343" max="14343" width="7.5" style="51" customWidth="1"/>
    <col min="14344" max="14344" width="12.375" style="51" customWidth="1"/>
    <col min="14345" max="14345" width="7.5" style="51" customWidth="1"/>
    <col min="14346" max="14346" width="12.375" style="51" customWidth="1"/>
    <col min="14347" max="14347" width="7.5" style="51" customWidth="1"/>
    <col min="14348" max="14348" width="3" style="51" customWidth="1"/>
    <col min="14349" max="14349" width="4.5" style="51" customWidth="1"/>
    <col min="14350" max="14350" width="18.375" style="51" customWidth="1"/>
    <col min="14351" max="14356" width="8" style="51" customWidth="1"/>
    <col min="14357" max="14357" width="3" style="51" customWidth="1"/>
    <col min="14358" max="14358" width="4.25" style="51" customWidth="1"/>
    <col min="14359" max="14359" width="14.25" style="51" customWidth="1"/>
    <col min="14360" max="14362" width="9.375" style="51" customWidth="1"/>
    <col min="14363" max="14592" width="9" style="51"/>
    <col min="14593" max="14593" width="4.75" style="51" customWidth="1"/>
    <col min="14594" max="14594" width="18.625" style="51" customWidth="1"/>
    <col min="14595" max="14595" width="7.625" style="51" customWidth="1"/>
    <col min="14596" max="14596" width="12.375" style="51" customWidth="1"/>
    <col min="14597" max="14597" width="7.5" style="51" customWidth="1"/>
    <col min="14598" max="14598" width="12.375" style="51" customWidth="1"/>
    <col min="14599" max="14599" width="7.5" style="51" customWidth="1"/>
    <col min="14600" max="14600" width="12.375" style="51" customWidth="1"/>
    <col min="14601" max="14601" width="7.5" style="51" customWidth="1"/>
    <col min="14602" max="14602" width="12.375" style="51" customWidth="1"/>
    <col min="14603" max="14603" width="7.5" style="51" customWidth="1"/>
    <col min="14604" max="14604" width="3" style="51" customWidth="1"/>
    <col min="14605" max="14605" width="4.5" style="51" customWidth="1"/>
    <col min="14606" max="14606" width="18.375" style="51" customWidth="1"/>
    <col min="14607" max="14612" width="8" style="51" customWidth="1"/>
    <col min="14613" max="14613" width="3" style="51" customWidth="1"/>
    <col min="14614" max="14614" width="4.25" style="51" customWidth="1"/>
    <col min="14615" max="14615" width="14.25" style="51" customWidth="1"/>
    <col min="14616" max="14618" width="9.375" style="51" customWidth="1"/>
    <col min="14619" max="14848" width="9" style="51"/>
    <col min="14849" max="14849" width="4.75" style="51" customWidth="1"/>
    <col min="14850" max="14850" width="18.625" style="51" customWidth="1"/>
    <col min="14851" max="14851" width="7.625" style="51" customWidth="1"/>
    <col min="14852" max="14852" width="12.375" style="51" customWidth="1"/>
    <col min="14853" max="14853" width="7.5" style="51" customWidth="1"/>
    <col min="14854" max="14854" width="12.375" style="51" customWidth="1"/>
    <col min="14855" max="14855" width="7.5" style="51" customWidth="1"/>
    <col min="14856" max="14856" width="12.375" style="51" customWidth="1"/>
    <col min="14857" max="14857" width="7.5" style="51" customWidth="1"/>
    <col min="14858" max="14858" width="12.375" style="51" customWidth="1"/>
    <col min="14859" max="14859" width="7.5" style="51" customWidth="1"/>
    <col min="14860" max="14860" width="3" style="51" customWidth="1"/>
    <col min="14861" max="14861" width="4.5" style="51" customWidth="1"/>
    <col min="14862" max="14862" width="18.375" style="51" customWidth="1"/>
    <col min="14863" max="14868" width="8" style="51" customWidth="1"/>
    <col min="14869" max="14869" width="3" style="51" customWidth="1"/>
    <col min="14870" max="14870" width="4.25" style="51" customWidth="1"/>
    <col min="14871" max="14871" width="14.25" style="51" customWidth="1"/>
    <col min="14872" max="14874" width="9.375" style="51" customWidth="1"/>
    <col min="14875" max="15104" width="9" style="51"/>
    <col min="15105" max="15105" width="4.75" style="51" customWidth="1"/>
    <col min="15106" max="15106" width="18.625" style="51" customWidth="1"/>
    <col min="15107" max="15107" width="7.625" style="51" customWidth="1"/>
    <col min="15108" max="15108" width="12.375" style="51" customWidth="1"/>
    <col min="15109" max="15109" width="7.5" style="51" customWidth="1"/>
    <col min="15110" max="15110" width="12.375" style="51" customWidth="1"/>
    <col min="15111" max="15111" width="7.5" style="51" customWidth="1"/>
    <col min="15112" max="15112" width="12.375" style="51" customWidth="1"/>
    <col min="15113" max="15113" width="7.5" style="51" customWidth="1"/>
    <col min="15114" max="15114" width="12.375" style="51" customWidth="1"/>
    <col min="15115" max="15115" width="7.5" style="51" customWidth="1"/>
    <col min="15116" max="15116" width="3" style="51" customWidth="1"/>
    <col min="15117" max="15117" width="4.5" style="51" customWidth="1"/>
    <col min="15118" max="15118" width="18.375" style="51" customWidth="1"/>
    <col min="15119" max="15124" width="8" style="51" customWidth="1"/>
    <col min="15125" max="15125" width="3" style="51" customWidth="1"/>
    <col min="15126" max="15126" width="4.25" style="51" customWidth="1"/>
    <col min="15127" max="15127" width="14.25" style="51" customWidth="1"/>
    <col min="15128" max="15130" width="9.375" style="51" customWidth="1"/>
    <col min="15131" max="15360" width="9" style="51"/>
    <col min="15361" max="15361" width="4.75" style="51" customWidth="1"/>
    <col min="15362" max="15362" width="18.625" style="51" customWidth="1"/>
    <col min="15363" max="15363" width="7.625" style="51" customWidth="1"/>
    <col min="15364" max="15364" width="12.375" style="51" customWidth="1"/>
    <col min="15365" max="15365" width="7.5" style="51" customWidth="1"/>
    <col min="15366" max="15366" width="12.375" style="51" customWidth="1"/>
    <col min="15367" max="15367" width="7.5" style="51" customWidth="1"/>
    <col min="15368" max="15368" width="12.375" style="51" customWidth="1"/>
    <col min="15369" max="15369" width="7.5" style="51" customWidth="1"/>
    <col min="15370" max="15370" width="12.375" style="51" customWidth="1"/>
    <col min="15371" max="15371" width="7.5" style="51" customWidth="1"/>
    <col min="15372" max="15372" width="3" style="51" customWidth="1"/>
    <col min="15373" max="15373" width="4.5" style="51" customWidth="1"/>
    <col min="15374" max="15374" width="18.375" style="51" customWidth="1"/>
    <col min="15375" max="15380" width="8" style="51" customWidth="1"/>
    <col min="15381" max="15381" width="3" style="51" customWidth="1"/>
    <col min="15382" max="15382" width="4.25" style="51" customWidth="1"/>
    <col min="15383" max="15383" width="14.25" style="51" customWidth="1"/>
    <col min="15384" max="15386" width="9.375" style="51" customWidth="1"/>
    <col min="15387" max="15616" width="9" style="51"/>
    <col min="15617" max="15617" width="4.75" style="51" customWidth="1"/>
    <col min="15618" max="15618" width="18.625" style="51" customWidth="1"/>
    <col min="15619" max="15619" width="7.625" style="51" customWidth="1"/>
    <col min="15620" max="15620" width="12.375" style="51" customWidth="1"/>
    <col min="15621" max="15621" width="7.5" style="51" customWidth="1"/>
    <col min="15622" max="15622" width="12.375" style="51" customWidth="1"/>
    <col min="15623" max="15623" width="7.5" style="51" customWidth="1"/>
    <col min="15624" max="15624" width="12.375" style="51" customWidth="1"/>
    <col min="15625" max="15625" width="7.5" style="51" customWidth="1"/>
    <col min="15626" max="15626" width="12.375" style="51" customWidth="1"/>
    <col min="15627" max="15627" width="7.5" style="51" customWidth="1"/>
    <col min="15628" max="15628" width="3" style="51" customWidth="1"/>
    <col min="15629" max="15629" width="4.5" style="51" customWidth="1"/>
    <col min="15630" max="15630" width="18.375" style="51" customWidth="1"/>
    <col min="15631" max="15636" width="8" style="51" customWidth="1"/>
    <col min="15637" max="15637" width="3" style="51" customWidth="1"/>
    <col min="15638" max="15638" width="4.25" style="51" customWidth="1"/>
    <col min="15639" max="15639" width="14.25" style="51" customWidth="1"/>
    <col min="15640" max="15642" width="9.375" style="51" customWidth="1"/>
    <col min="15643" max="15872" width="9" style="51"/>
    <col min="15873" max="15873" width="4.75" style="51" customWidth="1"/>
    <col min="15874" max="15874" width="18.625" style="51" customWidth="1"/>
    <col min="15875" max="15875" width="7.625" style="51" customWidth="1"/>
    <col min="15876" max="15876" width="12.375" style="51" customWidth="1"/>
    <col min="15877" max="15877" width="7.5" style="51" customWidth="1"/>
    <col min="15878" max="15878" width="12.375" style="51" customWidth="1"/>
    <col min="15879" max="15879" width="7.5" style="51" customWidth="1"/>
    <col min="15880" max="15880" width="12.375" style="51" customWidth="1"/>
    <col min="15881" max="15881" width="7.5" style="51" customWidth="1"/>
    <col min="15882" max="15882" width="12.375" style="51" customWidth="1"/>
    <col min="15883" max="15883" width="7.5" style="51" customWidth="1"/>
    <col min="15884" max="15884" width="3" style="51" customWidth="1"/>
    <col min="15885" max="15885" width="4.5" style="51" customWidth="1"/>
    <col min="15886" max="15886" width="18.375" style="51" customWidth="1"/>
    <col min="15887" max="15892" width="8" style="51" customWidth="1"/>
    <col min="15893" max="15893" width="3" style="51" customWidth="1"/>
    <col min="15894" max="15894" width="4.25" style="51" customWidth="1"/>
    <col min="15895" max="15895" width="14.25" style="51" customWidth="1"/>
    <col min="15896" max="15898" width="9.375" style="51" customWidth="1"/>
    <col min="15899" max="16128" width="9" style="51"/>
    <col min="16129" max="16129" width="4.75" style="51" customWidth="1"/>
    <col min="16130" max="16130" width="18.625" style="51" customWidth="1"/>
    <col min="16131" max="16131" width="7.625" style="51" customWidth="1"/>
    <col min="16132" max="16132" width="12.375" style="51" customWidth="1"/>
    <col min="16133" max="16133" width="7.5" style="51" customWidth="1"/>
    <col min="16134" max="16134" width="12.375" style="51" customWidth="1"/>
    <col min="16135" max="16135" width="7.5" style="51" customWidth="1"/>
    <col min="16136" max="16136" width="12.375" style="51" customWidth="1"/>
    <col min="16137" max="16137" width="7.5" style="51" customWidth="1"/>
    <col min="16138" max="16138" width="12.375" style="51" customWidth="1"/>
    <col min="16139" max="16139" width="7.5" style="51" customWidth="1"/>
    <col min="16140" max="16140" width="3" style="51" customWidth="1"/>
    <col min="16141" max="16141" width="4.5" style="51" customWidth="1"/>
    <col min="16142" max="16142" width="18.375" style="51" customWidth="1"/>
    <col min="16143" max="16148" width="8" style="51" customWidth="1"/>
    <col min="16149" max="16149" width="3" style="51" customWidth="1"/>
    <col min="16150" max="16150" width="4.25" style="51" customWidth="1"/>
    <col min="16151" max="16151" width="14.25" style="51" customWidth="1"/>
    <col min="16152" max="16154" width="9.375" style="51" customWidth="1"/>
    <col min="16155" max="16384" width="9" style="51"/>
  </cols>
  <sheetData>
    <row r="1" spans="1:28" ht="19.5" customHeight="1">
      <c r="A1" s="220" t="s">
        <v>176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2"/>
    </row>
    <row r="2" spans="1:28" ht="19.5" customHeight="1">
      <c r="A2" s="193" t="s">
        <v>177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229"/>
      <c r="M2" s="223" t="s">
        <v>178</v>
      </c>
      <c r="N2" s="223"/>
      <c r="O2" s="223"/>
      <c r="P2" s="223"/>
      <c r="Q2" s="223"/>
      <c r="R2" s="223"/>
      <c r="S2" s="223"/>
      <c r="T2" s="223"/>
      <c r="U2" s="231"/>
      <c r="V2" s="223" t="s">
        <v>179</v>
      </c>
      <c r="W2" s="223"/>
      <c r="X2" s="223"/>
      <c r="Y2" s="223"/>
      <c r="Z2" s="223"/>
    </row>
    <row r="3" spans="1:28" ht="19.5" customHeight="1">
      <c r="A3" s="224" t="s">
        <v>180</v>
      </c>
      <c r="B3" s="207"/>
      <c r="C3" s="227" t="s">
        <v>181</v>
      </c>
      <c r="D3" s="212" t="s">
        <v>182</v>
      </c>
      <c r="E3" s="212"/>
      <c r="F3" s="212" t="s">
        <v>183</v>
      </c>
      <c r="G3" s="212"/>
      <c r="H3" s="212" t="s">
        <v>184</v>
      </c>
      <c r="I3" s="212"/>
      <c r="J3" s="212" t="s">
        <v>185</v>
      </c>
      <c r="K3" s="212"/>
      <c r="L3" s="230"/>
      <c r="M3" s="213" t="s">
        <v>180</v>
      </c>
      <c r="N3" s="214"/>
      <c r="O3" s="213" t="s">
        <v>183</v>
      </c>
      <c r="P3" s="214"/>
      <c r="Q3" s="213" t="s">
        <v>184</v>
      </c>
      <c r="R3" s="214"/>
      <c r="S3" s="219" t="s">
        <v>185</v>
      </c>
      <c r="T3" s="219"/>
      <c r="U3" s="230"/>
      <c r="V3" s="213" t="s">
        <v>180</v>
      </c>
      <c r="W3" s="214"/>
      <c r="X3" s="208" t="s">
        <v>183</v>
      </c>
      <c r="Y3" s="208" t="s">
        <v>184</v>
      </c>
      <c r="Z3" s="208" t="s">
        <v>185</v>
      </c>
    </row>
    <row r="4" spans="1:28" ht="19.5" customHeight="1">
      <c r="A4" s="225"/>
      <c r="B4" s="226"/>
      <c r="C4" s="228"/>
      <c r="D4" s="210" t="s">
        <v>33</v>
      </c>
      <c r="E4" s="211"/>
      <c r="F4" s="210" t="s">
        <v>290</v>
      </c>
      <c r="G4" s="211"/>
      <c r="H4" s="210" t="s">
        <v>290</v>
      </c>
      <c r="I4" s="211"/>
      <c r="J4" s="210" t="s">
        <v>304</v>
      </c>
      <c r="K4" s="211"/>
      <c r="L4" s="230"/>
      <c r="M4" s="215"/>
      <c r="N4" s="216"/>
      <c r="O4" s="217"/>
      <c r="P4" s="218"/>
      <c r="Q4" s="215"/>
      <c r="R4" s="216"/>
      <c r="S4" s="219"/>
      <c r="T4" s="219"/>
      <c r="U4" s="230"/>
      <c r="V4" s="215"/>
      <c r="W4" s="216"/>
      <c r="X4" s="209"/>
      <c r="Y4" s="209"/>
      <c r="Z4" s="209"/>
    </row>
    <row r="5" spans="1:28" ht="19.5" customHeight="1">
      <c r="A5" s="202" t="s">
        <v>186</v>
      </c>
      <c r="B5" s="203"/>
      <c r="C5" s="91"/>
      <c r="D5" s="85" t="s">
        <v>259</v>
      </c>
      <c r="E5" s="92">
        <v>100</v>
      </c>
      <c r="F5" s="85">
        <v>2016.6</v>
      </c>
      <c r="G5" s="92">
        <v>100</v>
      </c>
      <c r="H5" s="85">
        <v>2016.6</v>
      </c>
      <c r="I5" s="92">
        <v>100</v>
      </c>
      <c r="J5" s="85">
        <v>2016.6</v>
      </c>
      <c r="K5" s="92">
        <v>100</v>
      </c>
      <c r="L5" s="230"/>
      <c r="M5" s="204" t="s">
        <v>186</v>
      </c>
      <c r="N5" s="205"/>
      <c r="O5" s="52" t="s">
        <v>187</v>
      </c>
      <c r="P5" s="53">
        <f t="shared" ref="P5:P30" si="0">G5</f>
        <v>100</v>
      </c>
      <c r="Q5" s="52" t="s">
        <v>187</v>
      </c>
      <c r="R5" s="53">
        <f t="shared" ref="R5:R30" si="1">I5</f>
        <v>100</v>
      </c>
      <c r="S5" s="52" t="s">
        <v>187</v>
      </c>
      <c r="T5" s="53">
        <f t="shared" ref="T5:T21" si="2">K5</f>
        <v>100</v>
      </c>
      <c r="U5" s="230"/>
      <c r="V5" s="204" t="s">
        <v>186</v>
      </c>
      <c r="W5" s="206"/>
      <c r="X5" s="11">
        <f t="shared" ref="X5:X22" si="3">E5/G5</f>
        <v>1</v>
      </c>
      <c r="Y5" s="11">
        <f t="shared" ref="Y5:Y22" si="4">E5/I5</f>
        <v>1</v>
      </c>
      <c r="Z5" s="11">
        <f t="shared" ref="Z5:Z22" si="5">E5/K5</f>
        <v>1</v>
      </c>
    </row>
    <row r="6" spans="1:28" ht="19.5" customHeight="1">
      <c r="A6" s="202" t="s">
        <v>188</v>
      </c>
      <c r="B6" s="207"/>
      <c r="C6" s="91">
        <v>2</v>
      </c>
      <c r="D6" s="85" t="s">
        <v>199</v>
      </c>
      <c r="E6" s="92">
        <v>100</v>
      </c>
      <c r="F6" s="85" t="s">
        <v>199</v>
      </c>
      <c r="G6" s="92">
        <v>100</v>
      </c>
      <c r="H6" s="85" t="s">
        <v>199</v>
      </c>
      <c r="I6" s="92">
        <v>100</v>
      </c>
      <c r="J6" s="85" t="s">
        <v>199</v>
      </c>
      <c r="K6" s="92">
        <v>100</v>
      </c>
      <c r="L6" s="230"/>
      <c r="M6" s="204" t="s">
        <v>188</v>
      </c>
      <c r="N6" s="206"/>
      <c r="O6" s="52" t="s">
        <v>187</v>
      </c>
      <c r="P6" s="53">
        <f t="shared" si="0"/>
        <v>100</v>
      </c>
      <c r="Q6" s="52" t="s">
        <v>187</v>
      </c>
      <c r="R6" s="53">
        <f t="shared" si="1"/>
        <v>100</v>
      </c>
      <c r="S6" s="52" t="s">
        <v>187</v>
      </c>
      <c r="T6" s="53">
        <f t="shared" si="2"/>
        <v>100</v>
      </c>
      <c r="U6" s="230"/>
      <c r="V6" s="204" t="s">
        <v>188</v>
      </c>
      <c r="W6" s="206"/>
      <c r="X6" s="11">
        <f t="shared" si="3"/>
        <v>1</v>
      </c>
      <c r="Y6" s="11">
        <f t="shared" si="4"/>
        <v>1</v>
      </c>
      <c r="Z6" s="11">
        <f t="shared" si="5"/>
        <v>1</v>
      </c>
    </row>
    <row r="7" spans="1:28" ht="19.5" customHeight="1">
      <c r="A7" s="200" t="s">
        <v>189</v>
      </c>
      <c r="B7" s="109" t="s">
        <v>356</v>
      </c>
      <c r="C7" s="91">
        <v>2</v>
      </c>
      <c r="D7" s="85" t="s">
        <v>203</v>
      </c>
      <c r="E7" s="92">
        <v>100</v>
      </c>
      <c r="F7" s="85" t="s">
        <v>203</v>
      </c>
      <c r="G7" s="92">
        <v>100</v>
      </c>
      <c r="H7" s="85" t="s">
        <v>203</v>
      </c>
      <c r="I7" s="92">
        <v>100</v>
      </c>
      <c r="J7" s="85" t="s">
        <v>203</v>
      </c>
      <c r="K7" s="92">
        <v>100</v>
      </c>
      <c r="L7" s="230"/>
      <c r="M7" s="201" t="s">
        <v>189</v>
      </c>
      <c r="N7" s="12" t="str">
        <f>B7</f>
        <v>用途</v>
      </c>
      <c r="O7" s="52" t="s">
        <v>187</v>
      </c>
      <c r="P7" s="53">
        <f t="shared" si="0"/>
        <v>100</v>
      </c>
      <c r="Q7" s="52" t="s">
        <v>187</v>
      </c>
      <c r="R7" s="53">
        <f t="shared" si="1"/>
        <v>100</v>
      </c>
      <c r="S7" s="52" t="s">
        <v>187</v>
      </c>
      <c r="T7" s="53">
        <f t="shared" si="2"/>
        <v>100</v>
      </c>
      <c r="U7" s="230"/>
      <c r="V7" s="201" t="s">
        <v>189</v>
      </c>
      <c r="W7" s="54" t="str">
        <f>N7</f>
        <v>用途</v>
      </c>
      <c r="X7" s="11">
        <f>E7/G7</f>
        <v>1</v>
      </c>
      <c r="Y7" s="11">
        <f>E7/I7</f>
        <v>1</v>
      </c>
      <c r="Z7" s="11">
        <f>E7/K7</f>
        <v>1</v>
      </c>
    </row>
    <row r="8" spans="1:28" s="59" customFormat="1" ht="19.5" customHeight="1">
      <c r="A8" s="200"/>
      <c r="B8" s="110" t="s">
        <v>49</v>
      </c>
      <c r="C8" s="91"/>
      <c r="D8" s="124">
        <v>26.18</v>
      </c>
      <c r="E8" s="92">
        <v>100</v>
      </c>
      <c r="F8" s="85" t="s">
        <v>296</v>
      </c>
      <c r="G8" s="92">
        <v>100</v>
      </c>
      <c r="H8" s="85" t="s">
        <v>296</v>
      </c>
      <c r="I8" s="92">
        <v>100</v>
      </c>
      <c r="J8" s="85" t="s">
        <v>311</v>
      </c>
      <c r="K8" s="92">
        <v>99</v>
      </c>
      <c r="L8" s="230"/>
      <c r="M8" s="201"/>
      <c r="N8" s="79" t="str">
        <f t="shared" ref="N8:N30" si="6">B8</f>
        <v>土地使用年限</v>
      </c>
      <c r="O8" s="56" t="s">
        <v>187</v>
      </c>
      <c r="P8" s="57">
        <f>G8</f>
        <v>100</v>
      </c>
      <c r="Q8" s="56" t="s">
        <v>187</v>
      </c>
      <c r="R8" s="57">
        <f>I8</f>
        <v>100</v>
      </c>
      <c r="S8" s="56" t="s">
        <v>187</v>
      </c>
      <c r="T8" s="57">
        <f>K8</f>
        <v>99</v>
      </c>
      <c r="U8" s="230"/>
      <c r="V8" s="201"/>
      <c r="W8" s="80" t="str">
        <f>N8</f>
        <v>土地使用年限</v>
      </c>
      <c r="X8" s="13">
        <f>E8/G8</f>
        <v>1</v>
      </c>
      <c r="Y8" s="13">
        <f>E8/I8</f>
        <v>1</v>
      </c>
      <c r="Z8" s="13">
        <f>E8/K8</f>
        <v>1.0101010101010102</v>
      </c>
    </row>
    <row r="9" spans="1:28" ht="19.5" hidden="1" customHeight="1">
      <c r="A9" s="200"/>
      <c r="B9" s="109" t="s">
        <v>50</v>
      </c>
      <c r="C9" s="91">
        <v>2</v>
      </c>
      <c r="D9" s="85" t="s">
        <v>200</v>
      </c>
      <c r="E9" s="92">
        <v>100</v>
      </c>
      <c r="F9" s="85" t="s">
        <v>200</v>
      </c>
      <c r="G9" s="92">
        <v>100</v>
      </c>
      <c r="H9" s="85" t="s">
        <v>200</v>
      </c>
      <c r="I9" s="92">
        <v>100</v>
      </c>
      <c r="J9" s="85" t="s">
        <v>200</v>
      </c>
      <c r="K9" s="92">
        <v>100</v>
      </c>
      <c r="L9" s="230"/>
      <c r="M9" s="201"/>
      <c r="N9" s="12" t="str">
        <f t="shared" si="6"/>
        <v>容积率</v>
      </c>
      <c r="O9" s="52" t="s">
        <v>187</v>
      </c>
      <c r="P9" s="53">
        <f t="shared" si="0"/>
        <v>100</v>
      </c>
      <c r="Q9" s="52" t="s">
        <v>187</v>
      </c>
      <c r="R9" s="53">
        <f t="shared" si="1"/>
        <v>100</v>
      </c>
      <c r="S9" s="52" t="s">
        <v>187</v>
      </c>
      <c r="T9" s="53">
        <f t="shared" si="2"/>
        <v>100</v>
      </c>
      <c r="U9" s="230"/>
      <c r="V9" s="201"/>
      <c r="W9" s="54" t="str">
        <f>N9</f>
        <v>容积率</v>
      </c>
      <c r="X9" s="11">
        <f>E9/G9</f>
        <v>1</v>
      </c>
      <c r="Y9" s="11">
        <f>E9/I9</f>
        <v>1</v>
      </c>
      <c r="Z9" s="11">
        <f>E9/K9</f>
        <v>1</v>
      </c>
    </row>
    <row r="10" spans="1:28" s="59" customFormat="1" ht="19.5" customHeight="1">
      <c r="A10" s="232" t="s">
        <v>190</v>
      </c>
      <c r="B10" s="110" t="s">
        <v>260</v>
      </c>
      <c r="C10" s="91">
        <v>2</v>
      </c>
      <c r="D10" s="85" t="s">
        <v>204</v>
      </c>
      <c r="E10" s="92">
        <v>100</v>
      </c>
      <c r="F10" s="85" t="s">
        <v>277</v>
      </c>
      <c r="G10" s="92">
        <v>100</v>
      </c>
      <c r="H10" s="85" t="s">
        <v>277</v>
      </c>
      <c r="I10" s="92">
        <v>100</v>
      </c>
      <c r="J10" s="85" t="s">
        <v>277</v>
      </c>
      <c r="K10" s="92">
        <v>100</v>
      </c>
      <c r="L10" s="230"/>
      <c r="M10" s="235" t="s">
        <v>190</v>
      </c>
      <c r="N10" s="79" t="str">
        <f t="shared" si="6"/>
        <v>商业繁华度</v>
      </c>
      <c r="O10" s="56" t="s">
        <v>187</v>
      </c>
      <c r="P10" s="57">
        <f t="shared" si="0"/>
        <v>100</v>
      </c>
      <c r="Q10" s="56" t="s">
        <v>187</v>
      </c>
      <c r="R10" s="57">
        <f t="shared" si="1"/>
        <v>100</v>
      </c>
      <c r="S10" s="56" t="s">
        <v>187</v>
      </c>
      <c r="T10" s="57">
        <f t="shared" si="2"/>
        <v>100</v>
      </c>
      <c r="U10" s="230"/>
      <c r="V10" s="235" t="s">
        <v>190</v>
      </c>
      <c r="W10" s="58" t="str">
        <f t="shared" ref="W10:W30" si="7">N10</f>
        <v>商业繁华度</v>
      </c>
      <c r="X10" s="13">
        <f t="shared" si="3"/>
        <v>1</v>
      </c>
      <c r="Y10" s="13">
        <f t="shared" si="4"/>
        <v>1</v>
      </c>
      <c r="Z10" s="13">
        <f t="shared" si="5"/>
        <v>1</v>
      </c>
    </row>
    <row r="11" spans="1:28" ht="19.5" customHeight="1">
      <c r="A11" s="233"/>
      <c r="B11" s="110" t="s">
        <v>261</v>
      </c>
      <c r="C11" s="91">
        <v>2</v>
      </c>
      <c r="D11" s="85" t="s">
        <v>202</v>
      </c>
      <c r="E11" s="92">
        <v>100</v>
      </c>
      <c r="F11" s="85" t="s">
        <v>202</v>
      </c>
      <c r="G11" s="92">
        <v>100</v>
      </c>
      <c r="H11" s="85" t="s">
        <v>202</v>
      </c>
      <c r="I11" s="92">
        <v>100</v>
      </c>
      <c r="J11" s="85" t="s">
        <v>202</v>
      </c>
      <c r="K11" s="92">
        <v>100</v>
      </c>
      <c r="L11" s="230"/>
      <c r="M11" s="236"/>
      <c r="N11" s="12" t="str">
        <f t="shared" si="6"/>
        <v>交通便捷度</v>
      </c>
      <c r="O11" s="52" t="s">
        <v>187</v>
      </c>
      <c r="P11" s="53">
        <f t="shared" si="0"/>
        <v>100</v>
      </c>
      <c r="Q11" s="52" t="s">
        <v>187</v>
      </c>
      <c r="R11" s="53">
        <f t="shared" si="1"/>
        <v>100</v>
      </c>
      <c r="S11" s="52" t="s">
        <v>187</v>
      </c>
      <c r="T11" s="53">
        <f t="shared" si="2"/>
        <v>100</v>
      </c>
      <c r="U11" s="230"/>
      <c r="V11" s="236"/>
      <c r="W11" s="55" t="str">
        <f t="shared" si="7"/>
        <v>交通便捷度</v>
      </c>
      <c r="X11" s="11">
        <f t="shared" si="3"/>
        <v>1</v>
      </c>
      <c r="Y11" s="11">
        <f t="shared" si="4"/>
        <v>1</v>
      </c>
      <c r="Z11" s="11">
        <f t="shared" si="5"/>
        <v>1</v>
      </c>
    </row>
    <row r="12" spans="1:28" s="68" customFormat="1" ht="30.75" customHeight="1">
      <c r="A12" s="233"/>
      <c r="B12" s="111" t="s">
        <v>262</v>
      </c>
      <c r="C12" s="91">
        <v>2</v>
      </c>
      <c r="D12" s="85" t="s">
        <v>276</v>
      </c>
      <c r="E12" s="92">
        <v>100</v>
      </c>
      <c r="F12" s="85" t="s">
        <v>276</v>
      </c>
      <c r="G12" s="92">
        <v>100</v>
      </c>
      <c r="H12" s="85" t="s">
        <v>276</v>
      </c>
      <c r="I12" s="92">
        <v>100</v>
      </c>
      <c r="J12" s="85" t="s">
        <v>276</v>
      </c>
      <c r="K12" s="92">
        <v>100</v>
      </c>
      <c r="L12" s="230"/>
      <c r="M12" s="236"/>
      <c r="N12" s="67" t="str">
        <f t="shared" si="6"/>
        <v>公用设施及基础设施水平</v>
      </c>
      <c r="O12" s="83" t="s">
        <v>187</v>
      </c>
      <c r="P12" s="53">
        <f t="shared" si="0"/>
        <v>100</v>
      </c>
      <c r="Q12" s="83" t="s">
        <v>48</v>
      </c>
      <c r="R12" s="53">
        <f t="shared" si="1"/>
        <v>100</v>
      </c>
      <c r="S12" s="83" t="s">
        <v>187</v>
      </c>
      <c r="T12" s="53">
        <f t="shared" si="2"/>
        <v>100</v>
      </c>
      <c r="U12" s="230"/>
      <c r="V12" s="236"/>
      <c r="W12" s="55" t="str">
        <f t="shared" si="7"/>
        <v>公用设施及基础设施水平</v>
      </c>
      <c r="X12" s="11">
        <f t="shared" si="3"/>
        <v>1</v>
      </c>
      <c r="Y12" s="11">
        <f t="shared" si="4"/>
        <v>1</v>
      </c>
      <c r="Z12" s="11">
        <f t="shared" si="5"/>
        <v>1</v>
      </c>
      <c r="AA12" s="51"/>
      <c r="AB12" s="51"/>
    </row>
    <row r="13" spans="1:28" ht="19.5" customHeight="1">
      <c r="A13" s="233"/>
      <c r="B13" s="110" t="s">
        <v>263</v>
      </c>
      <c r="C13" s="91">
        <v>2</v>
      </c>
      <c r="D13" s="85" t="s">
        <v>277</v>
      </c>
      <c r="E13" s="92">
        <v>100</v>
      </c>
      <c r="F13" s="85" t="s">
        <v>277</v>
      </c>
      <c r="G13" s="92">
        <v>100</v>
      </c>
      <c r="H13" s="85" t="s">
        <v>277</v>
      </c>
      <c r="I13" s="92">
        <v>100</v>
      </c>
      <c r="J13" s="85" t="s">
        <v>277</v>
      </c>
      <c r="K13" s="92">
        <v>100</v>
      </c>
      <c r="L13" s="230"/>
      <c r="M13" s="236"/>
      <c r="N13" s="12" t="str">
        <f t="shared" si="6"/>
        <v>自然及人文环境</v>
      </c>
      <c r="O13" s="52" t="s">
        <v>187</v>
      </c>
      <c r="P13" s="53">
        <f t="shared" si="0"/>
        <v>100</v>
      </c>
      <c r="Q13" s="52" t="s">
        <v>187</v>
      </c>
      <c r="R13" s="53">
        <f t="shared" si="1"/>
        <v>100</v>
      </c>
      <c r="S13" s="52" t="s">
        <v>187</v>
      </c>
      <c r="T13" s="53">
        <f t="shared" si="2"/>
        <v>100</v>
      </c>
      <c r="U13" s="230"/>
      <c r="V13" s="236"/>
      <c r="W13" s="55" t="str">
        <f t="shared" si="7"/>
        <v>自然及人文环境</v>
      </c>
      <c r="X13" s="11">
        <f t="shared" si="3"/>
        <v>1</v>
      </c>
      <c r="Y13" s="11">
        <f t="shared" si="4"/>
        <v>1</v>
      </c>
      <c r="Z13" s="11">
        <f t="shared" si="5"/>
        <v>1</v>
      </c>
    </row>
    <row r="14" spans="1:28" ht="19.5" customHeight="1">
      <c r="A14" s="233"/>
      <c r="B14" s="110" t="s">
        <v>343</v>
      </c>
      <c r="C14" s="91">
        <v>2</v>
      </c>
      <c r="D14" s="85" t="s">
        <v>344</v>
      </c>
      <c r="E14" s="92">
        <v>100</v>
      </c>
      <c r="F14" s="85" t="s">
        <v>344</v>
      </c>
      <c r="G14" s="92">
        <v>100</v>
      </c>
      <c r="H14" s="85" t="s">
        <v>344</v>
      </c>
      <c r="I14" s="92">
        <v>100</v>
      </c>
      <c r="J14" s="85" t="s">
        <v>344</v>
      </c>
      <c r="K14" s="92">
        <v>100</v>
      </c>
      <c r="L14" s="230"/>
      <c r="M14" s="236"/>
      <c r="N14" s="12" t="str">
        <f t="shared" si="6"/>
        <v>临街状况</v>
      </c>
      <c r="O14" s="52" t="s">
        <v>187</v>
      </c>
      <c r="P14" s="53">
        <f t="shared" si="0"/>
        <v>100</v>
      </c>
      <c r="Q14" s="52" t="s">
        <v>187</v>
      </c>
      <c r="R14" s="53">
        <f t="shared" si="1"/>
        <v>100</v>
      </c>
      <c r="S14" s="52" t="s">
        <v>187</v>
      </c>
      <c r="T14" s="53">
        <f t="shared" si="2"/>
        <v>100</v>
      </c>
      <c r="U14" s="230"/>
      <c r="V14" s="236"/>
      <c r="W14" s="55" t="str">
        <f t="shared" si="7"/>
        <v>临街状况</v>
      </c>
      <c r="X14" s="11">
        <f t="shared" si="3"/>
        <v>1</v>
      </c>
      <c r="Y14" s="11">
        <f t="shared" si="4"/>
        <v>1</v>
      </c>
      <c r="Z14" s="11">
        <f t="shared" si="5"/>
        <v>1</v>
      </c>
    </row>
    <row r="15" spans="1:28" ht="19.5" customHeight="1">
      <c r="A15" s="233"/>
      <c r="B15" s="110" t="s">
        <v>354</v>
      </c>
      <c r="C15" s="91">
        <v>2</v>
      </c>
      <c r="D15" s="85" t="s">
        <v>293</v>
      </c>
      <c r="E15" s="92">
        <v>100</v>
      </c>
      <c r="F15" s="85" t="s">
        <v>348</v>
      </c>
      <c r="G15" s="92">
        <v>100</v>
      </c>
      <c r="H15" s="85" t="s">
        <v>349</v>
      </c>
      <c r="I15" s="92">
        <v>100</v>
      </c>
      <c r="J15" s="85" t="s">
        <v>292</v>
      </c>
      <c r="K15" s="92">
        <v>100</v>
      </c>
      <c r="L15" s="230"/>
      <c r="M15" s="236"/>
      <c r="N15" s="12" t="str">
        <f t="shared" si="6"/>
        <v>平面位置</v>
      </c>
      <c r="O15" s="52" t="s">
        <v>187</v>
      </c>
      <c r="P15" s="53">
        <f t="shared" si="0"/>
        <v>100</v>
      </c>
      <c r="Q15" s="52" t="s">
        <v>187</v>
      </c>
      <c r="R15" s="53">
        <f t="shared" si="1"/>
        <v>100</v>
      </c>
      <c r="S15" s="52" t="s">
        <v>187</v>
      </c>
      <c r="T15" s="53">
        <f t="shared" si="2"/>
        <v>100</v>
      </c>
      <c r="U15" s="230"/>
      <c r="V15" s="236"/>
      <c r="W15" s="55" t="str">
        <f t="shared" si="7"/>
        <v>平面位置</v>
      </c>
      <c r="X15" s="11">
        <f t="shared" si="3"/>
        <v>1</v>
      </c>
      <c r="Y15" s="11">
        <f t="shared" si="4"/>
        <v>1</v>
      </c>
      <c r="Z15" s="11">
        <f t="shared" si="5"/>
        <v>1</v>
      </c>
    </row>
    <row r="16" spans="1:28" ht="19.5" customHeight="1">
      <c r="A16" s="233"/>
      <c r="B16" s="110" t="s">
        <v>201</v>
      </c>
      <c r="C16" s="91"/>
      <c r="D16" s="85" t="s">
        <v>278</v>
      </c>
      <c r="E16" s="92">
        <v>100</v>
      </c>
      <c r="F16" s="85" t="s">
        <v>278</v>
      </c>
      <c r="G16" s="92">
        <v>100</v>
      </c>
      <c r="H16" s="85" t="s">
        <v>350</v>
      </c>
      <c r="I16" s="92">
        <v>100</v>
      </c>
      <c r="J16" s="85" t="s">
        <v>278</v>
      </c>
      <c r="K16" s="92">
        <v>100</v>
      </c>
      <c r="L16" s="230"/>
      <c r="M16" s="236"/>
      <c r="N16" s="12" t="str">
        <f t="shared" si="6"/>
        <v>人流量</v>
      </c>
      <c r="O16" s="52" t="s">
        <v>187</v>
      </c>
      <c r="P16" s="53">
        <f t="shared" si="0"/>
        <v>100</v>
      </c>
      <c r="Q16" s="52" t="s">
        <v>187</v>
      </c>
      <c r="R16" s="53">
        <f t="shared" si="1"/>
        <v>100</v>
      </c>
      <c r="S16" s="52" t="s">
        <v>187</v>
      </c>
      <c r="T16" s="53">
        <f t="shared" si="2"/>
        <v>100</v>
      </c>
      <c r="U16" s="230"/>
      <c r="V16" s="236"/>
      <c r="W16" s="55" t="str">
        <f t="shared" si="7"/>
        <v>人流量</v>
      </c>
      <c r="X16" s="11">
        <f>E16/G16</f>
        <v>1</v>
      </c>
      <c r="Y16" s="11">
        <f>E16/I16</f>
        <v>1</v>
      </c>
      <c r="Z16" s="11">
        <f>E16/K16</f>
        <v>1</v>
      </c>
    </row>
    <row r="17" spans="1:26" s="59" customFormat="1" ht="19.5" customHeight="1">
      <c r="A17" s="233"/>
      <c r="B17" s="110" t="s">
        <v>264</v>
      </c>
      <c r="C17" s="91"/>
      <c r="D17" s="85" t="s">
        <v>279</v>
      </c>
      <c r="E17" s="92">
        <v>100</v>
      </c>
      <c r="F17" s="85" t="s">
        <v>279</v>
      </c>
      <c r="G17" s="92">
        <v>100</v>
      </c>
      <c r="H17" s="85" t="s">
        <v>297</v>
      </c>
      <c r="I17" s="92">
        <v>100</v>
      </c>
      <c r="J17" s="85" t="s">
        <v>279</v>
      </c>
      <c r="K17" s="92">
        <v>100</v>
      </c>
      <c r="L17" s="230"/>
      <c r="M17" s="236"/>
      <c r="N17" s="79" t="str">
        <f t="shared" si="6"/>
        <v>楼层</v>
      </c>
      <c r="O17" s="56" t="s">
        <v>187</v>
      </c>
      <c r="P17" s="57">
        <f t="shared" si="0"/>
        <v>100</v>
      </c>
      <c r="Q17" s="56" t="s">
        <v>187</v>
      </c>
      <c r="R17" s="57">
        <f t="shared" si="1"/>
        <v>100</v>
      </c>
      <c r="S17" s="56" t="s">
        <v>187</v>
      </c>
      <c r="T17" s="57">
        <f t="shared" si="2"/>
        <v>100</v>
      </c>
      <c r="U17" s="230"/>
      <c r="V17" s="236"/>
      <c r="W17" s="58" t="str">
        <f t="shared" si="7"/>
        <v>楼层</v>
      </c>
      <c r="X17" s="13">
        <f>E17/G17</f>
        <v>1</v>
      </c>
      <c r="Y17" s="13">
        <f>E17/I17</f>
        <v>1</v>
      </c>
      <c r="Z17" s="13">
        <f>E17/K17</f>
        <v>1</v>
      </c>
    </row>
    <row r="18" spans="1:26" s="59" customFormat="1" ht="19.5" customHeight="1">
      <c r="A18" s="234"/>
      <c r="B18" s="110"/>
      <c r="C18" s="91"/>
      <c r="D18" s="85"/>
      <c r="E18" s="92">
        <v>100</v>
      </c>
      <c r="F18" s="85"/>
      <c r="G18" s="92">
        <v>100</v>
      </c>
      <c r="H18" s="85"/>
      <c r="I18" s="92">
        <v>100</v>
      </c>
      <c r="J18" s="85"/>
      <c r="K18" s="92">
        <v>100</v>
      </c>
      <c r="L18" s="230"/>
      <c r="M18" s="237"/>
      <c r="N18" s="79"/>
      <c r="O18" s="56" t="s">
        <v>48</v>
      </c>
      <c r="P18" s="57">
        <f t="shared" si="0"/>
        <v>100</v>
      </c>
      <c r="Q18" s="56" t="s">
        <v>48</v>
      </c>
      <c r="R18" s="57">
        <f t="shared" si="1"/>
        <v>100</v>
      </c>
      <c r="S18" s="56" t="s">
        <v>48</v>
      </c>
      <c r="T18" s="57">
        <f t="shared" si="2"/>
        <v>100</v>
      </c>
      <c r="U18" s="230"/>
      <c r="V18" s="237"/>
      <c r="W18" s="58"/>
      <c r="X18" s="13">
        <f>E18/G18</f>
        <v>1</v>
      </c>
      <c r="Y18" s="13">
        <f>E18/I18</f>
        <v>1</v>
      </c>
      <c r="Z18" s="13">
        <f>E18/K18</f>
        <v>1</v>
      </c>
    </row>
    <row r="19" spans="1:26" s="68" customFormat="1" ht="19.5" customHeight="1">
      <c r="A19" s="238" t="s">
        <v>51</v>
      </c>
      <c r="B19" s="110" t="s">
        <v>265</v>
      </c>
      <c r="C19" s="91">
        <v>2</v>
      </c>
      <c r="D19" s="85" t="s">
        <v>208</v>
      </c>
      <c r="E19" s="92">
        <v>100</v>
      </c>
      <c r="F19" s="85" t="s">
        <v>294</v>
      </c>
      <c r="G19" s="92">
        <v>102</v>
      </c>
      <c r="H19" s="85" t="s">
        <v>294</v>
      </c>
      <c r="I19" s="92">
        <f>G19</f>
        <v>102</v>
      </c>
      <c r="J19" s="85" t="s">
        <v>294</v>
      </c>
      <c r="K19" s="92">
        <f>G19</f>
        <v>102</v>
      </c>
      <c r="L19" s="230"/>
      <c r="M19" s="240" t="s">
        <v>51</v>
      </c>
      <c r="N19" s="12" t="str">
        <f t="shared" si="6"/>
        <v>商业类型</v>
      </c>
      <c r="O19" s="56" t="s">
        <v>48</v>
      </c>
      <c r="P19" s="57">
        <f t="shared" si="0"/>
        <v>102</v>
      </c>
      <c r="Q19" s="56" t="s">
        <v>48</v>
      </c>
      <c r="R19" s="57">
        <f t="shared" si="1"/>
        <v>102</v>
      </c>
      <c r="S19" s="56" t="s">
        <v>48</v>
      </c>
      <c r="T19" s="57">
        <f t="shared" si="2"/>
        <v>102</v>
      </c>
      <c r="U19" s="230"/>
      <c r="V19" s="243" t="s">
        <v>191</v>
      </c>
      <c r="W19" s="58" t="str">
        <f t="shared" si="7"/>
        <v>商业类型</v>
      </c>
      <c r="X19" s="13">
        <f t="shared" si="3"/>
        <v>0.98039215686274506</v>
      </c>
      <c r="Y19" s="13">
        <f t="shared" si="4"/>
        <v>0.98039215686274506</v>
      </c>
      <c r="Z19" s="13">
        <f t="shared" si="5"/>
        <v>0.98039215686274506</v>
      </c>
    </row>
    <row r="20" spans="1:26" s="59" customFormat="1" ht="19.5" customHeight="1">
      <c r="A20" s="239"/>
      <c r="B20" s="110" t="s">
        <v>266</v>
      </c>
      <c r="C20" s="91">
        <v>2</v>
      </c>
      <c r="D20" s="92"/>
      <c r="E20" s="92">
        <v>100</v>
      </c>
      <c r="F20" s="92"/>
      <c r="G20" s="92">
        <v>100</v>
      </c>
      <c r="H20" s="92"/>
      <c r="I20" s="92">
        <v>100</v>
      </c>
      <c r="J20" s="92"/>
      <c r="K20" s="92">
        <v>100</v>
      </c>
      <c r="L20" s="230"/>
      <c r="M20" s="241"/>
      <c r="N20" s="12" t="str">
        <f t="shared" si="6"/>
        <v>项目建筑规模</v>
      </c>
      <c r="O20" s="56" t="s">
        <v>187</v>
      </c>
      <c r="P20" s="57">
        <f t="shared" si="0"/>
        <v>100</v>
      </c>
      <c r="Q20" s="56" t="s">
        <v>187</v>
      </c>
      <c r="R20" s="57">
        <f t="shared" si="1"/>
        <v>100</v>
      </c>
      <c r="S20" s="56" t="s">
        <v>187</v>
      </c>
      <c r="T20" s="57">
        <f t="shared" si="2"/>
        <v>100</v>
      </c>
      <c r="U20" s="230"/>
      <c r="V20" s="244"/>
      <c r="W20" s="58" t="str">
        <f t="shared" si="7"/>
        <v>项目建筑规模</v>
      </c>
      <c r="X20" s="13">
        <f t="shared" si="3"/>
        <v>1</v>
      </c>
      <c r="Y20" s="13">
        <f t="shared" si="4"/>
        <v>1</v>
      </c>
      <c r="Z20" s="13">
        <f t="shared" si="5"/>
        <v>1</v>
      </c>
    </row>
    <row r="21" spans="1:26" s="59" customFormat="1" ht="19.5" customHeight="1">
      <c r="A21" s="239"/>
      <c r="B21" s="110" t="s">
        <v>267</v>
      </c>
      <c r="C21" s="91">
        <v>2</v>
      </c>
      <c r="D21" s="85" t="s">
        <v>281</v>
      </c>
      <c r="E21" s="92">
        <v>100</v>
      </c>
      <c r="F21" s="85" t="s">
        <v>281</v>
      </c>
      <c r="G21" s="92">
        <v>100</v>
      </c>
      <c r="H21" s="85" t="s">
        <v>298</v>
      </c>
      <c r="I21" s="92">
        <v>100</v>
      </c>
      <c r="J21" s="85" t="s">
        <v>281</v>
      </c>
      <c r="K21" s="92">
        <v>100</v>
      </c>
      <c r="L21" s="230"/>
      <c r="M21" s="241"/>
      <c r="N21" s="12" t="str">
        <f t="shared" si="6"/>
        <v>建筑结构</v>
      </c>
      <c r="O21" s="56" t="s">
        <v>187</v>
      </c>
      <c r="P21" s="57">
        <f t="shared" si="0"/>
        <v>100</v>
      </c>
      <c r="Q21" s="56" t="s">
        <v>187</v>
      </c>
      <c r="R21" s="57">
        <f t="shared" si="1"/>
        <v>100</v>
      </c>
      <c r="S21" s="56" t="s">
        <v>187</v>
      </c>
      <c r="T21" s="57">
        <f t="shared" si="2"/>
        <v>100</v>
      </c>
      <c r="U21" s="230"/>
      <c r="V21" s="244"/>
      <c r="W21" s="58" t="str">
        <f t="shared" si="7"/>
        <v>建筑结构</v>
      </c>
      <c r="X21" s="13">
        <f t="shared" si="3"/>
        <v>1</v>
      </c>
      <c r="Y21" s="13">
        <f t="shared" si="4"/>
        <v>1</v>
      </c>
      <c r="Z21" s="13">
        <f t="shared" si="5"/>
        <v>1</v>
      </c>
    </row>
    <row r="22" spans="1:26" ht="19.5" customHeight="1">
      <c r="A22" s="239"/>
      <c r="B22" s="110" t="s">
        <v>268</v>
      </c>
      <c r="C22" s="91">
        <v>2</v>
      </c>
      <c r="D22" s="85" t="s">
        <v>282</v>
      </c>
      <c r="E22" s="92">
        <v>100</v>
      </c>
      <c r="F22" s="85" t="s">
        <v>315</v>
      </c>
      <c r="G22" s="92">
        <v>102</v>
      </c>
      <c r="H22" s="85" t="s">
        <v>315</v>
      </c>
      <c r="I22" s="92">
        <f>G22</f>
        <v>102</v>
      </c>
      <c r="J22" s="85" t="s">
        <v>314</v>
      </c>
      <c r="K22" s="92">
        <f>G22</f>
        <v>102</v>
      </c>
      <c r="L22" s="230"/>
      <c r="M22" s="241"/>
      <c r="N22" s="12" t="str">
        <f t="shared" si="6"/>
        <v>公共部分装修</v>
      </c>
      <c r="O22" s="52" t="s">
        <v>187</v>
      </c>
      <c r="P22" s="53">
        <f t="shared" si="0"/>
        <v>102</v>
      </c>
      <c r="Q22" s="52" t="s">
        <v>187</v>
      </c>
      <c r="R22" s="53">
        <f t="shared" si="1"/>
        <v>102</v>
      </c>
      <c r="S22" s="52" t="s">
        <v>187</v>
      </c>
      <c r="T22" s="53">
        <f>K22</f>
        <v>102</v>
      </c>
      <c r="U22" s="230"/>
      <c r="V22" s="244"/>
      <c r="W22" s="55" t="str">
        <f t="shared" si="7"/>
        <v>公共部分装修</v>
      </c>
      <c r="X22" s="11">
        <f t="shared" si="3"/>
        <v>0.98039215686274506</v>
      </c>
      <c r="Y22" s="11">
        <f t="shared" si="4"/>
        <v>0.98039215686274506</v>
      </c>
      <c r="Z22" s="11">
        <f t="shared" si="5"/>
        <v>0.98039215686274506</v>
      </c>
    </row>
    <row r="23" spans="1:26" ht="19.5" customHeight="1">
      <c r="A23" s="239"/>
      <c r="B23" s="110" t="s">
        <v>269</v>
      </c>
      <c r="C23" s="91"/>
      <c r="D23" s="120">
        <v>0.75</v>
      </c>
      <c r="E23" s="92">
        <v>100</v>
      </c>
      <c r="F23" s="120">
        <v>0.85</v>
      </c>
      <c r="G23" s="92">
        <f>F48</f>
        <v>104</v>
      </c>
      <c r="H23" s="120">
        <v>0.85</v>
      </c>
      <c r="I23" s="92">
        <f>F48</f>
        <v>104</v>
      </c>
      <c r="J23" s="120">
        <v>0.8</v>
      </c>
      <c r="K23" s="92">
        <f>F49</f>
        <v>102</v>
      </c>
      <c r="M23" s="241"/>
      <c r="N23" s="12" t="str">
        <f t="shared" si="6"/>
        <v>成新度</v>
      </c>
      <c r="O23" s="52" t="s">
        <v>48</v>
      </c>
      <c r="P23" s="53">
        <f t="shared" si="0"/>
        <v>104</v>
      </c>
      <c r="Q23" s="52" t="s">
        <v>48</v>
      </c>
      <c r="R23" s="53">
        <f t="shared" si="1"/>
        <v>104</v>
      </c>
      <c r="S23" s="52" t="s">
        <v>48</v>
      </c>
      <c r="T23" s="53">
        <f t="shared" ref="T23:T30" si="8">K23</f>
        <v>102</v>
      </c>
      <c r="V23" s="244"/>
      <c r="W23" s="55" t="str">
        <f t="shared" si="7"/>
        <v>成新度</v>
      </c>
      <c r="X23" s="11">
        <f t="shared" ref="X23:X30" si="9">E23/G23</f>
        <v>0.96153846153846156</v>
      </c>
      <c r="Y23" s="11">
        <f t="shared" ref="Y23:Y30" si="10">E23/I23</f>
        <v>0.96153846153846156</v>
      </c>
      <c r="Z23" s="11">
        <f t="shared" ref="Z23:Z30" si="11">E23/K23</f>
        <v>0.98039215686274506</v>
      </c>
    </row>
    <row r="24" spans="1:26" ht="19.5" customHeight="1">
      <c r="A24" s="239"/>
      <c r="B24" s="110" t="s">
        <v>355</v>
      </c>
      <c r="C24" s="91"/>
      <c r="D24" s="85" t="s">
        <v>287</v>
      </c>
      <c r="E24" s="92">
        <v>100</v>
      </c>
      <c r="F24" s="85" t="s">
        <v>287</v>
      </c>
      <c r="G24" s="92">
        <v>100</v>
      </c>
      <c r="H24" s="85" t="s">
        <v>253</v>
      </c>
      <c r="I24" s="92">
        <v>100</v>
      </c>
      <c r="J24" s="85" t="s">
        <v>306</v>
      </c>
      <c r="K24" s="92">
        <v>99</v>
      </c>
      <c r="M24" s="241"/>
      <c r="N24" s="12" t="str">
        <f t="shared" si="6"/>
        <v>红线外基础设施水平</v>
      </c>
      <c r="O24" s="52" t="s">
        <v>48</v>
      </c>
      <c r="P24" s="53">
        <f t="shared" si="0"/>
        <v>100</v>
      </c>
      <c r="Q24" s="52" t="s">
        <v>48</v>
      </c>
      <c r="R24" s="53">
        <f t="shared" si="1"/>
        <v>100</v>
      </c>
      <c r="S24" s="52" t="s">
        <v>48</v>
      </c>
      <c r="T24" s="53">
        <f t="shared" si="8"/>
        <v>99</v>
      </c>
      <c r="V24" s="244"/>
      <c r="W24" s="55" t="str">
        <f t="shared" si="7"/>
        <v>红线外基础设施水平</v>
      </c>
      <c r="X24" s="11">
        <f t="shared" si="9"/>
        <v>1</v>
      </c>
      <c r="Y24" s="11">
        <f t="shared" si="10"/>
        <v>1</v>
      </c>
      <c r="Z24" s="11">
        <f t="shared" si="11"/>
        <v>1.0101010101010102</v>
      </c>
    </row>
    <row r="25" spans="1:26" ht="19.5" customHeight="1">
      <c r="A25" s="239"/>
      <c r="B25" s="110" t="s">
        <v>270</v>
      </c>
      <c r="C25" s="91"/>
      <c r="D25" s="85" t="s">
        <v>288</v>
      </c>
      <c r="E25" s="92">
        <v>100</v>
      </c>
      <c r="F25" s="85" t="s">
        <v>288</v>
      </c>
      <c r="G25" s="92">
        <v>100</v>
      </c>
      <c r="H25" s="85" t="s">
        <v>299</v>
      </c>
      <c r="I25" s="92">
        <v>100</v>
      </c>
      <c r="J25" s="85" t="s">
        <v>305</v>
      </c>
      <c r="K25" s="92">
        <v>99</v>
      </c>
      <c r="M25" s="241"/>
      <c r="N25" s="12" t="str">
        <f t="shared" si="6"/>
        <v>业态</v>
      </c>
      <c r="O25" s="52" t="s">
        <v>48</v>
      </c>
      <c r="P25" s="53">
        <f t="shared" si="0"/>
        <v>100</v>
      </c>
      <c r="Q25" s="52" t="s">
        <v>48</v>
      </c>
      <c r="R25" s="53">
        <f t="shared" si="1"/>
        <v>100</v>
      </c>
      <c r="S25" s="52" t="s">
        <v>48</v>
      </c>
      <c r="T25" s="53">
        <f t="shared" si="8"/>
        <v>99</v>
      </c>
      <c r="V25" s="244"/>
      <c r="W25" s="55" t="str">
        <f t="shared" si="7"/>
        <v>业态</v>
      </c>
      <c r="X25" s="11">
        <f t="shared" si="9"/>
        <v>1</v>
      </c>
      <c r="Y25" s="11">
        <f t="shared" si="10"/>
        <v>1</v>
      </c>
      <c r="Z25" s="11">
        <f t="shared" si="11"/>
        <v>1.0101010101010102</v>
      </c>
    </row>
    <row r="26" spans="1:26" ht="19.5" customHeight="1">
      <c r="A26" s="239"/>
      <c r="B26" s="110" t="s">
        <v>271</v>
      </c>
      <c r="C26" s="91"/>
      <c r="D26" s="85" t="s">
        <v>289</v>
      </c>
      <c r="E26" s="92">
        <v>100</v>
      </c>
      <c r="F26" s="85" t="s">
        <v>295</v>
      </c>
      <c r="G26" s="92">
        <v>100</v>
      </c>
      <c r="H26" s="85" t="s">
        <v>300</v>
      </c>
      <c r="I26" s="92">
        <v>100</v>
      </c>
      <c r="J26" s="85" t="s">
        <v>307</v>
      </c>
      <c r="K26" s="92">
        <v>100</v>
      </c>
      <c r="M26" s="241"/>
      <c r="N26" s="12" t="str">
        <f t="shared" si="6"/>
        <v>层高</v>
      </c>
      <c r="O26" s="52" t="s">
        <v>48</v>
      </c>
      <c r="P26" s="53">
        <f t="shared" si="0"/>
        <v>100</v>
      </c>
      <c r="Q26" s="52" t="s">
        <v>48</v>
      </c>
      <c r="R26" s="53">
        <f t="shared" si="1"/>
        <v>100</v>
      </c>
      <c r="S26" s="52" t="s">
        <v>48</v>
      </c>
      <c r="T26" s="53">
        <f t="shared" si="8"/>
        <v>100</v>
      </c>
      <c r="V26" s="244"/>
      <c r="W26" s="55" t="str">
        <f t="shared" si="7"/>
        <v>层高</v>
      </c>
      <c r="X26" s="11">
        <f t="shared" si="9"/>
        <v>1</v>
      </c>
      <c r="Y26" s="11">
        <f t="shared" si="10"/>
        <v>1</v>
      </c>
      <c r="Z26" s="11">
        <f t="shared" si="11"/>
        <v>1</v>
      </c>
    </row>
    <row r="27" spans="1:26" ht="19.5" customHeight="1">
      <c r="A27" s="239"/>
      <c r="B27" s="110" t="s">
        <v>272</v>
      </c>
      <c r="C27" s="91"/>
      <c r="D27" s="85">
        <f>面积表!C6</f>
        <v>179.4</v>
      </c>
      <c r="E27" s="92">
        <v>100</v>
      </c>
      <c r="F27" s="85">
        <v>217.37</v>
      </c>
      <c r="G27" s="92">
        <f>C37</f>
        <v>100</v>
      </c>
      <c r="H27" s="85">
        <v>317</v>
      </c>
      <c r="I27" s="92">
        <f>C38</f>
        <v>98</v>
      </c>
      <c r="J27" s="85">
        <v>755</v>
      </c>
      <c r="K27" s="92">
        <f>C39</f>
        <v>96</v>
      </c>
      <c r="M27" s="241"/>
      <c r="N27" s="12" t="str">
        <f t="shared" si="6"/>
        <v>单套建筑面积</v>
      </c>
      <c r="O27" s="52" t="s">
        <v>48</v>
      </c>
      <c r="P27" s="53">
        <f t="shared" si="0"/>
        <v>100</v>
      </c>
      <c r="Q27" s="52" t="s">
        <v>48</v>
      </c>
      <c r="R27" s="53">
        <f t="shared" si="1"/>
        <v>98</v>
      </c>
      <c r="S27" s="52" t="s">
        <v>48</v>
      </c>
      <c r="T27" s="53">
        <f t="shared" si="8"/>
        <v>96</v>
      </c>
      <c r="V27" s="244"/>
      <c r="W27" s="55" t="str">
        <f t="shared" si="7"/>
        <v>单套建筑面积</v>
      </c>
      <c r="X27" s="11">
        <f t="shared" si="9"/>
        <v>1</v>
      </c>
      <c r="Y27" s="11">
        <f t="shared" si="10"/>
        <v>1.0204081632653061</v>
      </c>
      <c r="Z27" s="11">
        <f t="shared" si="11"/>
        <v>1.0416666666666667</v>
      </c>
    </row>
    <row r="28" spans="1:26" ht="19.5" customHeight="1">
      <c r="A28" s="239"/>
      <c r="B28" s="110" t="s">
        <v>273</v>
      </c>
      <c r="C28" s="91"/>
      <c r="D28" s="85" t="s">
        <v>277</v>
      </c>
      <c r="E28" s="92">
        <v>100</v>
      </c>
      <c r="F28" s="85" t="s">
        <v>277</v>
      </c>
      <c r="G28" s="92">
        <v>100</v>
      </c>
      <c r="H28" s="85" t="s">
        <v>277</v>
      </c>
      <c r="I28" s="92">
        <v>100</v>
      </c>
      <c r="J28" s="85" t="s">
        <v>277</v>
      </c>
      <c r="K28" s="92">
        <v>100</v>
      </c>
      <c r="M28" s="241"/>
      <c r="N28" s="12" t="str">
        <f t="shared" si="6"/>
        <v>进深比</v>
      </c>
      <c r="O28" s="52" t="s">
        <v>48</v>
      </c>
      <c r="P28" s="53">
        <f t="shared" si="0"/>
        <v>100</v>
      </c>
      <c r="Q28" s="52" t="s">
        <v>48</v>
      </c>
      <c r="R28" s="53">
        <f t="shared" si="1"/>
        <v>100</v>
      </c>
      <c r="S28" s="52" t="s">
        <v>48</v>
      </c>
      <c r="T28" s="53">
        <f t="shared" si="8"/>
        <v>100</v>
      </c>
      <c r="V28" s="244"/>
      <c r="W28" s="55" t="str">
        <f t="shared" si="7"/>
        <v>进深比</v>
      </c>
      <c r="X28" s="11">
        <f t="shared" si="9"/>
        <v>1</v>
      </c>
      <c r="Y28" s="11">
        <f t="shared" si="10"/>
        <v>1</v>
      </c>
      <c r="Z28" s="11">
        <f t="shared" si="11"/>
        <v>1</v>
      </c>
    </row>
    <row r="29" spans="1:26" ht="19.5" customHeight="1">
      <c r="A29" s="239"/>
      <c r="B29" s="110" t="s">
        <v>274</v>
      </c>
      <c r="C29" s="91"/>
      <c r="D29" s="85" t="s">
        <v>282</v>
      </c>
      <c r="E29" s="92">
        <v>100</v>
      </c>
      <c r="F29" s="85" t="s">
        <v>282</v>
      </c>
      <c r="G29" s="92">
        <v>100</v>
      </c>
      <c r="H29" s="85" t="s">
        <v>282</v>
      </c>
      <c r="I29" s="92">
        <v>100</v>
      </c>
      <c r="J29" s="85" t="s">
        <v>282</v>
      </c>
      <c r="K29" s="92">
        <v>100</v>
      </c>
      <c r="M29" s="241"/>
      <c r="N29" s="12" t="str">
        <f t="shared" si="6"/>
        <v>内部装修</v>
      </c>
      <c r="O29" s="52" t="s">
        <v>48</v>
      </c>
      <c r="P29" s="53">
        <f t="shared" si="0"/>
        <v>100</v>
      </c>
      <c r="Q29" s="52" t="s">
        <v>48</v>
      </c>
      <c r="R29" s="53">
        <f t="shared" si="1"/>
        <v>100</v>
      </c>
      <c r="S29" s="52" t="s">
        <v>48</v>
      </c>
      <c r="T29" s="53">
        <f t="shared" si="8"/>
        <v>100</v>
      </c>
      <c r="V29" s="244"/>
      <c r="W29" s="55" t="str">
        <f t="shared" si="7"/>
        <v>内部装修</v>
      </c>
      <c r="X29" s="11">
        <f t="shared" si="9"/>
        <v>1</v>
      </c>
      <c r="Y29" s="11">
        <f t="shared" si="10"/>
        <v>1</v>
      </c>
      <c r="Z29" s="11">
        <f t="shared" si="11"/>
        <v>1</v>
      </c>
    </row>
    <row r="30" spans="1:26" ht="19.5" customHeight="1">
      <c r="A30" s="239"/>
      <c r="B30" s="110" t="s">
        <v>275</v>
      </c>
      <c r="C30" s="91"/>
      <c r="D30" s="85" t="s">
        <v>277</v>
      </c>
      <c r="E30" s="92">
        <v>100</v>
      </c>
      <c r="F30" s="85" t="s">
        <v>277</v>
      </c>
      <c r="G30" s="92">
        <v>100</v>
      </c>
      <c r="H30" s="85" t="s">
        <v>277</v>
      </c>
      <c r="I30" s="92">
        <v>100</v>
      </c>
      <c r="J30" s="85" t="s">
        <v>277</v>
      </c>
      <c r="K30" s="92">
        <v>100</v>
      </c>
      <c r="M30" s="242"/>
      <c r="N30" s="12" t="str">
        <f t="shared" si="6"/>
        <v>内部装修维护情况</v>
      </c>
      <c r="O30" s="52" t="s">
        <v>48</v>
      </c>
      <c r="P30" s="53">
        <f t="shared" si="0"/>
        <v>100</v>
      </c>
      <c r="Q30" s="52" t="s">
        <v>48</v>
      </c>
      <c r="R30" s="53">
        <f t="shared" si="1"/>
        <v>100</v>
      </c>
      <c r="S30" s="52" t="s">
        <v>48</v>
      </c>
      <c r="T30" s="53">
        <f t="shared" si="8"/>
        <v>100</v>
      </c>
      <c r="V30" s="244"/>
      <c r="W30" s="55" t="str">
        <f t="shared" si="7"/>
        <v>内部装修维护情况</v>
      </c>
      <c r="X30" s="11">
        <f t="shared" si="9"/>
        <v>1</v>
      </c>
      <c r="Y30" s="11">
        <f t="shared" si="10"/>
        <v>1</v>
      </c>
      <c r="Z30" s="11">
        <f t="shared" si="11"/>
        <v>1</v>
      </c>
    </row>
    <row r="31" spans="1:26" s="62" customFormat="1" ht="19.5" customHeight="1">
      <c r="A31" s="121"/>
      <c r="B31" s="122"/>
      <c r="C31" s="107"/>
      <c r="D31" s="123"/>
      <c r="E31" s="108"/>
      <c r="F31" s="123"/>
      <c r="G31" s="108"/>
      <c r="H31" s="123"/>
      <c r="I31" s="108"/>
      <c r="J31" s="123"/>
      <c r="K31" s="108"/>
      <c r="L31" s="63"/>
      <c r="M31" s="190" t="s">
        <v>192</v>
      </c>
      <c r="N31" s="191"/>
      <c r="O31" s="197">
        <v>90249</v>
      </c>
      <c r="P31" s="198"/>
      <c r="Q31" s="197">
        <v>80495</v>
      </c>
      <c r="R31" s="198"/>
      <c r="S31" s="197">
        <v>81788</v>
      </c>
      <c r="T31" s="198"/>
      <c r="U31" s="63"/>
      <c r="V31" s="244"/>
      <c r="W31" s="55"/>
      <c r="X31" s="11"/>
      <c r="Y31" s="11"/>
      <c r="Z31" s="11"/>
    </row>
    <row r="32" spans="1:26" s="62" customFormat="1" ht="19.5" customHeight="1">
      <c r="A32" s="112"/>
      <c r="B32" s="113" t="s">
        <v>313</v>
      </c>
      <c r="C32" s="195" t="s">
        <v>312</v>
      </c>
      <c r="D32" s="195"/>
      <c r="E32" s="195" t="s">
        <v>311</v>
      </c>
      <c r="F32" s="195" t="s">
        <v>198</v>
      </c>
      <c r="G32" s="195" t="s">
        <v>296</v>
      </c>
      <c r="H32" s="195"/>
      <c r="I32" s="195" t="s">
        <v>291</v>
      </c>
      <c r="J32" s="195"/>
      <c r="K32" s="114"/>
      <c r="L32" s="63"/>
      <c r="M32" s="190" t="s">
        <v>193</v>
      </c>
      <c r="N32" s="191"/>
      <c r="O32" s="199">
        <f>ROUND(O31*X5*X6*X7*X8*X9*X10*X11*X12*X13*X14*X15*X16*X17*X18*X19*X20*X21*X22*X23*X24*X25*X26*X27*X28*X29*X30,0)</f>
        <v>83408</v>
      </c>
      <c r="P32" s="199"/>
      <c r="Q32" s="199">
        <f>ROUND(Q31*Y5*Y6*Y7*Y8*Y9*Y10*Y11*Y12*Y13*Y14*Y15*Y16*Y17*Y18*Y19*Y20*Y21*Y22*Y23*Y24*Y25*Y26*Y27*Y28*Y29*Y30,0)</f>
        <v>75912</v>
      </c>
      <c r="R32" s="199"/>
      <c r="S32" s="199">
        <f>ROUND(S31*Z5*Z6*Z7*Z8*Z9*Z10*Z11*Z12*Z13*Z14*Z15*Z16*Z17*Z18*Z19*Z20*Z21*Z22*Z23*Z24*Z25*Z26*Z27*Z28*Z29*Z30,0)</f>
        <v>82739</v>
      </c>
      <c r="T32" s="199"/>
      <c r="U32" s="63"/>
      <c r="V32" s="244"/>
      <c r="W32" s="55"/>
      <c r="X32" s="11"/>
      <c r="Y32" s="11"/>
      <c r="Z32" s="11"/>
    </row>
    <row r="33" spans="1:21" s="62" customFormat="1" ht="19.5" customHeight="1">
      <c r="A33" s="112"/>
      <c r="B33" s="113"/>
      <c r="C33" s="195">
        <v>100</v>
      </c>
      <c r="D33" s="195"/>
      <c r="E33" s="195">
        <v>101</v>
      </c>
      <c r="F33" s="195" t="s">
        <v>197</v>
      </c>
      <c r="G33" s="195">
        <v>102</v>
      </c>
      <c r="H33" s="195"/>
      <c r="I33" s="195">
        <v>103</v>
      </c>
      <c r="J33" s="195"/>
      <c r="K33" s="114"/>
      <c r="L33" s="63"/>
      <c r="M33" s="196" t="s">
        <v>52</v>
      </c>
      <c r="N33" s="196"/>
      <c r="O33" s="194">
        <f>ROUND(AVERAGE(O32:S32),0)</f>
        <v>80686</v>
      </c>
      <c r="P33" s="194"/>
      <c r="Q33" s="194"/>
      <c r="R33" s="194"/>
      <c r="S33" s="194"/>
      <c r="T33" s="194"/>
      <c r="U33" s="63"/>
    </row>
    <row r="34" spans="1:21" s="62" customFormat="1" ht="19.5" customHeight="1">
      <c r="A34" s="112"/>
      <c r="B34" s="113"/>
      <c r="C34" s="113"/>
      <c r="D34" s="113"/>
      <c r="E34" s="113"/>
      <c r="F34" s="115"/>
      <c r="G34" s="113"/>
      <c r="H34" s="115"/>
      <c r="I34" s="115"/>
      <c r="J34" s="114"/>
      <c r="K34" s="114"/>
      <c r="L34" s="63"/>
      <c r="M34" s="193" t="s">
        <v>194</v>
      </c>
      <c r="N34" s="193"/>
      <c r="O34" s="194"/>
      <c r="P34" s="194"/>
      <c r="Q34" s="194"/>
      <c r="R34" s="194"/>
      <c r="S34" s="194"/>
      <c r="T34" s="194"/>
      <c r="U34" s="63"/>
    </row>
    <row r="35" spans="1:21" s="62" customFormat="1" ht="19.5" customHeight="1">
      <c r="A35" s="112"/>
      <c r="B35" s="116" t="s">
        <v>194</v>
      </c>
      <c r="C35" s="116"/>
      <c r="D35" s="113" t="s">
        <v>205</v>
      </c>
      <c r="E35" s="195" t="s">
        <v>196</v>
      </c>
      <c r="F35" s="195"/>
      <c r="G35" s="195" t="s">
        <v>206</v>
      </c>
      <c r="H35" s="195"/>
      <c r="I35" s="195" t="s">
        <v>207</v>
      </c>
      <c r="J35" s="195"/>
      <c r="K35" s="114"/>
      <c r="L35" s="63"/>
      <c r="M35" s="193" t="s">
        <v>195</v>
      </c>
      <c r="N35" s="193"/>
      <c r="O35" s="194">
        <f>ROUND(O33*O34,0)</f>
        <v>0</v>
      </c>
      <c r="P35" s="194"/>
      <c r="Q35" s="194"/>
      <c r="R35" s="194"/>
      <c r="S35" s="194"/>
      <c r="T35" s="194"/>
      <c r="U35" s="63"/>
    </row>
    <row r="36" spans="1:21" s="62" customFormat="1" ht="19.5" customHeight="1">
      <c r="A36" s="112"/>
      <c r="B36" s="115" t="s">
        <v>322</v>
      </c>
      <c r="C36" s="115">
        <v>102</v>
      </c>
      <c r="D36" s="113">
        <v>1</v>
      </c>
      <c r="E36" s="195" t="s">
        <v>308</v>
      </c>
      <c r="F36" s="195"/>
      <c r="G36" s="195">
        <v>217.37</v>
      </c>
      <c r="H36" s="195"/>
      <c r="I36" s="192">
        <v>94999</v>
      </c>
      <c r="J36" s="192"/>
      <c r="K36" s="114">
        <f>I36*0.95</f>
        <v>90249.05</v>
      </c>
      <c r="L36" s="63"/>
      <c r="M36" s="193" t="s">
        <v>301</v>
      </c>
      <c r="N36" s="193"/>
      <c r="O36" s="245">
        <f>(O32-O31)/O31</f>
        <v>-7.5801393921262283E-2</v>
      </c>
      <c r="P36" s="245"/>
      <c r="Q36" s="245">
        <f t="shared" ref="Q36" si="12">(Q32-Q31)/Q31</f>
        <v>-5.6935213367289891E-2</v>
      </c>
      <c r="R36" s="245"/>
      <c r="S36" s="245">
        <f t="shared" ref="S36" si="13">(S32-S31)/S31</f>
        <v>1.1627622634127257E-2</v>
      </c>
      <c r="T36" s="245"/>
      <c r="U36" s="63"/>
    </row>
    <row r="37" spans="1:21" s="62" customFormat="1" ht="19.5" customHeight="1">
      <c r="A37" s="117"/>
      <c r="B37" s="115" t="s">
        <v>323</v>
      </c>
      <c r="C37" s="115">
        <v>100</v>
      </c>
      <c r="D37" s="116">
        <v>2</v>
      </c>
      <c r="E37" s="195" t="s">
        <v>309</v>
      </c>
      <c r="F37" s="195"/>
      <c r="G37" s="195">
        <v>317</v>
      </c>
      <c r="H37" s="195"/>
      <c r="I37" s="192">
        <v>84732</v>
      </c>
      <c r="J37" s="192"/>
      <c r="K37" s="114">
        <f>I37*0.95</f>
        <v>80495.399999999994</v>
      </c>
      <c r="L37" s="63"/>
      <c r="M37" s="193" t="s">
        <v>302</v>
      </c>
      <c r="N37" s="193"/>
      <c r="O37" s="245">
        <f>O32/Q32-1</f>
        <v>9.8745916324164851E-2</v>
      </c>
      <c r="P37" s="245"/>
      <c r="Q37" s="245">
        <f t="shared" ref="Q37" si="14">Q32/S32-1</f>
        <v>-8.2512479000229622E-2</v>
      </c>
      <c r="R37" s="245"/>
      <c r="S37" s="245">
        <f>S32/O32-1</f>
        <v>-8.020813351237277E-3</v>
      </c>
      <c r="T37" s="245"/>
      <c r="U37" s="63"/>
    </row>
    <row r="38" spans="1:21" s="62" customFormat="1" ht="19.5" customHeight="1">
      <c r="A38" s="117"/>
      <c r="B38" s="115" t="s">
        <v>324</v>
      </c>
      <c r="C38" s="115">
        <v>98</v>
      </c>
      <c r="D38" s="113">
        <v>3</v>
      </c>
      <c r="E38" s="195" t="s">
        <v>310</v>
      </c>
      <c r="F38" s="195"/>
      <c r="G38" s="195">
        <v>755</v>
      </c>
      <c r="H38" s="195"/>
      <c r="I38" s="192">
        <v>86093</v>
      </c>
      <c r="J38" s="192"/>
      <c r="K38" s="114">
        <f>I38*0.95</f>
        <v>81788.349999999991</v>
      </c>
      <c r="L38" s="63"/>
      <c r="M38" s="193" t="s">
        <v>303</v>
      </c>
      <c r="N38" s="193"/>
      <c r="O38" s="245">
        <f>O31/Q31-1</f>
        <v>0.12117522827504823</v>
      </c>
      <c r="P38" s="245"/>
      <c r="Q38" s="245">
        <f t="shared" ref="Q38" si="15">Q31/S31-1</f>
        <v>-1.5809165158703009E-2</v>
      </c>
      <c r="R38" s="245"/>
      <c r="S38" s="246">
        <f>S31/O31-1</f>
        <v>-9.3751731321122689E-2</v>
      </c>
      <c r="T38" s="247"/>
      <c r="U38" s="63"/>
    </row>
    <row r="39" spans="1:21" s="62" customFormat="1" ht="19.5" customHeight="1">
      <c r="A39" s="117"/>
      <c r="B39" s="115" t="s">
        <v>325</v>
      </c>
      <c r="C39" s="115">
        <v>96</v>
      </c>
      <c r="D39" s="115"/>
      <c r="E39" s="115"/>
      <c r="F39" s="115"/>
      <c r="G39" s="115"/>
      <c r="H39" s="118"/>
      <c r="I39" s="118"/>
      <c r="J39" s="119"/>
      <c r="K39" s="119"/>
      <c r="L39" s="63"/>
      <c r="R39" s="64"/>
      <c r="U39" s="63"/>
    </row>
    <row r="40" spans="1:21" ht="19.5" customHeight="1">
      <c r="A40" s="117"/>
      <c r="B40" s="115" t="s">
        <v>326</v>
      </c>
      <c r="C40" s="115">
        <v>94</v>
      </c>
      <c r="D40" s="115"/>
      <c r="E40" s="115"/>
      <c r="F40" s="115"/>
      <c r="G40" s="115"/>
      <c r="H40" s="118"/>
      <c r="I40" s="118"/>
      <c r="J40" s="119"/>
      <c r="K40" s="119"/>
      <c r="M40" s="62"/>
      <c r="N40" s="62"/>
      <c r="O40" s="62"/>
      <c r="P40" s="62"/>
      <c r="Q40" s="62"/>
      <c r="R40" s="64"/>
      <c r="S40" s="62"/>
      <c r="T40" s="62"/>
    </row>
    <row r="41" spans="1:21" ht="19.5" customHeight="1">
      <c r="A41" s="62"/>
      <c r="B41" s="115" t="s">
        <v>327</v>
      </c>
      <c r="C41" s="115">
        <v>92</v>
      </c>
      <c r="D41" s="16"/>
      <c r="E41" s="16"/>
      <c r="F41" s="16"/>
      <c r="G41" s="17"/>
      <c r="H41" s="66"/>
      <c r="I41" s="66"/>
      <c r="J41" s="189"/>
      <c r="K41" s="189"/>
      <c r="M41" s="62"/>
      <c r="N41" s="62"/>
      <c r="O41" s="62"/>
      <c r="P41" s="62"/>
      <c r="Q41" s="62"/>
      <c r="R41" s="64"/>
      <c r="S41" s="62"/>
      <c r="T41" s="62"/>
    </row>
    <row r="42" spans="1:21" ht="19.5" customHeight="1">
      <c r="A42" s="62"/>
      <c r="B42" s="115" t="s">
        <v>328</v>
      </c>
      <c r="C42" s="115">
        <v>90</v>
      </c>
      <c r="D42" s="16"/>
      <c r="E42" s="16"/>
      <c r="F42" s="16"/>
      <c r="G42" s="17"/>
      <c r="H42" s="66"/>
      <c r="I42" s="66"/>
      <c r="J42" s="95"/>
      <c r="K42" s="95"/>
      <c r="M42" s="62"/>
      <c r="N42" s="62"/>
      <c r="O42" s="62"/>
      <c r="P42" s="62"/>
      <c r="Q42" s="62"/>
      <c r="R42" s="64"/>
      <c r="S42" s="62"/>
      <c r="T42" s="62"/>
    </row>
    <row r="43" spans="1:21" ht="19.5" customHeight="1">
      <c r="A43" s="62"/>
      <c r="B43" s="16"/>
      <c r="C43" s="16"/>
      <c r="D43" s="16"/>
      <c r="E43" s="16"/>
      <c r="F43" s="16"/>
      <c r="G43" s="17"/>
      <c r="H43" s="66"/>
      <c r="I43" s="66"/>
      <c r="J43" s="95"/>
      <c r="K43" s="95"/>
      <c r="M43" s="62"/>
      <c r="N43" s="62"/>
      <c r="O43" s="62"/>
      <c r="P43" s="62"/>
      <c r="Q43" s="62"/>
      <c r="R43" s="64"/>
      <c r="S43" s="62"/>
      <c r="T43" s="62"/>
    </row>
    <row r="44" spans="1:21" ht="19.5" customHeight="1">
      <c r="A44" s="62"/>
      <c r="B44" s="15" t="s">
        <v>283</v>
      </c>
      <c r="C44" s="15"/>
      <c r="D44" s="15"/>
      <c r="E44" s="15" t="s">
        <v>283</v>
      </c>
      <c r="F44" s="15"/>
      <c r="G44" s="15"/>
      <c r="H44" s="15"/>
      <c r="I44" s="14"/>
      <c r="J44" s="65"/>
      <c r="K44" s="65"/>
      <c r="M44" s="62"/>
      <c r="N44" s="62"/>
      <c r="O44" s="62"/>
      <c r="P44" s="62"/>
      <c r="Q44" s="62"/>
      <c r="R44" s="64"/>
      <c r="S44" s="62"/>
      <c r="T44" s="62"/>
    </row>
    <row r="45" spans="1:21" ht="19.5" customHeight="1">
      <c r="A45" s="62"/>
      <c r="B45" s="15" t="s">
        <v>284</v>
      </c>
      <c r="C45" s="120">
        <v>0.65</v>
      </c>
      <c r="D45" s="15"/>
      <c r="E45" s="15" t="s">
        <v>316</v>
      </c>
      <c r="F45" s="115">
        <v>110</v>
      </c>
      <c r="G45" s="15"/>
      <c r="H45" s="15"/>
      <c r="I45" s="14"/>
      <c r="J45" s="65"/>
      <c r="K45" s="65"/>
      <c r="M45" s="62"/>
      <c r="N45" s="62"/>
      <c r="O45" s="62"/>
      <c r="P45" s="62"/>
      <c r="Q45" s="62"/>
      <c r="R45" s="64"/>
      <c r="S45" s="62"/>
      <c r="T45" s="62"/>
    </row>
    <row r="46" spans="1:21" ht="19.5" customHeight="1">
      <c r="A46" s="62"/>
      <c r="B46" s="15" t="s">
        <v>285</v>
      </c>
      <c r="C46" s="120">
        <v>0.85</v>
      </c>
      <c r="D46" s="15"/>
      <c r="E46" s="15" t="s">
        <v>317</v>
      </c>
      <c r="F46" s="115">
        <v>108</v>
      </c>
      <c r="G46" s="15"/>
      <c r="H46" s="15"/>
      <c r="I46" s="14"/>
      <c r="J46" s="65"/>
      <c r="K46" s="65"/>
      <c r="M46" s="62"/>
      <c r="N46" s="62"/>
      <c r="O46" s="62"/>
      <c r="P46" s="62"/>
      <c r="Q46" s="62"/>
      <c r="R46" s="64"/>
      <c r="S46" s="62"/>
      <c r="T46" s="62"/>
    </row>
    <row r="47" spans="1:21" ht="19.5" customHeight="1">
      <c r="A47" s="62"/>
      <c r="B47" s="15" t="s">
        <v>286</v>
      </c>
      <c r="C47" s="120">
        <f>AVERAGE(C45:C46)</f>
        <v>0.75</v>
      </c>
      <c r="D47" s="15"/>
      <c r="E47" s="15" t="s">
        <v>318</v>
      </c>
      <c r="F47" s="115">
        <v>106</v>
      </c>
      <c r="G47" s="15"/>
      <c r="H47" s="15"/>
      <c r="I47" s="14"/>
      <c r="J47" s="65"/>
      <c r="K47" s="65"/>
      <c r="M47" s="62"/>
      <c r="N47" s="62"/>
      <c r="O47" s="62"/>
      <c r="P47" s="62"/>
      <c r="Q47" s="62"/>
      <c r="R47" s="64"/>
      <c r="S47" s="62"/>
      <c r="T47" s="62"/>
    </row>
    <row r="48" spans="1:21" ht="19.5" customHeight="1">
      <c r="B48" s="15"/>
      <c r="C48" s="15"/>
      <c r="E48" s="15" t="s">
        <v>319</v>
      </c>
      <c r="F48" s="115">
        <v>104</v>
      </c>
      <c r="H48" s="15"/>
      <c r="I48" s="14"/>
      <c r="M48" s="62"/>
      <c r="N48" s="62"/>
      <c r="O48" s="62"/>
      <c r="P48" s="62"/>
      <c r="Q48" s="62"/>
      <c r="R48" s="64"/>
      <c r="S48" s="62"/>
      <c r="T48" s="62"/>
    </row>
    <row r="49" spans="2:6" s="51" customFormat="1" ht="19.5" customHeight="1">
      <c r="B49" s="15"/>
      <c r="C49" s="15"/>
      <c r="E49" s="15" t="s">
        <v>320</v>
      </c>
      <c r="F49" s="115">
        <v>102</v>
      </c>
    </row>
    <row r="50" spans="2:6" s="51" customFormat="1" ht="19.5" customHeight="1">
      <c r="C50" s="14"/>
      <c r="E50" s="15" t="s">
        <v>321</v>
      </c>
      <c r="F50" s="115">
        <v>100</v>
      </c>
    </row>
  </sheetData>
  <mergeCells count="86">
    <mergeCell ref="O37:P37"/>
    <mergeCell ref="Q37:R37"/>
    <mergeCell ref="S37:T37"/>
    <mergeCell ref="M38:N38"/>
    <mergeCell ref="O38:P38"/>
    <mergeCell ref="Q38:R38"/>
    <mergeCell ref="S38:T38"/>
    <mergeCell ref="A19:A30"/>
    <mergeCell ref="M19:M30"/>
    <mergeCell ref="V19:V32"/>
    <mergeCell ref="M36:N36"/>
    <mergeCell ref="O36:P36"/>
    <mergeCell ref="Q36:R36"/>
    <mergeCell ref="S36:T36"/>
    <mergeCell ref="E36:F36"/>
    <mergeCell ref="C33:D33"/>
    <mergeCell ref="E33:F33"/>
    <mergeCell ref="G33:H33"/>
    <mergeCell ref="I33:J33"/>
    <mergeCell ref="E35:F35"/>
    <mergeCell ref="G35:H35"/>
    <mergeCell ref="I35:J35"/>
    <mergeCell ref="C32:D32"/>
    <mergeCell ref="E37:F37"/>
    <mergeCell ref="E38:F38"/>
    <mergeCell ref="G36:H36"/>
    <mergeCell ref="G37:H37"/>
    <mergeCell ref="G38:H38"/>
    <mergeCell ref="E32:F32"/>
    <mergeCell ref="G32:H32"/>
    <mergeCell ref="A1:Z1"/>
    <mergeCell ref="A2:K2"/>
    <mergeCell ref="M2:T2"/>
    <mergeCell ref="V2:Z2"/>
    <mergeCell ref="A3:B4"/>
    <mergeCell ref="C3:C4"/>
    <mergeCell ref="D3:E3"/>
    <mergeCell ref="F3:G3"/>
    <mergeCell ref="L2:L22"/>
    <mergeCell ref="U2:U22"/>
    <mergeCell ref="A10:A18"/>
    <mergeCell ref="M10:M18"/>
    <mergeCell ref="V10:V18"/>
    <mergeCell ref="V3:W4"/>
    <mergeCell ref="X3:X4"/>
    <mergeCell ref="Y3:Y4"/>
    <mergeCell ref="Z3:Z4"/>
    <mergeCell ref="D4:E4"/>
    <mergeCell ref="F4:G4"/>
    <mergeCell ref="H4:I4"/>
    <mergeCell ref="J4:K4"/>
    <mergeCell ref="H3:I3"/>
    <mergeCell ref="J3:K3"/>
    <mergeCell ref="M3:N4"/>
    <mergeCell ref="O3:P4"/>
    <mergeCell ref="Q3:R4"/>
    <mergeCell ref="S3:T4"/>
    <mergeCell ref="A7:A9"/>
    <mergeCell ref="M7:M9"/>
    <mergeCell ref="V7:V9"/>
    <mergeCell ref="A5:B5"/>
    <mergeCell ref="M5:N5"/>
    <mergeCell ref="V5:W5"/>
    <mergeCell ref="A6:B6"/>
    <mergeCell ref="M6:N6"/>
    <mergeCell ref="V6:W6"/>
    <mergeCell ref="O31:P31"/>
    <mergeCell ref="Q31:R31"/>
    <mergeCell ref="S31:T31"/>
    <mergeCell ref="O32:P32"/>
    <mergeCell ref="Q32:R32"/>
    <mergeCell ref="S32:T32"/>
    <mergeCell ref="O33:T33"/>
    <mergeCell ref="M35:N35"/>
    <mergeCell ref="O35:T35"/>
    <mergeCell ref="O34:T34"/>
    <mergeCell ref="I32:J32"/>
    <mergeCell ref="M33:N33"/>
    <mergeCell ref="M34:N34"/>
    <mergeCell ref="J41:K41"/>
    <mergeCell ref="M31:N31"/>
    <mergeCell ref="M32:N32"/>
    <mergeCell ref="I38:J38"/>
    <mergeCell ref="I36:J36"/>
    <mergeCell ref="I37:J37"/>
    <mergeCell ref="M37:N37"/>
  </mergeCells>
  <phoneticPr fontId="3" type="noConversion"/>
  <pageMargins left="0.7" right="0.7" top="0.75" bottom="0.75" header="0.3" footer="0.3"/>
  <pageSetup paperSize="9" scale="4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view="pageBreakPreview" zoomScaleNormal="100" zoomScaleSheetLayoutView="100" workbookViewId="0">
      <selection activeCell="G26" sqref="G26"/>
    </sheetView>
  </sheetViews>
  <sheetFormatPr defaultRowHeight="13.5"/>
  <cols>
    <col min="1" max="1" width="11.125" customWidth="1"/>
    <col min="3" max="3" width="8.625" style="8" customWidth="1"/>
    <col min="6" max="6" width="11.875" customWidth="1"/>
    <col min="9" max="9" width="14.25" customWidth="1"/>
    <col min="10" max="10" width="17.25" bestFit="1" customWidth="1"/>
    <col min="11" max="11" width="13.625" customWidth="1"/>
  </cols>
  <sheetData>
    <row r="2" spans="1:12">
      <c r="A2" s="103" t="s">
        <v>363</v>
      </c>
      <c r="B2" s="103" t="s">
        <v>362</v>
      </c>
      <c r="C2" s="103" t="s">
        <v>351</v>
      </c>
      <c r="D2" s="103" t="s">
        <v>244</v>
      </c>
      <c r="E2" s="103" t="s">
        <v>245</v>
      </c>
      <c r="F2" s="103" t="s">
        <v>353</v>
      </c>
      <c r="G2" s="103" t="s">
        <v>246</v>
      </c>
      <c r="H2" s="103" t="s">
        <v>214</v>
      </c>
      <c r="I2" s="133" t="s">
        <v>341</v>
      </c>
      <c r="J2" s="133" t="s">
        <v>342</v>
      </c>
    </row>
    <row r="3" spans="1:12">
      <c r="A3" s="103" t="s">
        <v>357</v>
      </c>
      <c r="B3" s="132">
        <f>面积表!C6</f>
        <v>179.4</v>
      </c>
      <c r="C3" s="103" t="s">
        <v>352</v>
      </c>
      <c r="D3" s="132">
        <v>1</v>
      </c>
      <c r="E3" s="132">
        <v>1</v>
      </c>
      <c r="F3" s="132">
        <v>1</v>
      </c>
      <c r="G3" s="132">
        <v>92000</v>
      </c>
      <c r="H3" s="132">
        <f>ROUND(G3*B3/10000,0)</f>
        <v>1650</v>
      </c>
      <c r="I3" s="132">
        <f>ROUND(H3/$H$8*结果!$I$16,0)</f>
        <v>1525</v>
      </c>
      <c r="J3" s="132">
        <f>ROUND(I3*10000/B3,0)</f>
        <v>85006</v>
      </c>
      <c r="K3" s="132"/>
      <c r="L3" s="88"/>
    </row>
    <row r="4" spans="1:12" s="8" customFormat="1">
      <c r="A4" s="103" t="s">
        <v>358</v>
      </c>
      <c r="B4" s="132">
        <f>面积表!C5</f>
        <v>1610.78</v>
      </c>
      <c r="C4" s="136" t="s">
        <v>352</v>
      </c>
      <c r="D4" s="132">
        <v>1</v>
      </c>
      <c r="E4" s="132">
        <f>'市场比较法（彩虹新都）'!C40/100</f>
        <v>0.94</v>
      </c>
      <c r="F4" s="132">
        <v>1</v>
      </c>
      <c r="G4" s="132">
        <f>ROUND($G$3*D4*E4*F4,0)</f>
        <v>86480</v>
      </c>
      <c r="H4" s="132">
        <f t="shared" ref="H4:H7" si="0">ROUND(G4*B4/10000,0)</f>
        <v>13930</v>
      </c>
      <c r="I4" s="132">
        <f>ROUND(H4/$H$8*结果!$I$16,0)</f>
        <v>12871</v>
      </c>
      <c r="J4" s="132">
        <f t="shared" ref="J4:J7" si="1">ROUND(I4*10000/B4,0)</f>
        <v>79905</v>
      </c>
      <c r="K4" s="132"/>
      <c r="L4" s="88"/>
    </row>
    <row r="5" spans="1:12">
      <c r="A5" s="103" t="s">
        <v>359</v>
      </c>
      <c r="B5" s="132">
        <f>面积表!C4</f>
        <v>2042.34</v>
      </c>
      <c r="C5" s="136" t="s">
        <v>352</v>
      </c>
      <c r="D5" s="132">
        <v>0.65</v>
      </c>
      <c r="E5" s="132">
        <f>'市场比较法（彩虹新都）'!C41/100</f>
        <v>0.92</v>
      </c>
      <c r="F5" s="132">
        <v>1</v>
      </c>
      <c r="G5" s="132">
        <f>ROUND($G$3*D5*E5*F5,0)</f>
        <v>55016</v>
      </c>
      <c r="H5" s="132">
        <f t="shared" si="0"/>
        <v>11236</v>
      </c>
      <c r="I5" s="132">
        <f>ROUND(H5/$H$8*结果!$I$16,0)</f>
        <v>10382</v>
      </c>
      <c r="J5" s="132">
        <f t="shared" si="1"/>
        <v>50834</v>
      </c>
      <c r="K5" s="132"/>
      <c r="L5" s="88"/>
    </row>
    <row r="6" spans="1:12">
      <c r="A6" s="103" t="s">
        <v>360</v>
      </c>
      <c r="B6" s="132">
        <f>面积表!C3</f>
        <v>3690.94</v>
      </c>
      <c r="C6" s="136" t="s">
        <v>352</v>
      </c>
      <c r="D6" s="132">
        <v>0.5</v>
      </c>
      <c r="E6" s="132">
        <f>'市场比较法（彩虹新都）'!C42/100</f>
        <v>0.9</v>
      </c>
      <c r="F6" s="132">
        <v>1</v>
      </c>
      <c r="G6" s="132">
        <f t="shared" ref="G6:G7" si="2">ROUND($G$3*D6*E6*F6,0)</f>
        <v>41400</v>
      </c>
      <c r="H6" s="132">
        <f t="shared" si="0"/>
        <v>15280</v>
      </c>
      <c r="I6" s="132">
        <f>ROUND(H6/$H$8*结果!$I$16,0)</f>
        <v>14118</v>
      </c>
      <c r="J6" s="132">
        <f t="shared" si="1"/>
        <v>38250</v>
      </c>
      <c r="K6" s="132"/>
      <c r="L6" s="88"/>
    </row>
    <row r="7" spans="1:12">
      <c r="A7" s="103" t="s">
        <v>361</v>
      </c>
      <c r="B7" s="132">
        <f>面积表!C2</f>
        <v>3930.74</v>
      </c>
      <c r="C7" s="136" t="s">
        <v>352</v>
      </c>
      <c r="D7" s="132">
        <v>0.45</v>
      </c>
      <c r="E7" s="132">
        <f>'市场比较法（彩虹新都）'!C42/100</f>
        <v>0.9</v>
      </c>
      <c r="F7" s="132">
        <v>1</v>
      </c>
      <c r="G7" s="132">
        <f t="shared" si="2"/>
        <v>37260</v>
      </c>
      <c r="H7" s="132">
        <f t="shared" si="0"/>
        <v>14646</v>
      </c>
      <c r="I7" s="132">
        <f>ROUND(H7/$H$8*结果!$I$16,0)</f>
        <v>13532</v>
      </c>
      <c r="J7" s="132">
        <f t="shared" si="1"/>
        <v>34426</v>
      </c>
      <c r="K7" s="132"/>
    </row>
    <row r="8" spans="1:12">
      <c r="A8" s="103" t="s">
        <v>247</v>
      </c>
      <c r="B8" s="132">
        <f>SUM(B3:B7)</f>
        <v>11454.2</v>
      </c>
      <c r="C8" s="103"/>
      <c r="D8" s="132"/>
      <c r="E8" s="132"/>
      <c r="F8" s="132"/>
      <c r="G8" s="132"/>
      <c r="H8" s="132">
        <f>SUM(H3:H7)</f>
        <v>56742</v>
      </c>
      <c r="I8" s="132">
        <f>SUM(I3:I7)</f>
        <v>52428</v>
      </c>
      <c r="J8" s="132"/>
      <c r="K8" s="132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0:Q64"/>
  <sheetViews>
    <sheetView view="pageBreakPreview" topLeftCell="F25" zoomScaleSheetLayoutView="100" workbookViewId="0">
      <selection activeCell="M46" sqref="M46"/>
    </sheetView>
  </sheetViews>
  <sheetFormatPr defaultColWidth="6.625" defaultRowHeight="20.25" customHeight="1"/>
  <cols>
    <col min="1" max="1" width="5.625" style="18" customWidth="1"/>
    <col min="2" max="2" width="23.125" style="18" customWidth="1"/>
    <col min="3" max="3" width="10.25" style="18" customWidth="1"/>
    <col min="4" max="4" width="38.5" style="18" customWidth="1"/>
    <col min="5" max="5" width="16.875" style="18" customWidth="1"/>
    <col min="6" max="6" width="9" style="18" customWidth="1"/>
    <col min="7" max="7" width="3.375" style="19" customWidth="1"/>
    <col min="8" max="8" width="5.375" style="18" customWidth="1"/>
    <col min="9" max="9" width="23.125" style="18" customWidth="1"/>
    <col min="10" max="10" width="11.625" style="18" customWidth="1"/>
    <col min="11" max="11" width="40" style="18" customWidth="1"/>
    <col min="12" max="12" width="16.875" style="18" customWidth="1"/>
    <col min="13" max="13" width="9" style="18" customWidth="1"/>
    <col min="14" max="14" width="10.625" style="18" customWidth="1"/>
    <col min="15" max="255" width="9" style="18" customWidth="1"/>
    <col min="256" max="256" width="6.625" style="18"/>
    <col min="257" max="257" width="5.625" style="18" customWidth="1"/>
    <col min="258" max="258" width="23.125" style="18" customWidth="1"/>
    <col min="259" max="259" width="10.25" style="18" customWidth="1"/>
    <col min="260" max="260" width="38.5" style="18" customWidth="1"/>
    <col min="261" max="261" width="16.875" style="18" customWidth="1"/>
    <col min="262" max="262" width="9" style="18" customWidth="1"/>
    <col min="263" max="263" width="3.375" style="18" customWidth="1"/>
    <col min="264" max="264" width="5.375" style="18" customWidth="1"/>
    <col min="265" max="265" width="23.125" style="18" customWidth="1"/>
    <col min="266" max="266" width="9" style="18" customWidth="1"/>
    <col min="267" max="267" width="40" style="18" customWidth="1"/>
    <col min="268" max="268" width="16.875" style="18" customWidth="1"/>
    <col min="269" max="269" width="9" style="18" customWidth="1"/>
    <col min="270" max="270" width="10.625" style="18" customWidth="1"/>
    <col min="271" max="511" width="9" style="18" customWidth="1"/>
    <col min="512" max="512" width="6.625" style="18"/>
    <col min="513" max="513" width="5.625" style="18" customWidth="1"/>
    <col min="514" max="514" width="23.125" style="18" customWidth="1"/>
    <col min="515" max="515" width="10.25" style="18" customWidth="1"/>
    <col min="516" max="516" width="38.5" style="18" customWidth="1"/>
    <col min="517" max="517" width="16.875" style="18" customWidth="1"/>
    <col min="518" max="518" width="9" style="18" customWidth="1"/>
    <col min="519" max="519" width="3.375" style="18" customWidth="1"/>
    <col min="520" max="520" width="5.375" style="18" customWidth="1"/>
    <col min="521" max="521" width="23.125" style="18" customWidth="1"/>
    <col min="522" max="522" width="9" style="18" customWidth="1"/>
    <col min="523" max="523" width="40" style="18" customWidth="1"/>
    <col min="524" max="524" width="16.875" style="18" customWidth="1"/>
    <col min="525" max="525" width="9" style="18" customWidth="1"/>
    <col min="526" max="526" width="10.625" style="18" customWidth="1"/>
    <col min="527" max="767" width="9" style="18" customWidth="1"/>
    <col min="768" max="768" width="6.625" style="18"/>
    <col min="769" max="769" width="5.625" style="18" customWidth="1"/>
    <col min="770" max="770" width="23.125" style="18" customWidth="1"/>
    <col min="771" max="771" width="10.25" style="18" customWidth="1"/>
    <col min="772" max="772" width="38.5" style="18" customWidth="1"/>
    <col min="773" max="773" width="16.875" style="18" customWidth="1"/>
    <col min="774" max="774" width="9" style="18" customWidth="1"/>
    <col min="775" max="775" width="3.375" style="18" customWidth="1"/>
    <col min="776" max="776" width="5.375" style="18" customWidth="1"/>
    <col min="777" max="777" width="23.125" style="18" customWidth="1"/>
    <col min="778" max="778" width="9" style="18" customWidth="1"/>
    <col min="779" max="779" width="40" style="18" customWidth="1"/>
    <col min="780" max="780" width="16.875" style="18" customWidth="1"/>
    <col min="781" max="781" width="9" style="18" customWidth="1"/>
    <col min="782" max="782" width="10.625" style="18" customWidth="1"/>
    <col min="783" max="1023" width="9" style="18" customWidth="1"/>
    <col min="1024" max="1024" width="6.625" style="18"/>
    <col min="1025" max="1025" width="5.625" style="18" customWidth="1"/>
    <col min="1026" max="1026" width="23.125" style="18" customWidth="1"/>
    <col min="1027" max="1027" width="10.25" style="18" customWidth="1"/>
    <col min="1028" max="1028" width="38.5" style="18" customWidth="1"/>
    <col min="1029" max="1029" width="16.875" style="18" customWidth="1"/>
    <col min="1030" max="1030" width="9" style="18" customWidth="1"/>
    <col min="1031" max="1031" width="3.375" style="18" customWidth="1"/>
    <col min="1032" max="1032" width="5.375" style="18" customWidth="1"/>
    <col min="1033" max="1033" width="23.125" style="18" customWidth="1"/>
    <col min="1034" max="1034" width="9" style="18" customWidth="1"/>
    <col min="1035" max="1035" width="40" style="18" customWidth="1"/>
    <col min="1036" max="1036" width="16.875" style="18" customWidth="1"/>
    <col min="1037" max="1037" width="9" style="18" customWidth="1"/>
    <col min="1038" max="1038" width="10.625" style="18" customWidth="1"/>
    <col min="1039" max="1279" width="9" style="18" customWidth="1"/>
    <col min="1280" max="1280" width="6.625" style="18"/>
    <col min="1281" max="1281" width="5.625" style="18" customWidth="1"/>
    <col min="1282" max="1282" width="23.125" style="18" customWidth="1"/>
    <col min="1283" max="1283" width="10.25" style="18" customWidth="1"/>
    <col min="1284" max="1284" width="38.5" style="18" customWidth="1"/>
    <col min="1285" max="1285" width="16.875" style="18" customWidth="1"/>
    <col min="1286" max="1286" width="9" style="18" customWidth="1"/>
    <col min="1287" max="1287" width="3.375" style="18" customWidth="1"/>
    <col min="1288" max="1288" width="5.375" style="18" customWidth="1"/>
    <col min="1289" max="1289" width="23.125" style="18" customWidth="1"/>
    <col min="1290" max="1290" width="9" style="18" customWidth="1"/>
    <col min="1291" max="1291" width="40" style="18" customWidth="1"/>
    <col min="1292" max="1292" width="16.875" style="18" customWidth="1"/>
    <col min="1293" max="1293" width="9" style="18" customWidth="1"/>
    <col min="1294" max="1294" width="10.625" style="18" customWidth="1"/>
    <col min="1295" max="1535" width="9" style="18" customWidth="1"/>
    <col min="1536" max="1536" width="6.625" style="18"/>
    <col min="1537" max="1537" width="5.625" style="18" customWidth="1"/>
    <col min="1538" max="1538" width="23.125" style="18" customWidth="1"/>
    <col min="1539" max="1539" width="10.25" style="18" customWidth="1"/>
    <col min="1540" max="1540" width="38.5" style="18" customWidth="1"/>
    <col min="1541" max="1541" width="16.875" style="18" customWidth="1"/>
    <col min="1542" max="1542" width="9" style="18" customWidth="1"/>
    <col min="1543" max="1543" width="3.375" style="18" customWidth="1"/>
    <col min="1544" max="1544" width="5.375" style="18" customWidth="1"/>
    <col min="1545" max="1545" width="23.125" style="18" customWidth="1"/>
    <col min="1546" max="1546" width="9" style="18" customWidth="1"/>
    <col min="1547" max="1547" width="40" style="18" customWidth="1"/>
    <col min="1548" max="1548" width="16.875" style="18" customWidth="1"/>
    <col min="1549" max="1549" width="9" style="18" customWidth="1"/>
    <col min="1550" max="1550" width="10.625" style="18" customWidth="1"/>
    <col min="1551" max="1791" width="9" style="18" customWidth="1"/>
    <col min="1792" max="1792" width="6.625" style="18"/>
    <col min="1793" max="1793" width="5.625" style="18" customWidth="1"/>
    <col min="1794" max="1794" width="23.125" style="18" customWidth="1"/>
    <col min="1795" max="1795" width="10.25" style="18" customWidth="1"/>
    <col min="1796" max="1796" width="38.5" style="18" customWidth="1"/>
    <col min="1797" max="1797" width="16.875" style="18" customWidth="1"/>
    <col min="1798" max="1798" width="9" style="18" customWidth="1"/>
    <col min="1799" max="1799" width="3.375" style="18" customWidth="1"/>
    <col min="1800" max="1800" width="5.375" style="18" customWidth="1"/>
    <col min="1801" max="1801" width="23.125" style="18" customWidth="1"/>
    <col min="1802" max="1802" width="9" style="18" customWidth="1"/>
    <col min="1803" max="1803" width="40" style="18" customWidth="1"/>
    <col min="1804" max="1804" width="16.875" style="18" customWidth="1"/>
    <col min="1805" max="1805" width="9" style="18" customWidth="1"/>
    <col min="1806" max="1806" width="10.625" style="18" customWidth="1"/>
    <col min="1807" max="2047" width="9" style="18" customWidth="1"/>
    <col min="2048" max="2048" width="6.625" style="18"/>
    <col min="2049" max="2049" width="5.625" style="18" customWidth="1"/>
    <col min="2050" max="2050" width="23.125" style="18" customWidth="1"/>
    <col min="2051" max="2051" width="10.25" style="18" customWidth="1"/>
    <col min="2052" max="2052" width="38.5" style="18" customWidth="1"/>
    <col min="2053" max="2053" width="16.875" style="18" customWidth="1"/>
    <col min="2054" max="2054" width="9" style="18" customWidth="1"/>
    <col min="2055" max="2055" width="3.375" style="18" customWidth="1"/>
    <col min="2056" max="2056" width="5.375" style="18" customWidth="1"/>
    <col min="2057" max="2057" width="23.125" style="18" customWidth="1"/>
    <col min="2058" max="2058" width="9" style="18" customWidth="1"/>
    <col min="2059" max="2059" width="40" style="18" customWidth="1"/>
    <col min="2060" max="2060" width="16.875" style="18" customWidth="1"/>
    <col min="2061" max="2061" width="9" style="18" customWidth="1"/>
    <col min="2062" max="2062" width="10.625" style="18" customWidth="1"/>
    <col min="2063" max="2303" width="9" style="18" customWidth="1"/>
    <col min="2304" max="2304" width="6.625" style="18"/>
    <col min="2305" max="2305" width="5.625" style="18" customWidth="1"/>
    <col min="2306" max="2306" width="23.125" style="18" customWidth="1"/>
    <col min="2307" max="2307" width="10.25" style="18" customWidth="1"/>
    <col min="2308" max="2308" width="38.5" style="18" customWidth="1"/>
    <col min="2309" max="2309" width="16.875" style="18" customWidth="1"/>
    <col min="2310" max="2310" width="9" style="18" customWidth="1"/>
    <col min="2311" max="2311" width="3.375" style="18" customWidth="1"/>
    <col min="2312" max="2312" width="5.375" style="18" customWidth="1"/>
    <col min="2313" max="2313" width="23.125" style="18" customWidth="1"/>
    <col min="2314" max="2314" width="9" style="18" customWidth="1"/>
    <col min="2315" max="2315" width="40" style="18" customWidth="1"/>
    <col min="2316" max="2316" width="16.875" style="18" customWidth="1"/>
    <col min="2317" max="2317" width="9" style="18" customWidth="1"/>
    <col min="2318" max="2318" width="10.625" style="18" customWidth="1"/>
    <col min="2319" max="2559" width="9" style="18" customWidth="1"/>
    <col min="2560" max="2560" width="6.625" style="18"/>
    <col min="2561" max="2561" width="5.625" style="18" customWidth="1"/>
    <col min="2562" max="2562" width="23.125" style="18" customWidth="1"/>
    <col min="2563" max="2563" width="10.25" style="18" customWidth="1"/>
    <col min="2564" max="2564" width="38.5" style="18" customWidth="1"/>
    <col min="2565" max="2565" width="16.875" style="18" customWidth="1"/>
    <col min="2566" max="2566" width="9" style="18" customWidth="1"/>
    <col min="2567" max="2567" width="3.375" style="18" customWidth="1"/>
    <col min="2568" max="2568" width="5.375" style="18" customWidth="1"/>
    <col min="2569" max="2569" width="23.125" style="18" customWidth="1"/>
    <col min="2570" max="2570" width="9" style="18" customWidth="1"/>
    <col min="2571" max="2571" width="40" style="18" customWidth="1"/>
    <col min="2572" max="2572" width="16.875" style="18" customWidth="1"/>
    <col min="2573" max="2573" width="9" style="18" customWidth="1"/>
    <col min="2574" max="2574" width="10.625" style="18" customWidth="1"/>
    <col min="2575" max="2815" width="9" style="18" customWidth="1"/>
    <col min="2816" max="2816" width="6.625" style="18"/>
    <col min="2817" max="2817" width="5.625" style="18" customWidth="1"/>
    <col min="2818" max="2818" width="23.125" style="18" customWidth="1"/>
    <col min="2819" max="2819" width="10.25" style="18" customWidth="1"/>
    <col min="2820" max="2820" width="38.5" style="18" customWidth="1"/>
    <col min="2821" max="2821" width="16.875" style="18" customWidth="1"/>
    <col min="2822" max="2822" width="9" style="18" customWidth="1"/>
    <col min="2823" max="2823" width="3.375" style="18" customWidth="1"/>
    <col min="2824" max="2824" width="5.375" style="18" customWidth="1"/>
    <col min="2825" max="2825" width="23.125" style="18" customWidth="1"/>
    <col min="2826" max="2826" width="9" style="18" customWidth="1"/>
    <col min="2827" max="2827" width="40" style="18" customWidth="1"/>
    <col min="2828" max="2828" width="16.875" style="18" customWidth="1"/>
    <col min="2829" max="2829" width="9" style="18" customWidth="1"/>
    <col min="2830" max="2830" width="10.625" style="18" customWidth="1"/>
    <col min="2831" max="3071" width="9" style="18" customWidth="1"/>
    <col min="3072" max="3072" width="6.625" style="18"/>
    <col min="3073" max="3073" width="5.625" style="18" customWidth="1"/>
    <col min="3074" max="3074" width="23.125" style="18" customWidth="1"/>
    <col min="3075" max="3075" width="10.25" style="18" customWidth="1"/>
    <col min="3076" max="3076" width="38.5" style="18" customWidth="1"/>
    <col min="3077" max="3077" width="16.875" style="18" customWidth="1"/>
    <col min="3078" max="3078" width="9" style="18" customWidth="1"/>
    <col min="3079" max="3079" width="3.375" style="18" customWidth="1"/>
    <col min="3080" max="3080" width="5.375" style="18" customWidth="1"/>
    <col min="3081" max="3081" width="23.125" style="18" customWidth="1"/>
    <col min="3082" max="3082" width="9" style="18" customWidth="1"/>
    <col min="3083" max="3083" width="40" style="18" customWidth="1"/>
    <col min="3084" max="3084" width="16.875" style="18" customWidth="1"/>
    <col min="3085" max="3085" width="9" style="18" customWidth="1"/>
    <col min="3086" max="3086" width="10.625" style="18" customWidth="1"/>
    <col min="3087" max="3327" width="9" style="18" customWidth="1"/>
    <col min="3328" max="3328" width="6.625" style="18"/>
    <col min="3329" max="3329" width="5.625" style="18" customWidth="1"/>
    <col min="3330" max="3330" width="23.125" style="18" customWidth="1"/>
    <col min="3331" max="3331" width="10.25" style="18" customWidth="1"/>
    <col min="3332" max="3332" width="38.5" style="18" customWidth="1"/>
    <col min="3333" max="3333" width="16.875" style="18" customWidth="1"/>
    <col min="3334" max="3334" width="9" style="18" customWidth="1"/>
    <col min="3335" max="3335" width="3.375" style="18" customWidth="1"/>
    <col min="3336" max="3336" width="5.375" style="18" customWidth="1"/>
    <col min="3337" max="3337" width="23.125" style="18" customWidth="1"/>
    <col min="3338" max="3338" width="9" style="18" customWidth="1"/>
    <col min="3339" max="3339" width="40" style="18" customWidth="1"/>
    <col min="3340" max="3340" width="16.875" style="18" customWidth="1"/>
    <col min="3341" max="3341" width="9" style="18" customWidth="1"/>
    <col min="3342" max="3342" width="10.625" style="18" customWidth="1"/>
    <col min="3343" max="3583" width="9" style="18" customWidth="1"/>
    <col min="3584" max="3584" width="6.625" style="18"/>
    <col min="3585" max="3585" width="5.625" style="18" customWidth="1"/>
    <col min="3586" max="3586" width="23.125" style="18" customWidth="1"/>
    <col min="3587" max="3587" width="10.25" style="18" customWidth="1"/>
    <col min="3588" max="3588" width="38.5" style="18" customWidth="1"/>
    <col min="3589" max="3589" width="16.875" style="18" customWidth="1"/>
    <col min="3590" max="3590" width="9" style="18" customWidth="1"/>
    <col min="3591" max="3591" width="3.375" style="18" customWidth="1"/>
    <col min="3592" max="3592" width="5.375" style="18" customWidth="1"/>
    <col min="3593" max="3593" width="23.125" style="18" customWidth="1"/>
    <col min="3594" max="3594" width="9" style="18" customWidth="1"/>
    <col min="3595" max="3595" width="40" style="18" customWidth="1"/>
    <col min="3596" max="3596" width="16.875" style="18" customWidth="1"/>
    <col min="3597" max="3597" width="9" style="18" customWidth="1"/>
    <col min="3598" max="3598" width="10.625" style="18" customWidth="1"/>
    <col min="3599" max="3839" width="9" style="18" customWidth="1"/>
    <col min="3840" max="3840" width="6.625" style="18"/>
    <col min="3841" max="3841" width="5.625" style="18" customWidth="1"/>
    <col min="3842" max="3842" width="23.125" style="18" customWidth="1"/>
    <col min="3843" max="3843" width="10.25" style="18" customWidth="1"/>
    <col min="3844" max="3844" width="38.5" style="18" customWidth="1"/>
    <col min="3845" max="3845" width="16.875" style="18" customWidth="1"/>
    <col min="3846" max="3846" width="9" style="18" customWidth="1"/>
    <col min="3847" max="3847" width="3.375" style="18" customWidth="1"/>
    <col min="3848" max="3848" width="5.375" style="18" customWidth="1"/>
    <col min="3849" max="3849" width="23.125" style="18" customWidth="1"/>
    <col min="3850" max="3850" width="9" style="18" customWidth="1"/>
    <col min="3851" max="3851" width="40" style="18" customWidth="1"/>
    <col min="3852" max="3852" width="16.875" style="18" customWidth="1"/>
    <col min="3853" max="3853" width="9" style="18" customWidth="1"/>
    <col min="3854" max="3854" width="10.625" style="18" customWidth="1"/>
    <col min="3855" max="4095" width="9" style="18" customWidth="1"/>
    <col min="4096" max="4096" width="6.625" style="18"/>
    <col min="4097" max="4097" width="5.625" style="18" customWidth="1"/>
    <col min="4098" max="4098" width="23.125" style="18" customWidth="1"/>
    <col min="4099" max="4099" width="10.25" style="18" customWidth="1"/>
    <col min="4100" max="4100" width="38.5" style="18" customWidth="1"/>
    <col min="4101" max="4101" width="16.875" style="18" customWidth="1"/>
    <col min="4102" max="4102" width="9" style="18" customWidth="1"/>
    <col min="4103" max="4103" width="3.375" style="18" customWidth="1"/>
    <col min="4104" max="4104" width="5.375" style="18" customWidth="1"/>
    <col min="4105" max="4105" width="23.125" style="18" customWidth="1"/>
    <col min="4106" max="4106" width="9" style="18" customWidth="1"/>
    <col min="4107" max="4107" width="40" style="18" customWidth="1"/>
    <col min="4108" max="4108" width="16.875" style="18" customWidth="1"/>
    <col min="4109" max="4109" width="9" style="18" customWidth="1"/>
    <col min="4110" max="4110" width="10.625" style="18" customWidth="1"/>
    <col min="4111" max="4351" width="9" style="18" customWidth="1"/>
    <col min="4352" max="4352" width="6.625" style="18"/>
    <col min="4353" max="4353" width="5.625" style="18" customWidth="1"/>
    <col min="4354" max="4354" width="23.125" style="18" customWidth="1"/>
    <col min="4355" max="4355" width="10.25" style="18" customWidth="1"/>
    <col min="4356" max="4356" width="38.5" style="18" customWidth="1"/>
    <col min="4357" max="4357" width="16.875" style="18" customWidth="1"/>
    <col min="4358" max="4358" width="9" style="18" customWidth="1"/>
    <col min="4359" max="4359" width="3.375" style="18" customWidth="1"/>
    <col min="4360" max="4360" width="5.375" style="18" customWidth="1"/>
    <col min="4361" max="4361" width="23.125" style="18" customWidth="1"/>
    <col min="4362" max="4362" width="9" style="18" customWidth="1"/>
    <col min="4363" max="4363" width="40" style="18" customWidth="1"/>
    <col min="4364" max="4364" width="16.875" style="18" customWidth="1"/>
    <col min="4365" max="4365" width="9" style="18" customWidth="1"/>
    <col min="4366" max="4366" width="10.625" style="18" customWidth="1"/>
    <col min="4367" max="4607" width="9" style="18" customWidth="1"/>
    <col min="4608" max="4608" width="6.625" style="18"/>
    <col min="4609" max="4609" width="5.625" style="18" customWidth="1"/>
    <col min="4610" max="4610" width="23.125" style="18" customWidth="1"/>
    <col min="4611" max="4611" width="10.25" style="18" customWidth="1"/>
    <col min="4612" max="4612" width="38.5" style="18" customWidth="1"/>
    <col min="4613" max="4613" width="16.875" style="18" customWidth="1"/>
    <col min="4614" max="4614" width="9" style="18" customWidth="1"/>
    <col min="4615" max="4615" width="3.375" style="18" customWidth="1"/>
    <col min="4616" max="4616" width="5.375" style="18" customWidth="1"/>
    <col min="4617" max="4617" width="23.125" style="18" customWidth="1"/>
    <col min="4618" max="4618" width="9" style="18" customWidth="1"/>
    <col min="4619" max="4619" width="40" style="18" customWidth="1"/>
    <col min="4620" max="4620" width="16.875" style="18" customWidth="1"/>
    <col min="4621" max="4621" width="9" style="18" customWidth="1"/>
    <col min="4622" max="4622" width="10.625" style="18" customWidth="1"/>
    <col min="4623" max="4863" width="9" style="18" customWidth="1"/>
    <col min="4864" max="4864" width="6.625" style="18"/>
    <col min="4865" max="4865" width="5.625" style="18" customWidth="1"/>
    <col min="4866" max="4866" width="23.125" style="18" customWidth="1"/>
    <col min="4867" max="4867" width="10.25" style="18" customWidth="1"/>
    <col min="4868" max="4868" width="38.5" style="18" customWidth="1"/>
    <col min="4869" max="4869" width="16.875" style="18" customWidth="1"/>
    <col min="4870" max="4870" width="9" style="18" customWidth="1"/>
    <col min="4871" max="4871" width="3.375" style="18" customWidth="1"/>
    <col min="4872" max="4872" width="5.375" style="18" customWidth="1"/>
    <col min="4873" max="4873" width="23.125" style="18" customWidth="1"/>
    <col min="4874" max="4874" width="9" style="18" customWidth="1"/>
    <col min="4875" max="4875" width="40" style="18" customWidth="1"/>
    <col min="4876" max="4876" width="16.875" style="18" customWidth="1"/>
    <col min="4877" max="4877" width="9" style="18" customWidth="1"/>
    <col min="4878" max="4878" width="10.625" style="18" customWidth="1"/>
    <col min="4879" max="5119" width="9" style="18" customWidth="1"/>
    <col min="5120" max="5120" width="6.625" style="18"/>
    <col min="5121" max="5121" width="5.625" style="18" customWidth="1"/>
    <col min="5122" max="5122" width="23.125" style="18" customWidth="1"/>
    <col min="5123" max="5123" width="10.25" style="18" customWidth="1"/>
    <col min="5124" max="5124" width="38.5" style="18" customWidth="1"/>
    <col min="5125" max="5125" width="16.875" style="18" customWidth="1"/>
    <col min="5126" max="5126" width="9" style="18" customWidth="1"/>
    <col min="5127" max="5127" width="3.375" style="18" customWidth="1"/>
    <col min="5128" max="5128" width="5.375" style="18" customWidth="1"/>
    <col min="5129" max="5129" width="23.125" style="18" customWidth="1"/>
    <col min="5130" max="5130" width="9" style="18" customWidth="1"/>
    <col min="5131" max="5131" width="40" style="18" customWidth="1"/>
    <col min="5132" max="5132" width="16.875" style="18" customWidth="1"/>
    <col min="5133" max="5133" width="9" style="18" customWidth="1"/>
    <col min="5134" max="5134" width="10.625" style="18" customWidth="1"/>
    <col min="5135" max="5375" width="9" style="18" customWidth="1"/>
    <col min="5376" max="5376" width="6.625" style="18"/>
    <col min="5377" max="5377" width="5.625" style="18" customWidth="1"/>
    <col min="5378" max="5378" width="23.125" style="18" customWidth="1"/>
    <col min="5379" max="5379" width="10.25" style="18" customWidth="1"/>
    <col min="5380" max="5380" width="38.5" style="18" customWidth="1"/>
    <col min="5381" max="5381" width="16.875" style="18" customWidth="1"/>
    <col min="5382" max="5382" width="9" style="18" customWidth="1"/>
    <col min="5383" max="5383" width="3.375" style="18" customWidth="1"/>
    <col min="5384" max="5384" width="5.375" style="18" customWidth="1"/>
    <col min="5385" max="5385" width="23.125" style="18" customWidth="1"/>
    <col min="5386" max="5386" width="9" style="18" customWidth="1"/>
    <col min="5387" max="5387" width="40" style="18" customWidth="1"/>
    <col min="5388" max="5388" width="16.875" style="18" customWidth="1"/>
    <col min="5389" max="5389" width="9" style="18" customWidth="1"/>
    <col min="5390" max="5390" width="10.625" style="18" customWidth="1"/>
    <col min="5391" max="5631" width="9" style="18" customWidth="1"/>
    <col min="5632" max="5632" width="6.625" style="18"/>
    <col min="5633" max="5633" width="5.625" style="18" customWidth="1"/>
    <col min="5634" max="5634" width="23.125" style="18" customWidth="1"/>
    <col min="5635" max="5635" width="10.25" style="18" customWidth="1"/>
    <col min="5636" max="5636" width="38.5" style="18" customWidth="1"/>
    <col min="5637" max="5637" width="16.875" style="18" customWidth="1"/>
    <col min="5638" max="5638" width="9" style="18" customWidth="1"/>
    <col min="5639" max="5639" width="3.375" style="18" customWidth="1"/>
    <col min="5640" max="5640" width="5.375" style="18" customWidth="1"/>
    <col min="5641" max="5641" width="23.125" style="18" customWidth="1"/>
    <col min="5642" max="5642" width="9" style="18" customWidth="1"/>
    <col min="5643" max="5643" width="40" style="18" customWidth="1"/>
    <col min="5644" max="5644" width="16.875" style="18" customWidth="1"/>
    <col min="5645" max="5645" width="9" style="18" customWidth="1"/>
    <col min="5646" max="5646" width="10.625" style="18" customWidth="1"/>
    <col min="5647" max="5887" width="9" style="18" customWidth="1"/>
    <col min="5888" max="5888" width="6.625" style="18"/>
    <col min="5889" max="5889" width="5.625" style="18" customWidth="1"/>
    <col min="5890" max="5890" width="23.125" style="18" customWidth="1"/>
    <col min="5891" max="5891" width="10.25" style="18" customWidth="1"/>
    <col min="5892" max="5892" width="38.5" style="18" customWidth="1"/>
    <col min="5893" max="5893" width="16.875" style="18" customWidth="1"/>
    <col min="5894" max="5894" width="9" style="18" customWidth="1"/>
    <col min="5895" max="5895" width="3.375" style="18" customWidth="1"/>
    <col min="5896" max="5896" width="5.375" style="18" customWidth="1"/>
    <col min="5897" max="5897" width="23.125" style="18" customWidth="1"/>
    <col min="5898" max="5898" width="9" style="18" customWidth="1"/>
    <col min="5899" max="5899" width="40" style="18" customWidth="1"/>
    <col min="5900" max="5900" width="16.875" style="18" customWidth="1"/>
    <col min="5901" max="5901" width="9" style="18" customWidth="1"/>
    <col min="5902" max="5902" width="10.625" style="18" customWidth="1"/>
    <col min="5903" max="6143" width="9" style="18" customWidth="1"/>
    <col min="6144" max="6144" width="6.625" style="18"/>
    <col min="6145" max="6145" width="5.625" style="18" customWidth="1"/>
    <col min="6146" max="6146" width="23.125" style="18" customWidth="1"/>
    <col min="6147" max="6147" width="10.25" style="18" customWidth="1"/>
    <col min="6148" max="6148" width="38.5" style="18" customWidth="1"/>
    <col min="6149" max="6149" width="16.875" style="18" customWidth="1"/>
    <col min="6150" max="6150" width="9" style="18" customWidth="1"/>
    <col min="6151" max="6151" width="3.375" style="18" customWidth="1"/>
    <col min="6152" max="6152" width="5.375" style="18" customWidth="1"/>
    <col min="6153" max="6153" width="23.125" style="18" customWidth="1"/>
    <col min="6154" max="6154" width="9" style="18" customWidth="1"/>
    <col min="6155" max="6155" width="40" style="18" customWidth="1"/>
    <col min="6156" max="6156" width="16.875" style="18" customWidth="1"/>
    <col min="6157" max="6157" width="9" style="18" customWidth="1"/>
    <col min="6158" max="6158" width="10.625" style="18" customWidth="1"/>
    <col min="6159" max="6399" width="9" style="18" customWidth="1"/>
    <col min="6400" max="6400" width="6.625" style="18"/>
    <col min="6401" max="6401" width="5.625" style="18" customWidth="1"/>
    <col min="6402" max="6402" width="23.125" style="18" customWidth="1"/>
    <col min="6403" max="6403" width="10.25" style="18" customWidth="1"/>
    <col min="6404" max="6404" width="38.5" style="18" customWidth="1"/>
    <col min="6405" max="6405" width="16.875" style="18" customWidth="1"/>
    <col min="6406" max="6406" width="9" style="18" customWidth="1"/>
    <col min="6407" max="6407" width="3.375" style="18" customWidth="1"/>
    <col min="6408" max="6408" width="5.375" style="18" customWidth="1"/>
    <col min="6409" max="6409" width="23.125" style="18" customWidth="1"/>
    <col min="6410" max="6410" width="9" style="18" customWidth="1"/>
    <col min="6411" max="6411" width="40" style="18" customWidth="1"/>
    <col min="6412" max="6412" width="16.875" style="18" customWidth="1"/>
    <col min="6413" max="6413" width="9" style="18" customWidth="1"/>
    <col min="6414" max="6414" width="10.625" style="18" customWidth="1"/>
    <col min="6415" max="6655" width="9" style="18" customWidth="1"/>
    <col min="6656" max="6656" width="6.625" style="18"/>
    <col min="6657" max="6657" width="5.625" style="18" customWidth="1"/>
    <col min="6658" max="6658" width="23.125" style="18" customWidth="1"/>
    <col min="6659" max="6659" width="10.25" style="18" customWidth="1"/>
    <col min="6660" max="6660" width="38.5" style="18" customWidth="1"/>
    <col min="6661" max="6661" width="16.875" style="18" customWidth="1"/>
    <col min="6662" max="6662" width="9" style="18" customWidth="1"/>
    <col min="6663" max="6663" width="3.375" style="18" customWidth="1"/>
    <col min="6664" max="6664" width="5.375" style="18" customWidth="1"/>
    <col min="6665" max="6665" width="23.125" style="18" customWidth="1"/>
    <col min="6666" max="6666" width="9" style="18" customWidth="1"/>
    <col min="6667" max="6667" width="40" style="18" customWidth="1"/>
    <col min="6668" max="6668" width="16.875" style="18" customWidth="1"/>
    <col min="6669" max="6669" width="9" style="18" customWidth="1"/>
    <col min="6670" max="6670" width="10.625" style="18" customWidth="1"/>
    <col min="6671" max="6911" width="9" style="18" customWidth="1"/>
    <col min="6912" max="6912" width="6.625" style="18"/>
    <col min="6913" max="6913" width="5.625" style="18" customWidth="1"/>
    <col min="6914" max="6914" width="23.125" style="18" customWidth="1"/>
    <col min="6915" max="6915" width="10.25" style="18" customWidth="1"/>
    <col min="6916" max="6916" width="38.5" style="18" customWidth="1"/>
    <col min="6917" max="6917" width="16.875" style="18" customWidth="1"/>
    <col min="6918" max="6918" width="9" style="18" customWidth="1"/>
    <col min="6919" max="6919" width="3.375" style="18" customWidth="1"/>
    <col min="6920" max="6920" width="5.375" style="18" customWidth="1"/>
    <col min="6921" max="6921" width="23.125" style="18" customWidth="1"/>
    <col min="6922" max="6922" width="9" style="18" customWidth="1"/>
    <col min="6923" max="6923" width="40" style="18" customWidth="1"/>
    <col min="6924" max="6924" width="16.875" style="18" customWidth="1"/>
    <col min="6925" max="6925" width="9" style="18" customWidth="1"/>
    <col min="6926" max="6926" width="10.625" style="18" customWidth="1"/>
    <col min="6927" max="7167" width="9" style="18" customWidth="1"/>
    <col min="7168" max="7168" width="6.625" style="18"/>
    <col min="7169" max="7169" width="5.625" style="18" customWidth="1"/>
    <col min="7170" max="7170" width="23.125" style="18" customWidth="1"/>
    <col min="7171" max="7171" width="10.25" style="18" customWidth="1"/>
    <col min="7172" max="7172" width="38.5" style="18" customWidth="1"/>
    <col min="7173" max="7173" width="16.875" style="18" customWidth="1"/>
    <col min="7174" max="7174" width="9" style="18" customWidth="1"/>
    <col min="7175" max="7175" width="3.375" style="18" customWidth="1"/>
    <col min="7176" max="7176" width="5.375" style="18" customWidth="1"/>
    <col min="7177" max="7177" width="23.125" style="18" customWidth="1"/>
    <col min="7178" max="7178" width="9" style="18" customWidth="1"/>
    <col min="7179" max="7179" width="40" style="18" customWidth="1"/>
    <col min="7180" max="7180" width="16.875" style="18" customWidth="1"/>
    <col min="7181" max="7181" width="9" style="18" customWidth="1"/>
    <col min="7182" max="7182" width="10.625" style="18" customWidth="1"/>
    <col min="7183" max="7423" width="9" style="18" customWidth="1"/>
    <col min="7424" max="7424" width="6.625" style="18"/>
    <col min="7425" max="7425" width="5.625" style="18" customWidth="1"/>
    <col min="7426" max="7426" width="23.125" style="18" customWidth="1"/>
    <col min="7427" max="7427" width="10.25" style="18" customWidth="1"/>
    <col min="7428" max="7428" width="38.5" style="18" customWidth="1"/>
    <col min="7429" max="7429" width="16.875" style="18" customWidth="1"/>
    <col min="7430" max="7430" width="9" style="18" customWidth="1"/>
    <col min="7431" max="7431" width="3.375" style="18" customWidth="1"/>
    <col min="7432" max="7432" width="5.375" style="18" customWidth="1"/>
    <col min="7433" max="7433" width="23.125" style="18" customWidth="1"/>
    <col min="7434" max="7434" width="9" style="18" customWidth="1"/>
    <col min="7435" max="7435" width="40" style="18" customWidth="1"/>
    <col min="7436" max="7436" width="16.875" style="18" customWidth="1"/>
    <col min="7437" max="7437" width="9" style="18" customWidth="1"/>
    <col min="7438" max="7438" width="10.625" style="18" customWidth="1"/>
    <col min="7439" max="7679" width="9" style="18" customWidth="1"/>
    <col min="7680" max="7680" width="6.625" style="18"/>
    <col min="7681" max="7681" width="5.625" style="18" customWidth="1"/>
    <col min="7682" max="7682" width="23.125" style="18" customWidth="1"/>
    <col min="7683" max="7683" width="10.25" style="18" customWidth="1"/>
    <col min="7684" max="7684" width="38.5" style="18" customWidth="1"/>
    <col min="7685" max="7685" width="16.875" style="18" customWidth="1"/>
    <col min="7686" max="7686" width="9" style="18" customWidth="1"/>
    <col min="7687" max="7687" width="3.375" style="18" customWidth="1"/>
    <col min="7688" max="7688" width="5.375" style="18" customWidth="1"/>
    <col min="7689" max="7689" width="23.125" style="18" customWidth="1"/>
    <col min="7690" max="7690" width="9" style="18" customWidth="1"/>
    <col min="7691" max="7691" width="40" style="18" customWidth="1"/>
    <col min="7692" max="7692" width="16.875" style="18" customWidth="1"/>
    <col min="7693" max="7693" width="9" style="18" customWidth="1"/>
    <col min="7694" max="7694" width="10.625" style="18" customWidth="1"/>
    <col min="7695" max="7935" width="9" style="18" customWidth="1"/>
    <col min="7936" max="7936" width="6.625" style="18"/>
    <col min="7937" max="7937" width="5.625" style="18" customWidth="1"/>
    <col min="7938" max="7938" width="23.125" style="18" customWidth="1"/>
    <col min="7939" max="7939" width="10.25" style="18" customWidth="1"/>
    <col min="7940" max="7940" width="38.5" style="18" customWidth="1"/>
    <col min="7941" max="7941" width="16.875" style="18" customWidth="1"/>
    <col min="7942" max="7942" width="9" style="18" customWidth="1"/>
    <col min="7943" max="7943" width="3.375" style="18" customWidth="1"/>
    <col min="7944" max="7944" width="5.375" style="18" customWidth="1"/>
    <col min="7945" max="7945" width="23.125" style="18" customWidth="1"/>
    <col min="7946" max="7946" width="9" style="18" customWidth="1"/>
    <col min="7947" max="7947" width="40" style="18" customWidth="1"/>
    <col min="7948" max="7948" width="16.875" style="18" customWidth="1"/>
    <col min="7949" max="7949" width="9" style="18" customWidth="1"/>
    <col min="7950" max="7950" width="10.625" style="18" customWidth="1"/>
    <col min="7951" max="8191" width="9" style="18" customWidth="1"/>
    <col min="8192" max="8192" width="6.625" style="18"/>
    <col min="8193" max="8193" width="5.625" style="18" customWidth="1"/>
    <col min="8194" max="8194" width="23.125" style="18" customWidth="1"/>
    <col min="8195" max="8195" width="10.25" style="18" customWidth="1"/>
    <col min="8196" max="8196" width="38.5" style="18" customWidth="1"/>
    <col min="8197" max="8197" width="16.875" style="18" customWidth="1"/>
    <col min="8198" max="8198" width="9" style="18" customWidth="1"/>
    <col min="8199" max="8199" width="3.375" style="18" customWidth="1"/>
    <col min="8200" max="8200" width="5.375" style="18" customWidth="1"/>
    <col min="8201" max="8201" width="23.125" style="18" customWidth="1"/>
    <col min="8202" max="8202" width="9" style="18" customWidth="1"/>
    <col min="8203" max="8203" width="40" style="18" customWidth="1"/>
    <col min="8204" max="8204" width="16.875" style="18" customWidth="1"/>
    <col min="8205" max="8205" width="9" style="18" customWidth="1"/>
    <col min="8206" max="8206" width="10.625" style="18" customWidth="1"/>
    <col min="8207" max="8447" width="9" style="18" customWidth="1"/>
    <col min="8448" max="8448" width="6.625" style="18"/>
    <col min="8449" max="8449" width="5.625" style="18" customWidth="1"/>
    <col min="8450" max="8450" width="23.125" style="18" customWidth="1"/>
    <col min="8451" max="8451" width="10.25" style="18" customWidth="1"/>
    <col min="8452" max="8452" width="38.5" style="18" customWidth="1"/>
    <col min="8453" max="8453" width="16.875" style="18" customWidth="1"/>
    <col min="8454" max="8454" width="9" style="18" customWidth="1"/>
    <col min="8455" max="8455" width="3.375" style="18" customWidth="1"/>
    <col min="8456" max="8456" width="5.375" style="18" customWidth="1"/>
    <col min="8457" max="8457" width="23.125" style="18" customWidth="1"/>
    <col min="8458" max="8458" width="9" style="18" customWidth="1"/>
    <col min="8459" max="8459" width="40" style="18" customWidth="1"/>
    <col min="8460" max="8460" width="16.875" style="18" customWidth="1"/>
    <col min="8461" max="8461" width="9" style="18" customWidth="1"/>
    <col min="8462" max="8462" width="10.625" style="18" customWidth="1"/>
    <col min="8463" max="8703" width="9" style="18" customWidth="1"/>
    <col min="8704" max="8704" width="6.625" style="18"/>
    <col min="8705" max="8705" width="5.625" style="18" customWidth="1"/>
    <col min="8706" max="8706" width="23.125" style="18" customWidth="1"/>
    <col min="8707" max="8707" width="10.25" style="18" customWidth="1"/>
    <col min="8708" max="8708" width="38.5" style="18" customWidth="1"/>
    <col min="8709" max="8709" width="16.875" style="18" customWidth="1"/>
    <col min="8710" max="8710" width="9" style="18" customWidth="1"/>
    <col min="8711" max="8711" width="3.375" style="18" customWidth="1"/>
    <col min="8712" max="8712" width="5.375" style="18" customWidth="1"/>
    <col min="8713" max="8713" width="23.125" style="18" customWidth="1"/>
    <col min="8714" max="8714" width="9" style="18" customWidth="1"/>
    <col min="8715" max="8715" width="40" style="18" customWidth="1"/>
    <col min="8716" max="8716" width="16.875" style="18" customWidth="1"/>
    <col min="8717" max="8717" width="9" style="18" customWidth="1"/>
    <col min="8718" max="8718" width="10.625" style="18" customWidth="1"/>
    <col min="8719" max="8959" width="9" style="18" customWidth="1"/>
    <col min="8960" max="8960" width="6.625" style="18"/>
    <col min="8961" max="8961" width="5.625" style="18" customWidth="1"/>
    <col min="8962" max="8962" width="23.125" style="18" customWidth="1"/>
    <col min="8963" max="8963" width="10.25" style="18" customWidth="1"/>
    <col min="8964" max="8964" width="38.5" style="18" customWidth="1"/>
    <col min="8965" max="8965" width="16.875" style="18" customWidth="1"/>
    <col min="8966" max="8966" width="9" style="18" customWidth="1"/>
    <col min="8967" max="8967" width="3.375" style="18" customWidth="1"/>
    <col min="8968" max="8968" width="5.375" style="18" customWidth="1"/>
    <col min="8969" max="8969" width="23.125" style="18" customWidth="1"/>
    <col min="8970" max="8970" width="9" style="18" customWidth="1"/>
    <col min="8971" max="8971" width="40" style="18" customWidth="1"/>
    <col min="8972" max="8972" width="16.875" style="18" customWidth="1"/>
    <col min="8973" max="8973" width="9" style="18" customWidth="1"/>
    <col min="8974" max="8974" width="10.625" style="18" customWidth="1"/>
    <col min="8975" max="9215" width="9" style="18" customWidth="1"/>
    <col min="9216" max="9216" width="6.625" style="18"/>
    <col min="9217" max="9217" width="5.625" style="18" customWidth="1"/>
    <col min="9218" max="9218" width="23.125" style="18" customWidth="1"/>
    <col min="9219" max="9219" width="10.25" style="18" customWidth="1"/>
    <col min="9220" max="9220" width="38.5" style="18" customWidth="1"/>
    <col min="9221" max="9221" width="16.875" style="18" customWidth="1"/>
    <col min="9222" max="9222" width="9" style="18" customWidth="1"/>
    <col min="9223" max="9223" width="3.375" style="18" customWidth="1"/>
    <col min="9224" max="9224" width="5.375" style="18" customWidth="1"/>
    <col min="9225" max="9225" width="23.125" style="18" customWidth="1"/>
    <col min="9226" max="9226" width="9" style="18" customWidth="1"/>
    <col min="9227" max="9227" width="40" style="18" customWidth="1"/>
    <col min="9228" max="9228" width="16.875" style="18" customWidth="1"/>
    <col min="9229" max="9229" width="9" style="18" customWidth="1"/>
    <col min="9230" max="9230" width="10.625" style="18" customWidth="1"/>
    <col min="9231" max="9471" width="9" style="18" customWidth="1"/>
    <col min="9472" max="9472" width="6.625" style="18"/>
    <col min="9473" max="9473" width="5.625" style="18" customWidth="1"/>
    <col min="9474" max="9474" width="23.125" style="18" customWidth="1"/>
    <col min="9475" max="9475" width="10.25" style="18" customWidth="1"/>
    <col min="9476" max="9476" width="38.5" style="18" customWidth="1"/>
    <col min="9477" max="9477" width="16.875" style="18" customWidth="1"/>
    <col min="9478" max="9478" width="9" style="18" customWidth="1"/>
    <col min="9479" max="9479" width="3.375" style="18" customWidth="1"/>
    <col min="9480" max="9480" width="5.375" style="18" customWidth="1"/>
    <col min="9481" max="9481" width="23.125" style="18" customWidth="1"/>
    <col min="9482" max="9482" width="9" style="18" customWidth="1"/>
    <col min="9483" max="9483" width="40" style="18" customWidth="1"/>
    <col min="9484" max="9484" width="16.875" style="18" customWidth="1"/>
    <col min="9485" max="9485" width="9" style="18" customWidth="1"/>
    <col min="9486" max="9486" width="10.625" style="18" customWidth="1"/>
    <col min="9487" max="9727" width="9" style="18" customWidth="1"/>
    <col min="9728" max="9728" width="6.625" style="18"/>
    <col min="9729" max="9729" width="5.625" style="18" customWidth="1"/>
    <col min="9730" max="9730" width="23.125" style="18" customWidth="1"/>
    <col min="9731" max="9731" width="10.25" style="18" customWidth="1"/>
    <col min="9732" max="9732" width="38.5" style="18" customWidth="1"/>
    <col min="9733" max="9733" width="16.875" style="18" customWidth="1"/>
    <col min="9734" max="9734" width="9" style="18" customWidth="1"/>
    <col min="9735" max="9735" width="3.375" style="18" customWidth="1"/>
    <col min="9736" max="9736" width="5.375" style="18" customWidth="1"/>
    <col min="9737" max="9737" width="23.125" style="18" customWidth="1"/>
    <col min="9738" max="9738" width="9" style="18" customWidth="1"/>
    <col min="9739" max="9739" width="40" style="18" customWidth="1"/>
    <col min="9740" max="9740" width="16.875" style="18" customWidth="1"/>
    <col min="9741" max="9741" width="9" style="18" customWidth="1"/>
    <col min="9742" max="9742" width="10.625" style="18" customWidth="1"/>
    <col min="9743" max="9983" width="9" style="18" customWidth="1"/>
    <col min="9984" max="9984" width="6.625" style="18"/>
    <col min="9985" max="9985" width="5.625" style="18" customWidth="1"/>
    <col min="9986" max="9986" width="23.125" style="18" customWidth="1"/>
    <col min="9987" max="9987" width="10.25" style="18" customWidth="1"/>
    <col min="9988" max="9988" width="38.5" style="18" customWidth="1"/>
    <col min="9989" max="9989" width="16.875" style="18" customWidth="1"/>
    <col min="9990" max="9990" width="9" style="18" customWidth="1"/>
    <col min="9991" max="9991" width="3.375" style="18" customWidth="1"/>
    <col min="9992" max="9992" width="5.375" style="18" customWidth="1"/>
    <col min="9993" max="9993" width="23.125" style="18" customWidth="1"/>
    <col min="9994" max="9994" width="9" style="18" customWidth="1"/>
    <col min="9995" max="9995" width="40" style="18" customWidth="1"/>
    <col min="9996" max="9996" width="16.875" style="18" customWidth="1"/>
    <col min="9997" max="9997" width="9" style="18" customWidth="1"/>
    <col min="9998" max="9998" width="10.625" style="18" customWidth="1"/>
    <col min="9999" max="10239" width="9" style="18" customWidth="1"/>
    <col min="10240" max="10240" width="6.625" style="18"/>
    <col min="10241" max="10241" width="5.625" style="18" customWidth="1"/>
    <col min="10242" max="10242" width="23.125" style="18" customWidth="1"/>
    <col min="10243" max="10243" width="10.25" style="18" customWidth="1"/>
    <col min="10244" max="10244" width="38.5" style="18" customWidth="1"/>
    <col min="10245" max="10245" width="16.875" style="18" customWidth="1"/>
    <col min="10246" max="10246" width="9" style="18" customWidth="1"/>
    <col min="10247" max="10247" width="3.375" style="18" customWidth="1"/>
    <col min="10248" max="10248" width="5.375" style="18" customWidth="1"/>
    <col min="10249" max="10249" width="23.125" style="18" customWidth="1"/>
    <col min="10250" max="10250" width="9" style="18" customWidth="1"/>
    <col min="10251" max="10251" width="40" style="18" customWidth="1"/>
    <col min="10252" max="10252" width="16.875" style="18" customWidth="1"/>
    <col min="10253" max="10253" width="9" style="18" customWidth="1"/>
    <col min="10254" max="10254" width="10.625" style="18" customWidth="1"/>
    <col min="10255" max="10495" width="9" style="18" customWidth="1"/>
    <col min="10496" max="10496" width="6.625" style="18"/>
    <col min="10497" max="10497" width="5.625" style="18" customWidth="1"/>
    <col min="10498" max="10498" width="23.125" style="18" customWidth="1"/>
    <col min="10499" max="10499" width="10.25" style="18" customWidth="1"/>
    <col min="10500" max="10500" width="38.5" style="18" customWidth="1"/>
    <col min="10501" max="10501" width="16.875" style="18" customWidth="1"/>
    <col min="10502" max="10502" width="9" style="18" customWidth="1"/>
    <col min="10503" max="10503" width="3.375" style="18" customWidth="1"/>
    <col min="10504" max="10504" width="5.375" style="18" customWidth="1"/>
    <col min="10505" max="10505" width="23.125" style="18" customWidth="1"/>
    <col min="10506" max="10506" width="9" style="18" customWidth="1"/>
    <col min="10507" max="10507" width="40" style="18" customWidth="1"/>
    <col min="10508" max="10508" width="16.875" style="18" customWidth="1"/>
    <col min="10509" max="10509" width="9" style="18" customWidth="1"/>
    <col min="10510" max="10510" width="10.625" style="18" customWidth="1"/>
    <col min="10511" max="10751" width="9" style="18" customWidth="1"/>
    <col min="10752" max="10752" width="6.625" style="18"/>
    <col min="10753" max="10753" width="5.625" style="18" customWidth="1"/>
    <col min="10754" max="10754" width="23.125" style="18" customWidth="1"/>
    <col min="10755" max="10755" width="10.25" style="18" customWidth="1"/>
    <col min="10756" max="10756" width="38.5" style="18" customWidth="1"/>
    <col min="10757" max="10757" width="16.875" style="18" customWidth="1"/>
    <col min="10758" max="10758" width="9" style="18" customWidth="1"/>
    <col min="10759" max="10759" width="3.375" style="18" customWidth="1"/>
    <col min="10760" max="10760" width="5.375" style="18" customWidth="1"/>
    <col min="10761" max="10761" width="23.125" style="18" customWidth="1"/>
    <col min="10762" max="10762" width="9" style="18" customWidth="1"/>
    <col min="10763" max="10763" width="40" style="18" customWidth="1"/>
    <col min="10764" max="10764" width="16.875" style="18" customWidth="1"/>
    <col min="10765" max="10765" width="9" style="18" customWidth="1"/>
    <col min="10766" max="10766" width="10.625" style="18" customWidth="1"/>
    <col min="10767" max="11007" width="9" style="18" customWidth="1"/>
    <col min="11008" max="11008" width="6.625" style="18"/>
    <col min="11009" max="11009" width="5.625" style="18" customWidth="1"/>
    <col min="11010" max="11010" width="23.125" style="18" customWidth="1"/>
    <col min="11011" max="11011" width="10.25" style="18" customWidth="1"/>
    <col min="11012" max="11012" width="38.5" style="18" customWidth="1"/>
    <col min="11013" max="11013" width="16.875" style="18" customWidth="1"/>
    <col min="11014" max="11014" width="9" style="18" customWidth="1"/>
    <col min="11015" max="11015" width="3.375" style="18" customWidth="1"/>
    <col min="11016" max="11016" width="5.375" style="18" customWidth="1"/>
    <col min="11017" max="11017" width="23.125" style="18" customWidth="1"/>
    <col min="11018" max="11018" width="9" style="18" customWidth="1"/>
    <col min="11019" max="11019" width="40" style="18" customWidth="1"/>
    <col min="11020" max="11020" width="16.875" style="18" customWidth="1"/>
    <col min="11021" max="11021" width="9" style="18" customWidth="1"/>
    <col min="11022" max="11022" width="10.625" style="18" customWidth="1"/>
    <col min="11023" max="11263" width="9" style="18" customWidth="1"/>
    <col min="11264" max="11264" width="6.625" style="18"/>
    <col min="11265" max="11265" width="5.625" style="18" customWidth="1"/>
    <col min="11266" max="11266" width="23.125" style="18" customWidth="1"/>
    <col min="11267" max="11267" width="10.25" style="18" customWidth="1"/>
    <col min="11268" max="11268" width="38.5" style="18" customWidth="1"/>
    <col min="11269" max="11269" width="16.875" style="18" customWidth="1"/>
    <col min="11270" max="11270" width="9" style="18" customWidth="1"/>
    <col min="11271" max="11271" width="3.375" style="18" customWidth="1"/>
    <col min="11272" max="11272" width="5.375" style="18" customWidth="1"/>
    <col min="11273" max="11273" width="23.125" style="18" customWidth="1"/>
    <col min="11274" max="11274" width="9" style="18" customWidth="1"/>
    <col min="11275" max="11275" width="40" style="18" customWidth="1"/>
    <col min="11276" max="11276" width="16.875" style="18" customWidth="1"/>
    <col min="11277" max="11277" width="9" style="18" customWidth="1"/>
    <col min="11278" max="11278" width="10.625" style="18" customWidth="1"/>
    <col min="11279" max="11519" width="9" style="18" customWidth="1"/>
    <col min="11520" max="11520" width="6.625" style="18"/>
    <col min="11521" max="11521" width="5.625" style="18" customWidth="1"/>
    <col min="11522" max="11522" width="23.125" style="18" customWidth="1"/>
    <col min="11523" max="11523" width="10.25" style="18" customWidth="1"/>
    <col min="11524" max="11524" width="38.5" style="18" customWidth="1"/>
    <col min="11525" max="11525" width="16.875" style="18" customWidth="1"/>
    <col min="11526" max="11526" width="9" style="18" customWidth="1"/>
    <col min="11527" max="11527" width="3.375" style="18" customWidth="1"/>
    <col min="11528" max="11528" width="5.375" style="18" customWidth="1"/>
    <col min="11529" max="11529" width="23.125" style="18" customWidth="1"/>
    <col min="11530" max="11530" width="9" style="18" customWidth="1"/>
    <col min="11531" max="11531" width="40" style="18" customWidth="1"/>
    <col min="11532" max="11532" width="16.875" style="18" customWidth="1"/>
    <col min="11533" max="11533" width="9" style="18" customWidth="1"/>
    <col min="11534" max="11534" width="10.625" style="18" customWidth="1"/>
    <col min="11535" max="11775" width="9" style="18" customWidth="1"/>
    <col min="11776" max="11776" width="6.625" style="18"/>
    <col min="11777" max="11777" width="5.625" style="18" customWidth="1"/>
    <col min="11778" max="11778" width="23.125" style="18" customWidth="1"/>
    <col min="11779" max="11779" width="10.25" style="18" customWidth="1"/>
    <col min="11780" max="11780" width="38.5" style="18" customWidth="1"/>
    <col min="11781" max="11781" width="16.875" style="18" customWidth="1"/>
    <col min="11782" max="11782" width="9" style="18" customWidth="1"/>
    <col min="11783" max="11783" width="3.375" style="18" customWidth="1"/>
    <col min="11784" max="11784" width="5.375" style="18" customWidth="1"/>
    <col min="11785" max="11785" width="23.125" style="18" customWidth="1"/>
    <col min="11786" max="11786" width="9" style="18" customWidth="1"/>
    <col min="11787" max="11787" width="40" style="18" customWidth="1"/>
    <col min="11788" max="11788" width="16.875" style="18" customWidth="1"/>
    <col min="11789" max="11789" width="9" style="18" customWidth="1"/>
    <col min="11790" max="11790" width="10.625" style="18" customWidth="1"/>
    <col min="11791" max="12031" width="9" style="18" customWidth="1"/>
    <col min="12032" max="12032" width="6.625" style="18"/>
    <col min="12033" max="12033" width="5.625" style="18" customWidth="1"/>
    <col min="12034" max="12034" width="23.125" style="18" customWidth="1"/>
    <col min="12035" max="12035" width="10.25" style="18" customWidth="1"/>
    <col min="12036" max="12036" width="38.5" style="18" customWidth="1"/>
    <col min="12037" max="12037" width="16.875" style="18" customWidth="1"/>
    <col min="12038" max="12038" width="9" style="18" customWidth="1"/>
    <col min="12039" max="12039" width="3.375" style="18" customWidth="1"/>
    <col min="12040" max="12040" width="5.375" style="18" customWidth="1"/>
    <col min="12041" max="12041" width="23.125" style="18" customWidth="1"/>
    <col min="12042" max="12042" width="9" style="18" customWidth="1"/>
    <col min="12043" max="12043" width="40" style="18" customWidth="1"/>
    <col min="12044" max="12044" width="16.875" style="18" customWidth="1"/>
    <col min="12045" max="12045" width="9" style="18" customWidth="1"/>
    <col min="12046" max="12046" width="10.625" style="18" customWidth="1"/>
    <col min="12047" max="12287" width="9" style="18" customWidth="1"/>
    <col min="12288" max="12288" width="6.625" style="18"/>
    <col min="12289" max="12289" width="5.625" style="18" customWidth="1"/>
    <col min="12290" max="12290" width="23.125" style="18" customWidth="1"/>
    <col min="12291" max="12291" width="10.25" style="18" customWidth="1"/>
    <col min="12292" max="12292" width="38.5" style="18" customWidth="1"/>
    <col min="12293" max="12293" width="16.875" style="18" customWidth="1"/>
    <col min="12294" max="12294" width="9" style="18" customWidth="1"/>
    <col min="12295" max="12295" width="3.375" style="18" customWidth="1"/>
    <col min="12296" max="12296" width="5.375" style="18" customWidth="1"/>
    <col min="12297" max="12297" width="23.125" style="18" customWidth="1"/>
    <col min="12298" max="12298" width="9" style="18" customWidth="1"/>
    <col min="12299" max="12299" width="40" style="18" customWidth="1"/>
    <col min="12300" max="12300" width="16.875" style="18" customWidth="1"/>
    <col min="12301" max="12301" width="9" style="18" customWidth="1"/>
    <col min="12302" max="12302" width="10.625" style="18" customWidth="1"/>
    <col min="12303" max="12543" width="9" style="18" customWidth="1"/>
    <col min="12544" max="12544" width="6.625" style="18"/>
    <col min="12545" max="12545" width="5.625" style="18" customWidth="1"/>
    <col min="12546" max="12546" width="23.125" style="18" customWidth="1"/>
    <col min="12547" max="12547" width="10.25" style="18" customWidth="1"/>
    <col min="12548" max="12548" width="38.5" style="18" customWidth="1"/>
    <col min="12549" max="12549" width="16.875" style="18" customWidth="1"/>
    <col min="12550" max="12550" width="9" style="18" customWidth="1"/>
    <col min="12551" max="12551" width="3.375" style="18" customWidth="1"/>
    <col min="12552" max="12552" width="5.375" style="18" customWidth="1"/>
    <col min="12553" max="12553" width="23.125" style="18" customWidth="1"/>
    <col min="12554" max="12554" width="9" style="18" customWidth="1"/>
    <col min="12555" max="12555" width="40" style="18" customWidth="1"/>
    <col min="12556" max="12556" width="16.875" style="18" customWidth="1"/>
    <col min="12557" max="12557" width="9" style="18" customWidth="1"/>
    <col min="12558" max="12558" width="10.625" style="18" customWidth="1"/>
    <col min="12559" max="12799" width="9" style="18" customWidth="1"/>
    <col min="12800" max="12800" width="6.625" style="18"/>
    <col min="12801" max="12801" width="5.625" style="18" customWidth="1"/>
    <col min="12802" max="12802" width="23.125" style="18" customWidth="1"/>
    <col min="12803" max="12803" width="10.25" style="18" customWidth="1"/>
    <col min="12804" max="12804" width="38.5" style="18" customWidth="1"/>
    <col min="12805" max="12805" width="16.875" style="18" customWidth="1"/>
    <col min="12806" max="12806" width="9" style="18" customWidth="1"/>
    <col min="12807" max="12807" width="3.375" style="18" customWidth="1"/>
    <col min="12808" max="12808" width="5.375" style="18" customWidth="1"/>
    <col min="12809" max="12809" width="23.125" style="18" customWidth="1"/>
    <col min="12810" max="12810" width="9" style="18" customWidth="1"/>
    <col min="12811" max="12811" width="40" style="18" customWidth="1"/>
    <col min="12812" max="12812" width="16.875" style="18" customWidth="1"/>
    <col min="12813" max="12813" width="9" style="18" customWidth="1"/>
    <col min="12814" max="12814" width="10.625" style="18" customWidth="1"/>
    <col min="12815" max="13055" width="9" style="18" customWidth="1"/>
    <col min="13056" max="13056" width="6.625" style="18"/>
    <col min="13057" max="13057" width="5.625" style="18" customWidth="1"/>
    <col min="13058" max="13058" width="23.125" style="18" customWidth="1"/>
    <col min="13059" max="13059" width="10.25" style="18" customWidth="1"/>
    <col min="13060" max="13060" width="38.5" style="18" customWidth="1"/>
    <col min="13061" max="13061" width="16.875" style="18" customWidth="1"/>
    <col min="13062" max="13062" width="9" style="18" customWidth="1"/>
    <col min="13063" max="13063" width="3.375" style="18" customWidth="1"/>
    <col min="13064" max="13064" width="5.375" style="18" customWidth="1"/>
    <col min="13065" max="13065" width="23.125" style="18" customWidth="1"/>
    <col min="13066" max="13066" width="9" style="18" customWidth="1"/>
    <col min="13067" max="13067" width="40" style="18" customWidth="1"/>
    <col min="13068" max="13068" width="16.875" style="18" customWidth="1"/>
    <col min="13069" max="13069" width="9" style="18" customWidth="1"/>
    <col min="13070" max="13070" width="10.625" style="18" customWidth="1"/>
    <col min="13071" max="13311" width="9" style="18" customWidth="1"/>
    <col min="13312" max="13312" width="6.625" style="18"/>
    <col min="13313" max="13313" width="5.625" style="18" customWidth="1"/>
    <col min="13314" max="13314" width="23.125" style="18" customWidth="1"/>
    <col min="13315" max="13315" width="10.25" style="18" customWidth="1"/>
    <col min="13316" max="13316" width="38.5" style="18" customWidth="1"/>
    <col min="13317" max="13317" width="16.875" style="18" customWidth="1"/>
    <col min="13318" max="13318" width="9" style="18" customWidth="1"/>
    <col min="13319" max="13319" width="3.375" style="18" customWidth="1"/>
    <col min="13320" max="13320" width="5.375" style="18" customWidth="1"/>
    <col min="13321" max="13321" width="23.125" style="18" customWidth="1"/>
    <col min="13322" max="13322" width="9" style="18" customWidth="1"/>
    <col min="13323" max="13323" width="40" style="18" customWidth="1"/>
    <col min="13324" max="13324" width="16.875" style="18" customWidth="1"/>
    <col min="13325" max="13325" width="9" style="18" customWidth="1"/>
    <col min="13326" max="13326" width="10.625" style="18" customWidth="1"/>
    <col min="13327" max="13567" width="9" style="18" customWidth="1"/>
    <col min="13568" max="13568" width="6.625" style="18"/>
    <col min="13569" max="13569" width="5.625" style="18" customWidth="1"/>
    <col min="13570" max="13570" width="23.125" style="18" customWidth="1"/>
    <col min="13571" max="13571" width="10.25" style="18" customWidth="1"/>
    <col min="13572" max="13572" width="38.5" style="18" customWidth="1"/>
    <col min="13573" max="13573" width="16.875" style="18" customWidth="1"/>
    <col min="13574" max="13574" width="9" style="18" customWidth="1"/>
    <col min="13575" max="13575" width="3.375" style="18" customWidth="1"/>
    <col min="13576" max="13576" width="5.375" style="18" customWidth="1"/>
    <col min="13577" max="13577" width="23.125" style="18" customWidth="1"/>
    <col min="13578" max="13578" width="9" style="18" customWidth="1"/>
    <col min="13579" max="13579" width="40" style="18" customWidth="1"/>
    <col min="13580" max="13580" width="16.875" style="18" customWidth="1"/>
    <col min="13581" max="13581" width="9" style="18" customWidth="1"/>
    <col min="13582" max="13582" width="10.625" style="18" customWidth="1"/>
    <col min="13583" max="13823" width="9" style="18" customWidth="1"/>
    <col min="13824" max="13824" width="6.625" style="18"/>
    <col min="13825" max="13825" width="5.625" style="18" customWidth="1"/>
    <col min="13826" max="13826" width="23.125" style="18" customWidth="1"/>
    <col min="13827" max="13827" width="10.25" style="18" customWidth="1"/>
    <col min="13828" max="13828" width="38.5" style="18" customWidth="1"/>
    <col min="13829" max="13829" width="16.875" style="18" customWidth="1"/>
    <col min="13830" max="13830" width="9" style="18" customWidth="1"/>
    <col min="13831" max="13831" width="3.375" style="18" customWidth="1"/>
    <col min="13832" max="13832" width="5.375" style="18" customWidth="1"/>
    <col min="13833" max="13833" width="23.125" style="18" customWidth="1"/>
    <col min="13834" max="13834" width="9" style="18" customWidth="1"/>
    <col min="13835" max="13835" width="40" style="18" customWidth="1"/>
    <col min="13836" max="13836" width="16.875" style="18" customWidth="1"/>
    <col min="13837" max="13837" width="9" style="18" customWidth="1"/>
    <col min="13838" max="13838" width="10.625" style="18" customWidth="1"/>
    <col min="13839" max="14079" width="9" style="18" customWidth="1"/>
    <col min="14080" max="14080" width="6.625" style="18"/>
    <col min="14081" max="14081" width="5.625" style="18" customWidth="1"/>
    <col min="14082" max="14082" width="23.125" style="18" customWidth="1"/>
    <col min="14083" max="14083" width="10.25" style="18" customWidth="1"/>
    <col min="14084" max="14084" width="38.5" style="18" customWidth="1"/>
    <col min="14085" max="14085" width="16.875" style="18" customWidth="1"/>
    <col min="14086" max="14086" width="9" style="18" customWidth="1"/>
    <col min="14087" max="14087" width="3.375" style="18" customWidth="1"/>
    <col min="14088" max="14088" width="5.375" style="18" customWidth="1"/>
    <col min="14089" max="14089" width="23.125" style="18" customWidth="1"/>
    <col min="14090" max="14090" width="9" style="18" customWidth="1"/>
    <col min="14091" max="14091" width="40" style="18" customWidth="1"/>
    <col min="14092" max="14092" width="16.875" style="18" customWidth="1"/>
    <col min="14093" max="14093" width="9" style="18" customWidth="1"/>
    <col min="14094" max="14094" width="10.625" style="18" customWidth="1"/>
    <col min="14095" max="14335" width="9" style="18" customWidth="1"/>
    <col min="14336" max="14336" width="6.625" style="18"/>
    <col min="14337" max="14337" width="5.625" style="18" customWidth="1"/>
    <col min="14338" max="14338" width="23.125" style="18" customWidth="1"/>
    <col min="14339" max="14339" width="10.25" style="18" customWidth="1"/>
    <col min="14340" max="14340" width="38.5" style="18" customWidth="1"/>
    <col min="14341" max="14341" width="16.875" style="18" customWidth="1"/>
    <col min="14342" max="14342" width="9" style="18" customWidth="1"/>
    <col min="14343" max="14343" width="3.375" style="18" customWidth="1"/>
    <col min="14344" max="14344" width="5.375" style="18" customWidth="1"/>
    <col min="14345" max="14345" width="23.125" style="18" customWidth="1"/>
    <col min="14346" max="14346" width="9" style="18" customWidth="1"/>
    <col min="14347" max="14347" width="40" style="18" customWidth="1"/>
    <col min="14348" max="14348" width="16.875" style="18" customWidth="1"/>
    <col min="14349" max="14349" width="9" style="18" customWidth="1"/>
    <col min="14350" max="14350" width="10.625" style="18" customWidth="1"/>
    <col min="14351" max="14591" width="9" style="18" customWidth="1"/>
    <col min="14592" max="14592" width="6.625" style="18"/>
    <col min="14593" max="14593" width="5.625" style="18" customWidth="1"/>
    <col min="14594" max="14594" width="23.125" style="18" customWidth="1"/>
    <col min="14595" max="14595" width="10.25" style="18" customWidth="1"/>
    <col min="14596" max="14596" width="38.5" style="18" customWidth="1"/>
    <col min="14597" max="14597" width="16.875" style="18" customWidth="1"/>
    <col min="14598" max="14598" width="9" style="18" customWidth="1"/>
    <col min="14599" max="14599" width="3.375" style="18" customWidth="1"/>
    <col min="14600" max="14600" width="5.375" style="18" customWidth="1"/>
    <col min="14601" max="14601" width="23.125" style="18" customWidth="1"/>
    <col min="14602" max="14602" width="9" style="18" customWidth="1"/>
    <col min="14603" max="14603" width="40" style="18" customWidth="1"/>
    <col min="14604" max="14604" width="16.875" style="18" customWidth="1"/>
    <col min="14605" max="14605" width="9" style="18" customWidth="1"/>
    <col min="14606" max="14606" width="10.625" style="18" customWidth="1"/>
    <col min="14607" max="14847" width="9" style="18" customWidth="1"/>
    <col min="14848" max="14848" width="6.625" style="18"/>
    <col min="14849" max="14849" width="5.625" style="18" customWidth="1"/>
    <col min="14850" max="14850" width="23.125" style="18" customWidth="1"/>
    <col min="14851" max="14851" width="10.25" style="18" customWidth="1"/>
    <col min="14852" max="14852" width="38.5" style="18" customWidth="1"/>
    <col min="14853" max="14853" width="16.875" style="18" customWidth="1"/>
    <col min="14854" max="14854" width="9" style="18" customWidth="1"/>
    <col min="14855" max="14855" width="3.375" style="18" customWidth="1"/>
    <col min="14856" max="14856" width="5.375" style="18" customWidth="1"/>
    <col min="14857" max="14857" width="23.125" style="18" customWidth="1"/>
    <col min="14858" max="14858" width="9" style="18" customWidth="1"/>
    <col min="14859" max="14859" width="40" style="18" customWidth="1"/>
    <col min="14860" max="14860" width="16.875" style="18" customWidth="1"/>
    <col min="14861" max="14861" width="9" style="18" customWidth="1"/>
    <col min="14862" max="14862" width="10.625" style="18" customWidth="1"/>
    <col min="14863" max="15103" width="9" style="18" customWidth="1"/>
    <col min="15104" max="15104" width="6.625" style="18"/>
    <col min="15105" max="15105" width="5.625" style="18" customWidth="1"/>
    <col min="15106" max="15106" width="23.125" style="18" customWidth="1"/>
    <col min="15107" max="15107" width="10.25" style="18" customWidth="1"/>
    <col min="15108" max="15108" width="38.5" style="18" customWidth="1"/>
    <col min="15109" max="15109" width="16.875" style="18" customWidth="1"/>
    <col min="15110" max="15110" width="9" style="18" customWidth="1"/>
    <col min="15111" max="15111" width="3.375" style="18" customWidth="1"/>
    <col min="15112" max="15112" width="5.375" style="18" customWidth="1"/>
    <col min="15113" max="15113" width="23.125" style="18" customWidth="1"/>
    <col min="15114" max="15114" width="9" style="18" customWidth="1"/>
    <col min="15115" max="15115" width="40" style="18" customWidth="1"/>
    <col min="15116" max="15116" width="16.875" style="18" customWidth="1"/>
    <col min="15117" max="15117" width="9" style="18" customWidth="1"/>
    <col min="15118" max="15118" width="10.625" style="18" customWidth="1"/>
    <col min="15119" max="15359" width="9" style="18" customWidth="1"/>
    <col min="15360" max="15360" width="6.625" style="18"/>
    <col min="15361" max="15361" width="5.625" style="18" customWidth="1"/>
    <col min="15362" max="15362" width="23.125" style="18" customWidth="1"/>
    <col min="15363" max="15363" width="10.25" style="18" customWidth="1"/>
    <col min="15364" max="15364" width="38.5" style="18" customWidth="1"/>
    <col min="15365" max="15365" width="16.875" style="18" customWidth="1"/>
    <col min="15366" max="15366" width="9" style="18" customWidth="1"/>
    <col min="15367" max="15367" width="3.375" style="18" customWidth="1"/>
    <col min="15368" max="15368" width="5.375" style="18" customWidth="1"/>
    <col min="15369" max="15369" width="23.125" style="18" customWidth="1"/>
    <col min="15370" max="15370" width="9" style="18" customWidth="1"/>
    <col min="15371" max="15371" width="40" style="18" customWidth="1"/>
    <col min="15372" max="15372" width="16.875" style="18" customWidth="1"/>
    <col min="15373" max="15373" width="9" style="18" customWidth="1"/>
    <col min="15374" max="15374" width="10.625" style="18" customWidth="1"/>
    <col min="15375" max="15615" width="9" style="18" customWidth="1"/>
    <col min="15616" max="15616" width="6.625" style="18"/>
    <col min="15617" max="15617" width="5.625" style="18" customWidth="1"/>
    <col min="15618" max="15618" width="23.125" style="18" customWidth="1"/>
    <col min="15619" max="15619" width="10.25" style="18" customWidth="1"/>
    <col min="15620" max="15620" width="38.5" style="18" customWidth="1"/>
    <col min="15621" max="15621" width="16.875" style="18" customWidth="1"/>
    <col min="15622" max="15622" width="9" style="18" customWidth="1"/>
    <col min="15623" max="15623" width="3.375" style="18" customWidth="1"/>
    <col min="15624" max="15624" width="5.375" style="18" customWidth="1"/>
    <col min="15625" max="15625" width="23.125" style="18" customWidth="1"/>
    <col min="15626" max="15626" width="9" style="18" customWidth="1"/>
    <col min="15627" max="15627" width="40" style="18" customWidth="1"/>
    <col min="15628" max="15628" width="16.875" style="18" customWidth="1"/>
    <col min="15629" max="15629" width="9" style="18" customWidth="1"/>
    <col min="15630" max="15630" width="10.625" style="18" customWidth="1"/>
    <col min="15631" max="15871" width="9" style="18" customWidth="1"/>
    <col min="15872" max="15872" width="6.625" style="18"/>
    <col min="15873" max="15873" width="5.625" style="18" customWidth="1"/>
    <col min="15874" max="15874" width="23.125" style="18" customWidth="1"/>
    <col min="15875" max="15875" width="10.25" style="18" customWidth="1"/>
    <col min="15876" max="15876" width="38.5" style="18" customWidth="1"/>
    <col min="15877" max="15877" width="16.875" style="18" customWidth="1"/>
    <col min="15878" max="15878" width="9" style="18" customWidth="1"/>
    <col min="15879" max="15879" width="3.375" style="18" customWidth="1"/>
    <col min="15880" max="15880" width="5.375" style="18" customWidth="1"/>
    <col min="15881" max="15881" width="23.125" style="18" customWidth="1"/>
    <col min="15882" max="15882" width="9" style="18" customWidth="1"/>
    <col min="15883" max="15883" width="40" style="18" customWidth="1"/>
    <col min="15884" max="15884" width="16.875" style="18" customWidth="1"/>
    <col min="15885" max="15885" width="9" style="18" customWidth="1"/>
    <col min="15886" max="15886" width="10.625" style="18" customWidth="1"/>
    <col min="15887" max="16127" width="9" style="18" customWidth="1"/>
    <col min="16128" max="16128" width="6.625" style="18"/>
    <col min="16129" max="16129" width="5.625" style="18" customWidth="1"/>
    <col min="16130" max="16130" width="23.125" style="18" customWidth="1"/>
    <col min="16131" max="16131" width="10.25" style="18" customWidth="1"/>
    <col min="16132" max="16132" width="38.5" style="18" customWidth="1"/>
    <col min="16133" max="16133" width="16.875" style="18" customWidth="1"/>
    <col min="16134" max="16134" width="9" style="18" customWidth="1"/>
    <col min="16135" max="16135" width="3.375" style="18" customWidth="1"/>
    <col min="16136" max="16136" width="5.375" style="18" customWidth="1"/>
    <col min="16137" max="16137" width="23.125" style="18" customWidth="1"/>
    <col min="16138" max="16138" width="9" style="18" customWidth="1"/>
    <col min="16139" max="16139" width="40" style="18" customWidth="1"/>
    <col min="16140" max="16140" width="16.875" style="18" customWidth="1"/>
    <col min="16141" max="16141" width="9" style="18" customWidth="1"/>
    <col min="16142" max="16142" width="10.625" style="18" customWidth="1"/>
    <col min="16143" max="16383" width="9" style="18" customWidth="1"/>
    <col min="16384" max="16384" width="6.625" style="18"/>
  </cols>
  <sheetData>
    <row r="10" spans="1:17" ht="20.25" customHeight="1">
      <c r="A10" s="285" t="s">
        <v>53</v>
      </c>
      <c r="B10" s="285"/>
      <c r="C10" s="285"/>
      <c r="D10" s="285"/>
      <c r="E10" s="285"/>
      <c r="F10" s="285"/>
      <c r="H10" s="286" t="s">
        <v>54</v>
      </c>
      <c r="I10" s="286"/>
      <c r="J10" s="286"/>
      <c r="K10" s="286"/>
      <c r="L10" s="286"/>
      <c r="M10" s="286"/>
    </row>
    <row r="11" spans="1:17" ht="20.25" customHeight="1">
      <c r="A11" s="31" t="s">
        <v>55</v>
      </c>
      <c r="B11" s="20" t="s">
        <v>56</v>
      </c>
      <c r="C11" s="20" t="s">
        <v>57</v>
      </c>
      <c r="D11" s="20" t="s">
        <v>58</v>
      </c>
      <c r="E11" s="287" t="s">
        <v>59</v>
      </c>
      <c r="F11" s="287"/>
      <c r="H11" s="31" t="s">
        <v>55</v>
      </c>
      <c r="I11" s="20" t="s">
        <v>56</v>
      </c>
      <c r="J11" s="20" t="s">
        <v>57</v>
      </c>
      <c r="K11" s="20" t="s">
        <v>58</v>
      </c>
      <c r="L11" s="287" t="s">
        <v>59</v>
      </c>
      <c r="M11" s="287"/>
      <c r="N11" s="72"/>
    </row>
    <row r="12" spans="1:17" ht="20.25" customHeight="1">
      <c r="A12" s="260">
        <v>1</v>
      </c>
      <c r="B12" s="258" t="s">
        <v>60</v>
      </c>
      <c r="C12" s="259">
        <f>ROUND(F12*F14*F13*(1-F15)/10000,0)</f>
        <v>1100</v>
      </c>
      <c r="D12" s="288" t="s">
        <v>61</v>
      </c>
      <c r="E12" s="97" t="s">
        <v>210</v>
      </c>
      <c r="F12" s="135">
        <f>ROUND(69*(1+3%)^5,0)</f>
        <v>80</v>
      </c>
      <c r="H12" s="260">
        <v>1</v>
      </c>
      <c r="I12" s="258" t="s">
        <v>60</v>
      </c>
      <c r="J12" s="259">
        <f>ROUND((M12*M13+N12*N13+O12*O13+P12*P13)*M14*(1-M15)/10000,0)</f>
        <v>3339</v>
      </c>
      <c r="K12" s="287" t="s">
        <v>61</v>
      </c>
      <c r="L12" s="97" t="s">
        <v>210</v>
      </c>
      <c r="M12" s="125">
        <v>480</v>
      </c>
      <c r="N12" s="32">
        <v>290</v>
      </c>
      <c r="O12" s="32">
        <f>ROUND(M12*0.5,0)</f>
        <v>240</v>
      </c>
      <c r="P12" s="32">
        <f>ROUND(M12*0.4,0)</f>
        <v>192</v>
      </c>
      <c r="Q12" s="71"/>
    </row>
    <row r="13" spans="1:17" ht="20.25" customHeight="1">
      <c r="A13" s="260"/>
      <c r="B13" s="258"/>
      <c r="C13" s="259"/>
      <c r="D13" s="288"/>
      <c r="E13" s="97" t="s">
        <v>62</v>
      </c>
      <c r="F13" s="32">
        <f>面积表!C7</f>
        <v>11454.2</v>
      </c>
      <c r="H13" s="260"/>
      <c r="I13" s="258"/>
      <c r="J13" s="259"/>
      <c r="K13" s="287"/>
      <c r="L13" s="97" t="s">
        <v>62</v>
      </c>
      <c r="M13" s="32">
        <f>面积表!C6+面积表!C5</f>
        <v>1790.18</v>
      </c>
      <c r="N13" s="32">
        <f>面积表!C4</f>
        <v>2042.34</v>
      </c>
      <c r="O13" s="32">
        <f>面积表!C3</f>
        <v>3690.94</v>
      </c>
      <c r="P13" s="32">
        <f>面积表!C2</f>
        <v>3930.74</v>
      </c>
    </row>
    <row r="14" spans="1:17" ht="20.25" customHeight="1">
      <c r="A14" s="260"/>
      <c r="B14" s="258"/>
      <c r="C14" s="259"/>
      <c r="D14" s="288"/>
      <c r="E14" s="97" t="s">
        <v>209</v>
      </c>
      <c r="F14" s="87">
        <v>12</v>
      </c>
      <c r="H14" s="260"/>
      <c r="I14" s="258"/>
      <c r="J14" s="259"/>
      <c r="K14" s="287"/>
      <c r="L14" s="97" t="s">
        <v>211</v>
      </c>
      <c r="M14" s="87">
        <v>12</v>
      </c>
    </row>
    <row r="15" spans="1:17" ht="20.25" customHeight="1">
      <c r="A15" s="260"/>
      <c r="B15" s="258"/>
      <c r="C15" s="259"/>
      <c r="D15" s="288"/>
      <c r="E15" s="97" t="s">
        <v>63</v>
      </c>
      <c r="F15" s="82">
        <v>0</v>
      </c>
      <c r="H15" s="260"/>
      <c r="I15" s="258"/>
      <c r="J15" s="259"/>
      <c r="K15" s="287"/>
      <c r="L15" s="97" t="s">
        <v>63</v>
      </c>
      <c r="M15" s="82">
        <v>0.1</v>
      </c>
      <c r="N15" s="71"/>
    </row>
    <row r="16" spans="1:17" ht="20.25" customHeight="1">
      <c r="A16" s="33">
        <v>2</v>
      </c>
      <c r="B16" s="34" t="s">
        <v>64</v>
      </c>
      <c r="C16" s="86">
        <f>ROUND(C32*F16,0)</f>
        <v>4091</v>
      </c>
      <c r="D16" s="97" t="s">
        <v>65</v>
      </c>
      <c r="E16" s="97" t="s">
        <v>66</v>
      </c>
      <c r="F16" s="36">
        <f>'市场比较法（彩虹新都）'!D23</f>
        <v>0.75</v>
      </c>
      <c r="H16" s="33">
        <v>2</v>
      </c>
      <c r="I16" s="34" t="s">
        <v>64</v>
      </c>
      <c r="J16" s="86">
        <f>ROUND(J32*M16,0)</f>
        <v>3791</v>
      </c>
      <c r="K16" s="96" t="s">
        <v>65</v>
      </c>
      <c r="L16" s="97" t="s">
        <v>66</v>
      </c>
      <c r="M16" s="36">
        <f>L63</f>
        <v>0.69500000000000006</v>
      </c>
    </row>
    <row r="17" spans="1:13" ht="20.25" customHeight="1">
      <c r="A17" s="35" t="s">
        <v>67</v>
      </c>
      <c r="B17" s="21" t="s">
        <v>68</v>
      </c>
      <c r="C17" s="86">
        <f>ROUND(F17*F13/10000,0)</f>
        <v>3436</v>
      </c>
      <c r="D17" s="100" t="s">
        <v>69</v>
      </c>
      <c r="E17" s="100" t="s">
        <v>70</v>
      </c>
      <c r="F17" s="93">
        <v>3000</v>
      </c>
      <c r="H17" s="35" t="s">
        <v>67</v>
      </c>
      <c r="I17" s="21" t="s">
        <v>68</v>
      </c>
      <c r="J17" s="86">
        <f>ROUND(M17*M46/10000,0)</f>
        <v>3436</v>
      </c>
      <c r="K17" s="102" t="s">
        <v>69</v>
      </c>
      <c r="L17" s="100" t="s">
        <v>70</v>
      </c>
      <c r="M17" s="93">
        <f>F17</f>
        <v>3000</v>
      </c>
    </row>
    <row r="18" spans="1:13" ht="20.25" customHeight="1">
      <c r="A18" s="35" t="s">
        <v>71</v>
      </c>
      <c r="B18" s="21" t="s">
        <v>72</v>
      </c>
      <c r="C18" s="86">
        <f>ROUND(C17*F18,0)</f>
        <v>103</v>
      </c>
      <c r="D18" s="98" t="s">
        <v>73</v>
      </c>
      <c r="E18" s="97" t="s">
        <v>74</v>
      </c>
      <c r="F18" s="36">
        <v>0.03</v>
      </c>
      <c r="H18" s="35" t="s">
        <v>71</v>
      </c>
      <c r="I18" s="21" t="s">
        <v>72</v>
      </c>
      <c r="J18" s="86">
        <f>ROUND(J17*M18,0)</f>
        <v>103</v>
      </c>
      <c r="K18" s="99" t="s">
        <v>73</v>
      </c>
      <c r="L18" s="97" t="s">
        <v>74</v>
      </c>
      <c r="M18" s="36">
        <f>F18</f>
        <v>0.03</v>
      </c>
    </row>
    <row r="19" spans="1:13" ht="20.25" customHeight="1">
      <c r="A19" s="35" t="s">
        <v>75</v>
      </c>
      <c r="B19" s="21" t="s">
        <v>76</v>
      </c>
      <c r="C19" s="86">
        <f>ROUND(C17*F19,0)</f>
        <v>0</v>
      </c>
      <c r="D19" s="98" t="s">
        <v>73</v>
      </c>
      <c r="E19" s="97" t="s">
        <v>74</v>
      </c>
      <c r="F19" s="36">
        <v>0</v>
      </c>
      <c r="H19" s="35" t="s">
        <v>75</v>
      </c>
      <c r="I19" s="21" t="s">
        <v>76</v>
      </c>
      <c r="J19" s="86">
        <f>ROUND(J17*M19,0)</f>
        <v>0</v>
      </c>
      <c r="K19" s="99" t="s">
        <v>73</v>
      </c>
      <c r="L19" s="97" t="s">
        <v>74</v>
      </c>
      <c r="M19" s="36">
        <f>F19</f>
        <v>0</v>
      </c>
    </row>
    <row r="20" spans="1:13" ht="20.25" customHeight="1">
      <c r="A20" s="35" t="s">
        <v>77</v>
      </c>
      <c r="B20" s="21" t="s">
        <v>78</v>
      </c>
      <c r="C20" s="86">
        <f>ROUND(F46*F20/10000,0)</f>
        <v>229</v>
      </c>
      <c r="D20" s="98" t="s">
        <v>79</v>
      </c>
      <c r="E20" s="97" t="s">
        <v>80</v>
      </c>
      <c r="F20" s="93">
        <v>200</v>
      </c>
      <c r="H20" s="35" t="s">
        <v>77</v>
      </c>
      <c r="I20" s="21" t="s">
        <v>78</v>
      </c>
      <c r="J20" s="86">
        <f>ROUND(M20*M46/10000,0)</f>
        <v>229</v>
      </c>
      <c r="K20" s="99" t="s">
        <v>79</v>
      </c>
      <c r="L20" s="97" t="s">
        <v>80</v>
      </c>
      <c r="M20" s="93">
        <f>F20</f>
        <v>200</v>
      </c>
    </row>
    <row r="21" spans="1:13" ht="20.25" customHeight="1">
      <c r="A21" s="35" t="s">
        <v>81</v>
      </c>
      <c r="B21" s="21" t="s">
        <v>82</v>
      </c>
      <c r="C21" s="86">
        <f>ROUND(C17*F21,0)</f>
        <v>52</v>
      </c>
      <c r="D21" s="98" t="s">
        <v>73</v>
      </c>
      <c r="E21" s="97" t="s">
        <v>74</v>
      </c>
      <c r="F21" s="36">
        <v>1.4999999999999999E-2</v>
      </c>
      <c r="H21" s="35" t="s">
        <v>81</v>
      </c>
      <c r="I21" s="21" t="s">
        <v>82</v>
      </c>
      <c r="J21" s="86">
        <f>ROUND(J17*M21,0)</f>
        <v>52</v>
      </c>
      <c r="K21" s="99" t="s">
        <v>73</v>
      </c>
      <c r="L21" s="97" t="s">
        <v>74</v>
      </c>
      <c r="M21" s="36">
        <f>F21</f>
        <v>1.4999999999999999E-2</v>
      </c>
    </row>
    <row r="22" spans="1:13" ht="20.25" customHeight="1">
      <c r="A22" s="35" t="s">
        <v>83</v>
      </c>
      <c r="B22" s="21" t="s">
        <v>84</v>
      </c>
      <c r="C22" s="86">
        <f>SUM(C17:C21)</f>
        <v>3820</v>
      </c>
      <c r="D22" s="279" t="s">
        <v>85</v>
      </c>
      <c r="E22" s="280"/>
      <c r="F22" s="281"/>
      <c r="H22" s="35" t="s">
        <v>83</v>
      </c>
      <c r="I22" s="21" t="s">
        <v>84</v>
      </c>
      <c r="J22" s="86">
        <f>SUM(J17:J21)</f>
        <v>3820</v>
      </c>
      <c r="K22" s="282" t="s">
        <v>85</v>
      </c>
      <c r="L22" s="283"/>
      <c r="M22" s="284"/>
    </row>
    <row r="23" spans="1:13" ht="20.25" customHeight="1">
      <c r="A23" s="35" t="s">
        <v>86</v>
      </c>
      <c r="B23" s="21" t="s">
        <v>87</v>
      </c>
      <c r="C23" s="86">
        <f>ROUND(C22*F23,0)</f>
        <v>76</v>
      </c>
      <c r="D23" s="100" t="s">
        <v>88</v>
      </c>
      <c r="E23" s="97" t="s">
        <v>74</v>
      </c>
      <c r="F23" s="36">
        <v>0.02</v>
      </c>
      <c r="H23" s="35" t="s">
        <v>86</v>
      </c>
      <c r="I23" s="21" t="s">
        <v>87</v>
      </c>
      <c r="J23" s="86">
        <f>ROUND(J22*M23,0)</f>
        <v>76</v>
      </c>
      <c r="K23" s="102" t="s">
        <v>88</v>
      </c>
      <c r="L23" s="97" t="s">
        <v>74</v>
      </c>
      <c r="M23" s="36">
        <f>F23</f>
        <v>0.02</v>
      </c>
    </row>
    <row r="24" spans="1:13" ht="20.25" customHeight="1">
      <c r="A24" s="35" t="s">
        <v>89</v>
      </c>
      <c r="B24" s="21" t="s">
        <v>90</v>
      </c>
      <c r="C24" s="20" t="s">
        <v>251</v>
      </c>
      <c r="D24" s="100" t="s">
        <v>92</v>
      </c>
      <c r="E24" s="97" t="s">
        <v>93</v>
      </c>
      <c r="F24" s="36">
        <v>0.02</v>
      </c>
      <c r="H24" s="35" t="s">
        <v>89</v>
      </c>
      <c r="I24" s="21" t="s">
        <v>90</v>
      </c>
      <c r="J24" s="20" t="s">
        <v>91</v>
      </c>
      <c r="K24" s="102" t="s">
        <v>92</v>
      </c>
      <c r="L24" s="97" t="s">
        <v>93</v>
      </c>
      <c r="M24" s="36">
        <f>F24</f>
        <v>0.02</v>
      </c>
    </row>
    <row r="25" spans="1:13" ht="20.25" customHeight="1">
      <c r="A25" s="35" t="s">
        <v>94</v>
      </c>
      <c r="B25" s="21" t="s">
        <v>95</v>
      </c>
      <c r="C25" s="20"/>
      <c r="D25" s="279" t="s">
        <v>96</v>
      </c>
      <c r="E25" s="280"/>
      <c r="F25" s="281"/>
      <c r="H25" s="35" t="s">
        <v>94</v>
      </c>
      <c r="I25" s="21" t="s">
        <v>95</v>
      </c>
      <c r="J25" s="20"/>
      <c r="K25" s="282" t="s">
        <v>96</v>
      </c>
      <c r="L25" s="283"/>
      <c r="M25" s="284"/>
    </row>
    <row r="26" spans="1:13" ht="20.25" customHeight="1">
      <c r="A26" s="35" t="s">
        <v>97</v>
      </c>
      <c r="B26" s="21" t="s">
        <v>98</v>
      </c>
      <c r="C26" s="86">
        <f>ROUND((C22+C23)*F27*F26/2,0)</f>
        <v>139</v>
      </c>
      <c r="D26" s="98" t="s">
        <v>99</v>
      </c>
      <c r="E26" s="97" t="s">
        <v>100</v>
      </c>
      <c r="F26" s="93">
        <v>1.5</v>
      </c>
      <c r="H26" s="35" t="s">
        <v>97</v>
      </c>
      <c r="I26" s="21" t="s">
        <v>98</v>
      </c>
      <c r="J26" s="86">
        <f>ROUND((J22+J23)*M27*M26/2,0)</f>
        <v>139</v>
      </c>
      <c r="K26" s="99" t="s">
        <v>99</v>
      </c>
      <c r="L26" s="97" t="s">
        <v>100</v>
      </c>
      <c r="M26" s="93">
        <f>F26</f>
        <v>1.5</v>
      </c>
    </row>
    <row r="27" spans="1:13" ht="20.25" customHeight="1">
      <c r="A27" s="35" t="s">
        <v>101</v>
      </c>
      <c r="B27" s="21" t="s">
        <v>102</v>
      </c>
      <c r="C27" s="86">
        <f>ROUND(F24*F27*F26/2,4)</f>
        <v>6.9999999999999999E-4</v>
      </c>
      <c r="D27" s="98" t="s">
        <v>103</v>
      </c>
      <c r="E27" s="97" t="s">
        <v>104</v>
      </c>
      <c r="F27" s="37">
        <v>4.7500000000000001E-2</v>
      </c>
      <c r="H27" s="35" t="s">
        <v>101</v>
      </c>
      <c r="I27" s="21" t="s">
        <v>102</v>
      </c>
      <c r="J27" s="86">
        <f>ROUND(M24*M27*M26/2,4)</f>
        <v>6.9999999999999999E-4</v>
      </c>
      <c r="K27" s="99" t="s">
        <v>103</v>
      </c>
      <c r="L27" s="97" t="s">
        <v>104</v>
      </c>
      <c r="M27" s="37">
        <f>F27</f>
        <v>4.7500000000000001E-2</v>
      </c>
    </row>
    <row r="28" spans="1:13" ht="20.25" customHeight="1">
      <c r="A28" s="35" t="s">
        <v>105</v>
      </c>
      <c r="B28" s="21" t="s">
        <v>106</v>
      </c>
      <c r="C28" s="20"/>
      <c r="D28" s="279" t="s">
        <v>107</v>
      </c>
      <c r="E28" s="280"/>
      <c r="F28" s="280"/>
      <c r="H28" s="35" t="s">
        <v>105</v>
      </c>
      <c r="I28" s="21" t="s">
        <v>106</v>
      </c>
      <c r="J28" s="20"/>
      <c r="K28" s="282" t="s">
        <v>107</v>
      </c>
      <c r="L28" s="283"/>
      <c r="M28" s="283"/>
    </row>
    <row r="29" spans="1:13" ht="20.25" customHeight="1">
      <c r="A29" s="35" t="s">
        <v>108</v>
      </c>
      <c r="B29" s="21" t="s">
        <v>109</v>
      </c>
      <c r="C29" s="86">
        <f>ROUND((C22+C23)*F29,0)</f>
        <v>974</v>
      </c>
      <c r="D29" s="100" t="s">
        <v>110</v>
      </c>
      <c r="E29" s="267" t="s">
        <v>111</v>
      </c>
      <c r="F29" s="275">
        <v>0.25</v>
      </c>
      <c r="H29" s="35" t="s">
        <v>108</v>
      </c>
      <c r="I29" s="21" t="s">
        <v>109</v>
      </c>
      <c r="J29" s="86">
        <f>ROUND((J22+J23)*M29,0)</f>
        <v>974</v>
      </c>
      <c r="K29" s="102" t="s">
        <v>110</v>
      </c>
      <c r="L29" s="267" t="s">
        <v>111</v>
      </c>
      <c r="M29" s="275">
        <f>F29</f>
        <v>0.25</v>
      </c>
    </row>
    <row r="30" spans="1:13" ht="20.25" customHeight="1">
      <c r="A30" s="35" t="s">
        <v>112</v>
      </c>
      <c r="B30" s="21" t="s">
        <v>113</v>
      </c>
      <c r="C30" s="86">
        <f>ROUND(F24*F29,4)</f>
        <v>5.0000000000000001E-3</v>
      </c>
      <c r="D30" s="100" t="s">
        <v>114</v>
      </c>
      <c r="E30" s="268"/>
      <c r="F30" s="276"/>
      <c r="H30" s="35" t="s">
        <v>112</v>
      </c>
      <c r="I30" s="21" t="s">
        <v>113</v>
      </c>
      <c r="J30" s="86">
        <f>ROUND(M24*M29,4)</f>
        <v>5.0000000000000001E-3</v>
      </c>
      <c r="K30" s="102" t="s">
        <v>114</v>
      </c>
      <c r="L30" s="268"/>
      <c r="M30" s="276"/>
    </row>
    <row r="31" spans="1:13" ht="20.25" customHeight="1">
      <c r="A31" s="35" t="s">
        <v>115</v>
      </c>
      <c r="B31" s="21" t="s">
        <v>116</v>
      </c>
      <c r="C31" s="20" t="s">
        <v>252</v>
      </c>
      <c r="D31" s="100" t="s">
        <v>92</v>
      </c>
      <c r="E31" s="97" t="s">
        <v>74</v>
      </c>
      <c r="F31" s="126">
        <v>5.6000000000000001E-2</v>
      </c>
      <c r="H31" s="35" t="s">
        <v>115</v>
      </c>
      <c r="I31" s="21" t="s">
        <v>116</v>
      </c>
      <c r="J31" s="20" t="s">
        <v>252</v>
      </c>
      <c r="K31" s="102" t="s">
        <v>92</v>
      </c>
      <c r="L31" s="97" t="s">
        <v>74</v>
      </c>
      <c r="M31" s="36">
        <f>F31</f>
        <v>5.6000000000000001E-2</v>
      </c>
    </row>
    <row r="32" spans="1:13" ht="20.25" customHeight="1">
      <c r="A32" s="35" t="s">
        <v>117</v>
      </c>
      <c r="B32" s="21" t="s">
        <v>118</v>
      </c>
      <c r="C32" s="86">
        <f>ROUND((C22+C23+C26+C29)/(1-F24-C27-C30-F31),0)</f>
        <v>5455</v>
      </c>
      <c r="D32" s="102"/>
      <c r="E32" s="97"/>
      <c r="F32" s="36"/>
      <c r="H32" s="35" t="s">
        <v>117</v>
      </c>
      <c r="I32" s="21" t="s">
        <v>118</v>
      </c>
      <c r="J32" s="86">
        <f>ROUND((J22+J23+J26+J29)/(1-M24-J27-J30-M31),0)</f>
        <v>5455</v>
      </c>
      <c r="K32" s="102"/>
      <c r="L32" s="97"/>
      <c r="M32" s="36"/>
    </row>
    <row r="33" spans="1:13" ht="20.25" customHeight="1">
      <c r="A33" s="33" t="s">
        <v>119</v>
      </c>
      <c r="B33" s="34" t="s">
        <v>120</v>
      </c>
      <c r="C33" s="86">
        <f>ROUND(C34+C39+C40+C41,0)</f>
        <v>143</v>
      </c>
      <c r="D33" s="277" t="s">
        <v>121</v>
      </c>
      <c r="E33" s="277"/>
      <c r="F33" s="277"/>
      <c r="H33" s="33" t="s">
        <v>119</v>
      </c>
      <c r="I33" s="34" t="s">
        <v>120</v>
      </c>
      <c r="J33" s="86">
        <f>ROUND(J34+J39+J40+J41,0)</f>
        <v>313</v>
      </c>
      <c r="K33" s="278" t="s">
        <v>121</v>
      </c>
      <c r="L33" s="278"/>
      <c r="M33" s="278"/>
    </row>
    <row r="34" spans="1:13" ht="20.25" customHeight="1">
      <c r="A34" s="35" t="s">
        <v>122</v>
      </c>
      <c r="B34" s="21" t="s">
        <v>123</v>
      </c>
      <c r="C34" s="86">
        <f>ROUND(SUM(C35:C38),0)</f>
        <v>109</v>
      </c>
      <c r="D34" s="254" t="s">
        <v>124</v>
      </c>
      <c r="E34" s="255"/>
      <c r="F34" s="256"/>
      <c r="H34" s="35" t="s">
        <v>122</v>
      </c>
      <c r="I34" s="21" t="s">
        <v>123</v>
      </c>
      <c r="J34" s="86">
        <f>SUM(J35:J38)</f>
        <v>234</v>
      </c>
      <c r="K34" s="262" t="s">
        <v>124</v>
      </c>
      <c r="L34" s="263"/>
      <c r="M34" s="264"/>
    </row>
    <row r="35" spans="1:13" ht="20.25" customHeight="1">
      <c r="A35" s="35" t="s">
        <v>125</v>
      </c>
      <c r="B35" s="21" t="s">
        <v>126</v>
      </c>
      <c r="C35" s="86">
        <f>ROUND(C12*F35,0)</f>
        <v>62</v>
      </c>
      <c r="D35" s="100" t="s">
        <v>127</v>
      </c>
      <c r="E35" s="97" t="s">
        <v>74</v>
      </c>
      <c r="F35" s="126">
        <f>F31</f>
        <v>5.6000000000000001E-2</v>
      </c>
      <c r="H35" s="35" t="s">
        <v>125</v>
      </c>
      <c r="I35" s="21" t="s">
        <v>126</v>
      </c>
      <c r="J35" s="86">
        <f>ROUND(J12*M35,0)</f>
        <v>187</v>
      </c>
      <c r="K35" s="102" t="s">
        <v>127</v>
      </c>
      <c r="L35" s="97" t="s">
        <v>74</v>
      </c>
      <c r="M35" s="36">
        <f t="shared" ref="M35:M41" si="0">F35</f>
        <v>5.6000000000000001E-2</v>
      </c>
    </row>
    <row r="36" spans="1:13" ht="20.25" customHeight="1">
      <c r="A36" s="35" t="s">
        <v>128</v>
      </c>
      <c r="B36" s="21" t="s">
        <v>129</v>
      </c>
      <c r="C36" s="86">
        <f>ROUND(C32*70%*F36,0)</f>
        <v>46</v>
      </c>
      <c r="D36" s="100" t="s">
        <v>130</v>
      </c>
      <c r="E36" s="97" t="s">
        <v>74</v>
      </c>
      <c r="F36" s="36">
        <v>1.2E-2</v>
      </c>
      <c r="H36" s="35" t="s">
        <v>128</v>
      </c>
      <c r="I36" s="21" t="s">
        <v>129</v>
      </c>
      <c r="J36" s="86">
        <f>C36</f>
        <v>46</v>
      </c>
      <c r="K36" s="102" t="s">
        <v>130</v>
      </c>
      <c r="L36" s="97" t="s">
        <v>74</v>
      </c>
      <c r="M36" s="36">
        <f t="shared" si="0"/>
        <v>1.2E-2</v>
      </c>
    </row>
    <row r="37" spans="1:13" s="73" customFormat="1" ht="20.25" customHeight="1">
      <c r="A37" s="265" t="s">
        <v>131</v>
      </c>
      <c r="B37" s="267" t="s">
        <v>132</v>
      </c>
      <c r="C37" s="269">
        <v>1</v>
      </c>
      <c r="D37" s="271" t="s">
        <v>133</v>
      </c>
      <c r="E37" s="97" t="s">
        <v>134</v>
      </c>
      <c r="F37" s="93">
        <v>13</v>
      </c>
      <c r="H37" s="265" t="s">
        <v>131</v>
      </c>
      <c r="I37" s="267" t="s">
        <v>132</v>
      </c>
      <c r="J37" s="269">
        <f>C37</f>
        <v>1</v>
      </c>
      <c r="K37" s="273" t="s">
        <v>133</v>
      </c>
      <c r="L37" s="97" t="s">
        <v>134</v>
      </c>
      <c r="M37" s="93">
        <f t="shared" si="0"/>
        <v>13</v>
      </c>
    </row>
    <row r="38" spans="1:13" ht="20.25" customHeight="1">
      <c r="A38" s="266"/>
      <c r="B38" s="268"/>
      <c r="C38" s="270"/>
      <c r="D38" s="272"/>
      <c r="E38" s="97" t="s">
        <v>135</v>
      </c>
      <c r="F38" s="93">
        <v>0</v>
      </c>
      <c r="H38" s="266"/>
      <c r="I38" s="268"/>
      <c r="J38" s="270"/>
      <c r="K38" s="274"/>
      <c r="L38" s="97" t="s">
        <v>135</v>
      </c>
      <c r="M38" s="93">
        <f t="shared" si="0"/>
        <v>0</v>
      </c>
    </row>
    <row r="39" spans="1:13" ht="20.25" customHeight="1">
      <c r="A39" s="35" t="s">
        <v>136</v>
      </c>
      <c r="B39" s="21" t="s">
        <v>137</v>
      </c>
      <c r="C39" s="86">
        <f>ROUND(C32*F39,0)</f>
        <v>11</v>
      </c>
      <c r="D39" s="100" t="s">
        <v>138</v>
      </c>
      <c r="E39" s="97" t="s">
        <v>74</v>
      </c>
      <c r="F39" s="37">
        <v>2E-3</v>
      </c>
      <c r="H39" s="35" t="s">
        <v>136</v>
      </c>
      <c r="I39" s="21" t="s">
        <v>137</v>
      </c>
      <c r="J39" s="86">
        <f>ROUND(J32*M39,0)</f>
        <v>11</v>
      </c>
      <c r="K39" s="102" t="s">
        <v>139</v>
      </c>
      <c r="L39" s="97" t="s">
        <v>74</v>
      </c>
      <c r="M39" s="37">
        <f t="shared" si="0"/>
        <v>2E-3</v>
      </c>
    </row>
    <row r="40" spans="1:13" ht="20.25" customHeight="1">
      <c r="A40" s="35" t="s">
        <v>140</v>
      </c>
      <c r="B40" s="21" t="s">
        <v>141</v>
      </c>
      <c r="C40" s="86">
        <f>ROUND(C16*F40,0)</f>
        <v>1</v>
      </c>
      <c r="D40" s="100" t="s">
        <v>142</v>
      </c>
      <c r="E40" s="97" t="s">
        <v>74</v>
      </c>
      <c r="F40" s="38">
        <v>2.5000000000000001E-4</v>
      </c>
      <c r="H40" s="35" t="s">
        <v>140</v>
      </c>
      <c r="I40" s="21" t="s">
        <v>141</v>
      </c>
      <c r="J40" s="86">
        <f>ROUND(J16*M40,0)</f>
        <v>1</v>
      </c>
      <c r="K40" s="102" t="s">
        <v>142</v>
      </c>
      <c r="L40" s="97" t="s">
        <v>74</v>
      </c>
      <c r="M40" s="38">
        <f>F40</f>
        <v>2.5000000000000001E-4</v>
      </c>
    </row>
    <row r="41" spans="1:13" ht="20.25" customHeight="1">
      <c r="A41" s="35" t="s">
        <v>143</v>
      </c>
      <c r="B41" s="21" t="s">
        <v>87</v>
      </c>
      <c r="C41" s="86">
        <f>ROUND(C12*F41,0)</f>
        <v>22</v>
      </c>
      <c r="D41" s="100" t="s">
        <v>127</v>
      </c>
      <c r="E41" s="97" t="s">
        <v>74</v>
      </c>
      <c r="F41" s="37">
        <v>0.02</v>
      </c>
      <c r="H41" s="35" t="s">
        <v>143</v>
      </c>
      <c r="I41" s="21" t="s">
        <v>87</v>
      </c>
      <c r="J41" s="86">
        <f>ROUND(J12*M41,0)</f>
        <v>67</v>
      </c>
      <c r="K41" s="102" t="s">
        <v>127</v>
      </c>
      <c r="L41" s="97" t="s">
        <v>74</v>
      </c>
      <c r="M41" s="37">
        <f t="shared" si="0"/>
        <v>0.02</v>
      </c>
    </row>
    <row r="42" spans="1:13" ht="20.25" customHeight="1">
      <c r="A42" s="33" t="s">
        <v>144</v>
      </c>
      <c r="B42" s="39" t="s">
        <v>145</v>
      </c>
      <c r="C42" s="86">
        <f>C12-C33</f>
        <v>957</v>
      </c>
      <c r="D42" s="254" t="s">
        <v>146</v>
      </c>
      <c r="E42" s="255"/>
      <c r="F42" s="256"/>
      <c r="H42" s="33" t="s">
        <v>144</v>
      </c>
      <c r="I42" s="39" t="s">
        <v>145</v>
      </c>
      <c r="J42" s="86">
        <f>J12-J33</f>
        <v>3026</v>
      </c>
      <c r="K42" s="257" t="s">
        <v>146</v>
      </c>
      <c r="L42" s="257"/>
      <c r="M42" s="257"/>
    </row>
    <row r="43" spans="1:13" ht="20.25" customHeight="1">
      <c r="A43" s="260" t="s">
        <v>147</v>
      </c>
      <c r="B43" s="258" t="s">
        <v>148</v>
      </c>
      <c r="C43" s="259">
        <f>ROUND(C42*(1-((1+F45)/(1+F43))^F44)/(F43-F45),0)</f>
        <v>3066</v>
      </c>
      <c r="D43" s="261" t="s">
        <v>149</v>
      </c>
      <c r="E43" s="97" t="s">
        <v>150</v>
      </c>
      <c r="F43" s="36">
        <v>0.06</v>
      </c>
      <c r="H43" s="260" t="s">
        <v>147</v>
      </c>
      <c r="I43" s="258" t="s">
        <v>151</v>
      </c>
      <c r="J43" s="259">
        <f>ROUND(J42*(1-((1+M45)/(1+M43))^M44)/(M43-M45),0)</f>
        <v>48240</v>
      </c>
      <c r="K43" s="257" t="s">
        <v>149</v>
      </c>
      <c r="L43" s="97" t="s">
        <v>150</v>
      </c>
      <c r="M43" s="36">
        <f>F43</f>
        <v>0.06</v>
      </c>
    </row>
    <row r="44" spans="1:13" ht="20.25" customHeight="1">
      <c r="A44" s="260"/>
      <c r="B44" s="258"/>
      <c r="C44" s="259"/>
      <c r="D44" s="261"/>
      <c r="E44" s="97" t="s">
        <v>152</v>
      </c>
      <c r="F44" s="32">
        <v>3.52</v>
      </c>
      <c r="H44" s="260"/>
      <c r="I44" s="258"/>
      <c r="J44" s="259"/>
      <c r="K44" s="257"/>
      <c r="L44" s="97" t="s">
        <v>153</v>
      </c>
      <c r="M44" s="32">
        <f>M48-M49</f>
        <v>22.66</v>
      </c>
    </row>
    <row r="45" spans="1:13" ht="20.25" customHeight="1">
      <c r="A45" s="260"/>
      <c r="B45" s="258"/>
      <c r="C45" s="259"/>
      <c r="D45" s="261"/>
      <c r="E45" s="97" t="s">
        <v>154</v>
      </c>
      <c r="F45" s="36">
        <v>0.03</v>
      </c>
      <c r="H45" s="260"/>
      <c r="I45" s="258"/>
      <c r="J45" s="259"/>
      <c r="K45" s="257"/>
      <c r="L45" s="97" t="s">
        <v>154</v>
      </c>
      <c r="M45" s="36">
        <v>0.03</v>
      </c>
    </row>
    <row r="46" spans="1:13" ht="20.25" customHeight="1">
      <c r="A46" s="18" t="s">
        <v>155</v>
      </c>
      <c r="B46" s="40"/>
      <c r="C46" s="41"/>
      <c r="D46" s="42"/>
      <c r="E46" s="43"/>
      <c r="F46" s="44">
        <f>F13</f>
        <v>11454.2</v>
      </c>
      <c r="H46" s="33" t="s">
        <v>156</v>
      </c>
      <c r="I46" s="34" t="s">
        <v>157</v>
      </c>
      <c r="J46" s="86">
        <f>ROUND(J43/(1+F43)^F44,0)</f>
        <v>39294</v>
      </c>
      <c r="K46" s="99" t="s">
        <v>158</v>
      </c>
      <c r="L46" s="97"/>
      <c r="M46" s="32">
        <f>F13</f>
        <v>11454.2</v>
      </c>
    </row>
    <row r="47" spans="1:13" ht="20.25" customHeight="1">
      <c r="H47" s="18" t="s">
        <v>155</v>
      </c>
      <c r="K47" s="104"/>
      <c r="L47" s="104"/>
      <c r="M47" s="104"/>
    </row>
    <row r="48" spans="1:13" ht="20.25" customHeight="1">
      <c r="B48" s="248" t="s">
        <v>159</v>
      </c>
      <c r="C48" s="249"/>
      <c r="D48" s="94">
        <f>C43+J46</f>
        <v>42360</v>
      </c>
      <c r="E48" s="45" t="s">
        <v>254</v>
      </c>
      <c r="H48" s="46"/>
      <c r="I48" s="40"/>
      <c r="K48" s="104"/>
      <c r="L48" s="97" t="s">
        <v>160</v>
      </c>
      <c r="M48" s="32">
        <f>'市场比较法（彩虹新都）'!D8</f>
        <v>26.18</v>
      </c>
    </row>
    <row r="49" spans="2:13" ht="20.25" customHeight="1">
      <c r="B49" s="248" t="s">
        <v>161</v>
      </c>
      <c r="C49" s="249"/>
      <c r="D49" s="94">
        <f>ROUND(D48/F13*10000,0)</f>
        <v>36982</v>
      </c>
      <c r="E49" s="45" t="s">
        <v>162</v>
      </c>
      <c r="H49" s="46"/>
      <c r="I49" s="40"/>
      <c r="K49" s="104"/>
      <c r="L49" s="97" t="s">
        <v>152</v>
      </c>
      <c r="M49" s="32">
        <f>F44</f>
        <v>3.52</v>
      </c>
    </row>
    <row r="50" spans="2:13" s="30" customFormat="1" ht="20.25" customHeight="1">
      <c r="G50" s="47"/>
      <c r="H50" s="46"/>
      <c r="I50" s="40"/>
    </row>
    <row r="51" spans="2:13" ht="20.25" customHeight="1">
      <c r="H51" s="46"/>
      <c r="I51" s="40"/>
    </row>
    <row r="52" spans="2:13" ht="20.25" customHeight="1">
      <c r="B52" s="22" t="s">
        <v>163</v>
      </c>
      <c r="C52" s="23">
        <f>ROUND(C16*C53,0)</f>
        <v>409</v>
      </c>
      <c r="D52" s="24"/>
      <c r="E52" s="24"/>
      <c r="I52" s="48" t="s">
        <v>164</v>
      </c>
      <c r="J52" s="49"/>
      <c r="K52" s="49"/>
    </row>
    <row r="53" spans="2:13" ht="20.25" customHeight="1">
      <c r="B53" s="25" t="s">
        <v>165</v>
      </c>
      <c r="C53" s="26">
        <v>0.1</v>
      </c>
      <c r="D53" s="25" t="s">
        <v>166</v>
      </c>
      <c r="E53" s="26"/>
      <c r="I53" s="48" t="s">
        <v>167</v>
      </c>
      <c r="J53" s="49"/>
      <c r="K53" s="49"/>
    </row>
    <row r="54" spans="2:13" ht="20.25" customHeight="1">
      <c r="B54" s="250" t="s">
        <v>168</v>
      </c>
      <c r="C54" s="251"/>
      <c r="D54" s="251"/>
      <c r="E54" s="252"/>
      <c r="I54" s="48" t="s">
        <v>169</v>
      </c>
      <c r="J54" s="49"/>
      <c r="K54" s="253" t="s">
        <v>170</v>
      </c>
    </row>
    <row r="55" spans="2:13" ht="20.25" customHeight="1">
      <c r="B55" s="22" t="s">
        <v>171</v>
      </c>
      <c r="C55" s="50">
        <f>C52/C42</f>
        <v>0.42737722048066873</v>
      </c>
      <c r="D55" s="28" t="s">
        <v>172</v>
      </c>
      <c r="E55" s="50">
        <f>C16/D48</f>
        <v>9.6576959395656276E-2</v>
      </c>
      <c r="I55" s="48" t="s">
        <v>173</v>
      </c>
      <c r="J55" s="49"/>
      <c r="K55" s="253"/>
    </row>
    <row r="56" spans="2:13" ht="20.25" customHeight="1">
      <c r="B56" s="22" t="s">
        <v>174</v>
      </c>
      <c r="C56" s="27">
        <f>1-C55</f>
        <v>0.57262277951933127</v>
      </c>
      <c r="D56" s="28" t="s">
        <v>175</v>
      </c>
      <c r="E56" s="29">
        <f>1-E55</f>
        <v>0.90342304060434375</v>
      </c>
      <c r="I56" s="48"/>
      <c r="J56" s="49"/>
      <c r="K56" s="101"/>
    </row>
    <row r="57" spans="2:13" ht="20.25" customHeight="1">
      <c r="J57" s="129" t="s">
        <v>338</v>
      </c>
      <c r="K57" s="35" t="s">
        <v>340</v>
      </c>
    </row>
    <row r="58" spans="2:13" ht="20.25" customHeight="1">
      <c r="D58" s="18">
        <v>69</v>
      </c>
      <c r="J58" s="129" t="s">
        <v>339</v>
      </c>
      <c r="K58" s="35">
        <v>60</v>
      </c>
    </row>
    <row r="59" spans="2:13" ht="20.25" customHeight="1">
      <c r="D59" s="81">
        <v>0.03</v>
      </c>
      <c r="I59" s="127"/>
      <c r="J59" s="31" t="s">
        <v>330</v>
      </c>
      <c r="K59" s="31" t="s">
        <v>345</v>
      </c>
      <c r="L59" s="31" t="s">
        <v>331</v>
      </c>
      <c r="M59" s="31" t="s">
        <v>332</v>
      </c>
    </row>
    <row r="60" spans="2:13" ht="20.25" customHeight="1">
      <c r="D60" s="18">
        <f>D58*(1+D59)^2</f>
        <v>73.202100000000002</v>
      </c>
      <c r="I60" s="35" t="s">
        <v>336</v>
      </c>
      <c r="J60" s="128">
        <f>ROUND(1-(I60-$K$57)/$K$58,3)</f>
        <v>0.65</v>
      </c>
      <c r="K60" s="128">
        <v>0.85</v>
      </c>
      <c r="L60" s="130">
        <f>AVERAGE(J60:K60)</f>
        <v>0.75</v>
      </c>
      <c r="M60" s="131">
        <f>ROUND($C$32*J60,0)</f>
        <v>3546</v>
      </c>
    </row>
    <row r="61" spans="2:13" ht="20.25" customHeight="1">
      <c r="I61" s="35" t="s">
        <v>337</v>
      </c>
      <c r="J61" s="128">
        <f t="shared" ref="J61:J64" si="1">ROUND(1-(I61-$K$57)/$K$58,3)</f>
        <v>0.63300000000000001</v>
      </c>
      <c r="K61" s="128">
        <v>0.83</v>
      </c>
      <c r="L61" s="130">
        <f t="shared" ref="L61:L64" si="2">AVERAGE(J61:K61)</f>
        <v>0.73150000000000004</v>
      </c>
      <c r="M61" s="131">
        <f t="shared" ref="M61:M64" si="3">ROUND($C$32*J61,0)</f>
        <v>3453</v>
      </c>
    </row>
    <row r="62" spans="2:13" ht="20.25" customHeight="1">
      <c r="I62" s="35" t="s">
        <v>333</v>
      </c>
      <c r="J62" s="128">
        <f t="shared" si="1"/>
        <v>0.61699999999999999</v>
      </c>
      <c r="K62" s="128">
        <v>0.81</v>
      </c>
      <c r="L62" s="130">
        <f t="shared" si="2"/>
        <v>0.71350000000000002</v>
      </c>
      <c r="M62" s="131">
        <f t="shared" si="3"/>
        <v>3366</v>
      </c>
    </row>
    <row r="63" spans="2:13" ht="20.25" customHeight="1">
      <c r="I63" s="35" t="s">
        <v>334</v>
      </c>
      <c r="J63" s="128">
        <f t="shared" si="1"/>
        <v>0.6</v>
      </c>
      <c r="K63" s="128">
        <v>0.79</v>
      </c>
      <c r="L63" s="130">
        <f t="shared" si="2"/>
        <v>0.69500000000000006</v>
      </c>
      <c r="M63" s="131">
        <f t="shared" si="3"/>
        <v>3273</v>
      </c>
    </row>
    <row r="64" spans="2:13" ht="20.25" customHeight="1">
      <c r="I64" s="35" t="s">
        <v>335</v>
      </c>
      <c r="J64" s="128">
        <f t="shared" si="1"/>
        <v>0.58299999999999996</v>
      </c>
      <c r="K64" s="128">
        <v>0.77</v>
      </c>
      <c r="L64" s="130">
        <f t="shared" si="2"/>
        <v>0.67649999999999999</v>
      </c>
      <c r="M64" s="131">
        <f t="shared" si="3"/>
        <v>3180</v>
      </c>
    </row>
  </sheetData>
  <mergeCells count="48">
    <mergeCell ref="A10:F10"/>
    <mergeCell ref="H10:M10"/>
    <mergeCell ref="E11:F11"/>
    <mergeCell ref="L11:M11"/>
    <mergeCell ref="A12:A15"/>
    <mergeCell ref="B12:B15"/>
    <mergeCell ref="C12:C15"/>
    <mergeCell ref="D12:D15"/>
    <mergeCell ref="H12:H15"/>
    <mergeCell ref="I12:I15"/>
    <mergeCell ref="J12:J15"/>
    <mergeCell ref="K12:K15"/>
    <mergeCell ref="D22:F22"/>
    <mergeCell ref="K22:M22"/>
    <mergeCell ref="D25:F25"/>
    <mergeCell ref="K25:M25"/>
    <mergeCell ref="D28:F28"/>
    <mergeCell ref="K28:M28"/>
    <mergeCell ref="E29:E30"/>
    <mergeCell ref="F29:F30"/>
    <mergeCell ref="L29:L30"/>
    <mergeCell ref="M29:M30"/>
    <mergeCell ref="D33:F33"/>
    <mergeCell ref="K33:M33"/>
    <mergeCell ref="D34:F34"/>
    <mergeCell ref="K34:M34"/>
    <mergeCell ref="A37:A38"/>
    <mergeCell ref="B37:B38"/>
    <mergeCell ref="C37:C38"/>
    <mergeCell ref="D37:D38"/>
    <mergeCell ref="H37:H38"/>
    <mergeCell ref="I37:I38"/>
    <mergeCell ref="J37:J38"/>
    <mergeCell ref="K37:K38"/>
    <mergeCell ref="A43:A45"/>
    <mergeCell ref="B43:B45"/>
    <mergeCell ref="C43:C45"/>
    <mergeCell ref="D43:D45"/>
    <mergeCell ref="H43:H45"/>
    <mergeCell ref="B48:C48"/>
    <mergeCell ref="B49:C49"/>
    <mergeCell ref="B54:E54"/>
    <mergeCell ref="K54:K55"/>
    <mergeCell ref="D42:F42"/>
    <mergeCell ref="K42:M42"/>
    <mergeCell ref="I43:I45"/>
    <mergeCell ref="J43:J45"/>
    <mergeCell ref="K43:K45"/>
  </mergeCells>
  <phoneticPr fontId="3" type="noConversion"/>
  <pageMargins left="0.7" right="0.7" top="0.75" bottom="0.75" header="0.3" footer="0.3"/>
  <pageSetup paperSize="9" scale="37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>
      <selection activeCell="X65" sqref="X65"/>
    </sheetView>
  </sheetViews>
  <sheetFormatPr defaultRowHeight="13.5"/>
  <sheetData/>
  <phoneticPr fontId="1" type="noConversion"/>
  <pageMargins left="0.7" right="0.7" top="0.75" bottom="0.75" header="0.3" footer="0.3"/>
  <pageSetup paperSize="9" scale="61" orientation="portrait" r:id="rId1"/>
  <colBreaks count="2" manualBreakCount="2">
    <brk id="12" max="87" man="1"/>
    <brk id="23" max="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结果</vt:lpstr>
      <vt:lpstr>面积表</vt:lpstr>
      <vt:lpstr>市场比较法（彩虹新都）</vt:lpstr>
      <vt:lpstr>各部位修正</vt:lpstr>
      <vt:lpstr>收益法（彩虹新都）</vt:lpstr>
      <vt:lpstr>Sheet1</vt:lpstr>
      <vt:lpstr>Sheet1!Print_Area</vt:lpstr>
      <vt:lpstr>结果!Print_Area</vt:lpstr>
      <vt:lpstr>面积表!Print_Area</vt:lpstr>
    </vt:vector>
  </TitlesOfParts>
  <Company>kg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Zitao</dc:creator>
  <cp:lastModifiedBy>USER</cp:lastModifiedBy>
  <cp:lastPrinted>2016-06-08T06:33:54Z</cp:lastPrinted>
  <dcterms:created xsi:type="dcterms:W3CDTF">2014-05-27T06:35:52Z</dcterms:created>
  <dcterms:modified xsi:type="dcterms:W3CDTF">2017-07-06T01:56:41Z</dcterms:modified>
</cp:coreProperties>
</file>