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4"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25" i="31" l="1"/>
  <c r="B25" i="31"/>
  <c r="A26" i="31"/>
  <c r="B26" i="31"/>
  <c r="A27" i="31"/>
  <c r="B27" i="31"/>
  <c r="A28" i="31"/>
  <c r="B28" i="31"/>
  <c r="B24" i="31"/>
  <c r="A24" i="31"/>
  <c r="I48" i="34"/>
  <c r="G48" i="34"/>
  <c r="E48" i="34"/>
  <c r="I34" i="34"/>
  <c r="G34" i="34"/>
  <c r="E34" i="34"/>
  <c r="I5" i="34"/>
  <c r="G5" i="34"/>
  <c r="E5" i="34"/>
  <c r="I7" i="34"/>
  <c r="G7" i="34"/>
  <c r="E7" i="34"/>
  <c r="Y6" i="1"/>
  <c r="N6" i="1"/>
  <c r="N22" i="1"/>
  <c r="N20"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I28" i="79"/>
  <c r="AB27" i="79"/>
  <c r="AA27" i="79"/>
  <c r="Z27" i="79"/>
  <c r="N27" i="79"/>
  <c r="M27" i="79"/>
  <c r="T27" i="79" s="1"/>
  <c r="W27" i="79" s="1"/>
  <c r="L27" i="79"/>
  <c r="I27" i="79"/>
  <c r="AB26" i="79"/>
  <c r="AA26" i="79"/>
  <c r="Z26" i="79"/>
  <c r="N26" i="79"/>
  <c r="M26" i="79"/>
  <c r="L26" i="79"/>
  <c r="S26" i="79" s="1"/>
  <c r="I26" i="79"/>
  <c r="AB25" i="79"/>
  <c r="AA25" i="79"/>
  <c r="Z25" i="79"/>
  <c r="N25" i="79"/>
  <c r="M25" i="79"/>
  <c r="L25" i="79"/>
  <c r="I25" i="79"/>
  <c r="AD25" i="79" s="1"/>
  <c r="AB24" i="79"/>
  <c r="AA24" i="79"/>
  <c r="Z24" i="79"/>
  <c r="N24" i="79"/>
  <c r="U24" i="79" s="1"/>
  <c r="M24" i="79"/>
  <c r="L24" i="79"/>
  <c r="I24" i="79"/>
  <c r="AB23" i="79"/>
  <c r="AA23" i="79"/>
  <c r="Z23" i="79"/>
  <c r="Z20" i="79" s="1"/>
  <c r="N23" i="79"/>
  <c r="M23" i="79"/>
  <c r="L23" i="79"/>
  <c r="I23" i="79"/>
  <c r="AD23" i="79" s="1"/>
  <c r="AB22" i="79"/>
  <c r="AA22" i="79"/>
  <c r="AA20" i="79" s="1"/>
  <c r="AD20" i="79" s="1"/>
  <c r="Z22" i="79"/>
  <c r="N22" i="79"/>
  <c r="U22" i="79" s="1"/>
  <c r="M22" i="79"/>
  <c r="T20" i="79" s="1"/>
  <c r="W20" i="79" s="1"/>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K7" i="79"/>
  <c r="R7" i="79" s="1"/>
  <c r="I7" i="79"/>
  <c r="AC6" i="79"/>
  <c r="AB6" i="79"/>
  <c r="AA6" i="79"/>
  <c r="AD6" i="79" s="1"/>
  <c r="Z6" i="79"/>
  <c r="Y6" i="79"/>
  <c r="O6" i="79"/>
  <c r="N6" i="79"/>
  <c r="U6" i="79" s="1"/>
  <c r="M6" i="79"/>
  <c r="P6" i="79" s="1"/>
  <c r="L6" i="79"/>
  <c r="S6" i="79" s="1"/>
  <c r="K6" i="79"/>
  <c r="I6" i="79"/>
  <c r="AC5" i="79"/>
  <c r="AB5" i="79"/>
  <c r="AA5" i="79"/>
  <c r="AD5" i="79" s="1"/>
  <c r="Z5" i="79"/>
  <c r="Y5" i="79"/>
  <c r="P5" i="79"/>
  <c r="O5" i="79"/>
  <c r="N5" i="79"/>
  <c r="U5" i="79" s="1"/>
  <c r="M5" i="79"/>
  <c r="T5" i="79" s="1"/>
  <c r="W5" i="79" s="1"/>
  <c r="L5" i="79"/>
  <c r="S5" i="79" s="1"/>
  <c r="K5" i="79"/>
  <c r="I5" i="79"/>
  <c r="AC3" i="79"/>
  <c r="AB3" i="79"/>
  <c r="Z3" i="79"/>
  <c r="Y3" i="79"/>
  <c r="V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AA3" i="79"/>
  <c r="AD3" i="79" s="1"/>
  <c r="R5" i="79"/>
  <c r="V5" i="79"/>
  <c r="R6" i="79"/>
  <c r="V6" i="79"/>
  <c r="S7" i="79"/>
  <c r="U9" i="79"/>
  <c r="U11" i="79"/>
  <c r="U25" i="79"/>
  <c r="AD26" i="79"/>
  <c r="S27" i="79"/>
  <c r="M37" i="43"/>
  <c r="P9" i="79"/>
  <c r="P11" i="79"/>
  <c r="N20" i="79"/>
  <c r="T22" i="79"/>
  <c r="W22" i="79" s="1"/>
  <c r="U23" i="79"/>
  <c r="AD24" i="79"/>
  <c r="S25" i="79"/>
  <c r="T26" i="79"/>
  <c r="W26" i="79" s="1"/>
  <c r="U27" i="79"/>
  <c r="AD28" i="79"/>
  <c r="S24" i="79"/>
  <c r="T25" i="79"/>
  <c r="W25" i="79" s="1"/>
  <c r="U26" i="79"/>
  <c r="AD27" i="79"/>
  <c r="S28"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C8" i="68"/>
  <c r="B49" i="48"/>
  <c r="B5" i="72" s="1"/>
  <c r="D89" i="71"/>
  <c r="F88" i="71"/>
  <c r="F87" i="71" s="1"/>
  <c r="E88" i="71"/>
  <c r="E87" i="71" s="1"/>
  <c r="E86" i="71" s="1"/>
  <c r="C88" i="71"/>
  <c r="D88" i="71" s="1"/>
  <c r="B88" i="71"/>
  <c r="B87" i="71" s="1"/>
  <c r="B86" i="71" s="1"/>
  <c r="F86" i="71"/>
  <c r="D85" i="71"/>
  <c r="F84" i="71"/>
  <c r="F83" i="71" s="1"/>
  <c r="F82" i="71" s="1"/>
  <c r="E84" i="71"/>
  <c r="E83" i="71" s="1"/>
  <c r="E82" i="71" s="1"/>
  <c r="C84" i="71"/>
  <c r="C83"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S68" i="71"/>
  <c r="F67" i="71"/>
  <c r="F66" i="71" s="1"/>
  <c r="Q66"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D54" i="71" s="1"/>
  <c r="Q53" i="71"/>
  <c r="F54" i="71" s="1"/>
  <c r="P53" i="71"/>
  <c r="E54" i="71"/>
  <c r="O53" i="71"/>
  <c r="N53" i="71"/>
  <c r="B54" i="71" s="1"/>
  <c r="B55" i="71" s="1"/>
  <c r="B56" i="71" s="1"/>
  <c r="S56" i="71" s="1"/>
  <c r="D53" i="71"/>
  <c r="Q52" i="71"/>
  <c r="P52" i="71"/>
  <c r="O52" i="71"/>
  <c r="N52" i="71"/>
  <c r="Q51" i="71"/>
  <c r="P51" i="71"/>
  <c r="O51" i="71"/>
  <c r="N51" i="71"/>
  <c r="Q50" i="71"/>
  <c r="P50" i="71"/>
  <c r="O50" i="71"/>
  <c r="N50" i="71"/>
  <c r="Q49" i="71"/>
  <c r="F50" i="71"/>
  <c r="P49" i="71"/>
  <c r="E50" i="71" s="1"/>
  <c r="E51" i="71"/>
  <c r="E52" i="71" s="1"/>
  <c r="U52" i="71" s="1"/>
  <c r="O49" i="71"/>
  <c r="C50" i="71"/>
  <c r="C51" i="71" s="1"/>
  <c r="D51" i="71" s="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D42" i="71" s="1"/>
  <c r="N41" i="71"/>
  <c r="B42" i="71"/>
  <c r="B43" i="71" s="1"/>
  <c r="B44" i="71" s="1"/>
  <c r="S44" i="71" s="1"/>
  <c r="D41" i="71"/>
  <c r="Q40" i="71"/>
  <c r="P40" i="71"/>
  <c r="O40" i="71"/>
  <c r="N40" i="71"/>
  <c r="AB39" i="71"/>
  <c r="Q39" i="71"/>
  <c r="P39" i="71"/>
  <c r="AA39" i="71"/>
  <c r="O39" i="71"/>
  <c r="Y39" i="71" s="1"/>
  <c r="Z39" i="71" s="1"/>
  <c r="N39" i="71"/>
  <c r="X39" i="71" s="1"/>
  <c r="Q38" i="71"/>
  <c r="AB38" i="71" s="1"/>
  <c r="P38" i="71"/>
  <c r="O38" i="71"/>
  <c r="Y36" i="71" s="1"/>
  <c r="Z36" i="71" s="1"/>
  <c r="N38" i="71"/>
  <c r="Q37" i="71"/>
  <c r="AB37" i="71" s="1"/>
  <c r="P37" i="71"/>
  <c r="O37" i="71"/>
  <c r="N37" i="71"/>
  <c r="D37" i="71"/>
  <c r="Q36" i="71"/>
  <c r="P36" i="71"/>
  <c r="AA36" i="71" s="1"/>
  <c r="O36" i="71"/>
  <c r="Y34" i="71" s="1"/>
  <c r="Z34" i="71" s="1"/>
  <c r="N36" i="71"/>
  <c r="Q35" i="71"/>
  <c r="AB31" i="71" s="1"/>
  <c r="P35" i="71"/>
  <c r="O35" i="71"/>
  <c r="Y35" i="71"/>
  <c r="Z35" i="71" s="1"/>
  <c r="N35" i="71"/>
  <c r="Q34" i="71"/>
  <c r="AB34" i="71"/>
  <c r="P34" i="71"/>
  <c r="O34" i="71"/>
  <c r="N34" i="71"/>
  <c r="F35" i="71"/>
  <c r="F36" i="71" s="1"/>
  <c r="V36" i="71" s="1"/>
  <c r="Q33" i="71"/>
  <c r="F34" i="71" s="1"/>
  <c r="P33" i="71"/>
  <c r="O33" i="71"/>
  <c r="N33" i="71"/>
  <c r="B34" i="71" s="1"/>
  <c r="B35" i="71" s="1"/>
  <c r="B36" i="71" s="1"/>
  <c r="S36" i="71" s="1"/>
  <c r="D33" i="71"/>
  <c r="Q32" i="71"/>
  <c r="AB32" i="71" s="1"/>
  <c r="P32" i="71"/>
  <c r="AA32" i="71" s="1"/>
  <c r="O32" i="71"/>
  <c r="N32" i="71"/>
  <c r="X32" i="71" s="1"/>
  <c r="Q31" i="71"/>
  <c r="P31" i="71"/>
  <c r="O31" i="71"/>
  <c r="Y31" i="71" s="1"/>
  <c r="Z31" i="71" s="1"/>
  <c r="N31" i="71"/>
  <c r="X31" i="71" s="1"/>
  <c r="Q30" i="71"/>
  <c r="P30" i="71"/>
  <c r="AA30" i="71" s="1"/>
  <c r="O30" i="71"/>
  <c r="Y29" i="71" s="1"/>
  <c r="Z29" i="71" s="1"/>
  <c r="N30" i="71"/>
  <c r="F30" i="71"/>
  <c r="F31" i="71" s="1"/>
  <c r="F32" i="71" s="1"/>
  <c r="V32" i="71" s="1"/>
  <c r="Q29" i="71"/>
  <c r="P29" i="71"/>
  <c r="E30" i="71" s="1"/>
  <c r="E31" i="71" s="1"/>
  <c r="E32" i="71" s="1"/>
  <c r="U32" i="71" s="1"/>
  <c r="O29" i="71"/>
  <c r="N29" i="71"/>
  <c r="X26"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AA35" i="71"/>
  <c r="C38" i="71"/>
  <c r="C39" i="71" s="1"/>
  <c r="AA38" i="71"/>
  <c r="F51" i="71"/>
  <c r="F52" i="71" s="1"/>
  <c r="V52" i="71"/>
  <c r="B28" i="71"/>
  <c r="B27" i="71" s="1"/>
  <c r="B26" i="71" s="1"/>
  <c r="X28" i="71"/>
  <c r="C31" i="71"/>
  <c r="D30" i="71"/>
  <c r="D38" i="71"/>
  <c r="C47" i="71"/>
  <c r="D47" i="71" s="1"/>
  <c r="D46" i="71"/>
  <c r="P28" i="71"/>
  <c r="AA26" i="71" s="1"/>
  <c r="E55" i="71"/>
  <c r="E56" i="71"/>
  <c r="U56" i="71" s="1"/>
  <c r="Q65" i="71"/>
  <c r="U68" i="71"/>
  <c r="E67" i="71"/>
  <c r="E66" i="71" s="1"/>
  <c r="Q28" i="71"/>
  <c r="C55" i="71"/>
  <c r="D55" i="71" s="1"/>
  <c r="C59" i="71"/>
  <c r="D59" i="71" s="1"/>
  <c r="D58" i="71"/>
  <c r="C63" i="71"/>
  <c r="C64" i="71" s="1"/>
  <c r="D62" i="71"/>
  <c r="N67" i="71"/>
  <c r="B66" i="71"/>
  <c r="Q67" i="71"/>
  <c r="T68" i="71"/>
  <c r="O68" i="71"/>
  <c r="D68" i="71"/>
  <c r="C67" i="71"/>
  <c r="D67" i="71" s="1"/>
  <c r="Q68" i="71"/>
  <c r="C71" i="71"/>
  <c r="D71" i="71" s="1"/>
  <c r="E71" i="71"/>
  <c r="E70" i="71"/>
  <c r="D72" i="71"/>
  <c r="C75" i="71"/>
  <c r="E75" i="71"/>
  <c r="E74" i="71"/>
  <c r="D76" i="71"/>
  <c r="C79" i="71"/>
  <c r="E79" i="71"/>
  <c r="E78" i="71"/>
  <c r="D80" i="71"/>
  <c r="C87" i="71"/>
  <c r="F28" i="71"/>
  <c r="F27" i="71"/>
  <c r="F26" i="71" s="1"/>
  <c r="AB27" i="71"/>
  <c r="E28" i="71"/>
  <c r="E27" i="71" s="1"/>
  <c r="E26" i="71" s="1"/>
  <c r="AA27" i="71"/>
  <c r="C66" i="71"/>
  <c r="O65" i="71" s="1"/>
  <c r="D63" i="71"/>
  <c r="D75" i="71"/>
  <c r="C74" i="71"/>
  <c r="D74" i="71"/>
  <c r="N65" i="71"/>
  <c r="N66" i="71"/>
  <c r="D87" i="71"/>
  <c r="C86" i="71"/>
  <c r="D86" i="71" s="1"/>
  <c r="D79" i="71"/>
  <c r="C78" i="71"/>
  <c r="D78" i="71"/>
  <c r="C70" i="71"/>
  <c r="D70" i="71" s="1"/>
  <c r="C60" i="71"/>
  <c r="T60" i="71" s="1"/>
  <c r="C56" i="71"/>
  <c r="D56" i="71" s="1"/>
  <c r="P67" i="71"/>
  <c r="C52" i="71"/>
  <c r="T52" i="71" s="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U18" i="36"/>
  <c r="F94" i="40"/>
  <c r="G94" i="40" s="1"/>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AZ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R73" i="31"/>
  <c r="S73" i="31" s="1"/>
  <c r="R74" i="31"/>
  <c r="S74" i="31" s="1"/>
  <c r="R75" i="31"/>
  <c r="S75" i="31" s="1"/>
  <c r="R76" i="31"/>
  <c r="S76" i="31" s="1"/>
  <c r="R77" i="31"/>
  <c r="S77" i="31" s="1"/>
  <c r="R78" i="31"/>
  <c r="S78" i="31" s="1"/>
  <c r="R79" i="31"/>
  <c r="S79" i="31" s="1"/>
  <c r="R80" i="3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R96" i="3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R120" i="31"/>
  <c r="S120" i="31" s="1"/>
  <c r="R121" i="31"/>
  <c r="S121" i="31" s="1"/>
  <c r="R122" i="31"/>
  <c r="S122" i="31" s="1"/>
  <c r="R123" i="31"/>
  <c r="R124" i="3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R189" i="31"/>
  <c r="S189" i="31" s="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R228" i="31"/>
  <c r="S228" i="31" s="1"/>
  <c r="R229" i="31"/>
  <c r="S229" i="31" s="1"/>
  <c r="R230" i="31"/>
  <c r="S230" i="31" s="1"/>
  <c r="R231" i="31"/>
  <c r="S231" i="31" s="1"/>
  <c r="R232" i="31"/>
  <c r="R233" i="31"/>
  <c r="S233" i="31" s="1"/>
  <c r="R234" i="31"/>
  <c r="S234" i="31" s="1"/>
  <c r="R235" i="31"/>
  <c r="R236" i="31"/>
  <c r="S236" i="31" s="1"/>
  <c r="R237" i="31"/>
  <c r="R238" i="31"/>
  <c r="S238" i="31" s="1"/>
  <c r="R239" i="31"/>
  <c r="R240" i="31"/>
  <c r="S240" i="31" s="1"/>
  <c r="R241" i="31"/>
  <c r="S241" i="31" s="1"/>
  <c r="R242" i="31"/>
  <c r="S242" i="31" s="1"/>
  <c r="R243" i="31"/>
  <c r="S243" i="31" s="1"/>
  <c r="R244" i="31"/>
  <c r="R245" i="31"/>
  <c r="S245" i="31" s="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R427" i="3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06" i="31"/>
  <c r="S390" i="31"/>
  <c r="S388" i="31"/>
  <c r="S366" i="31"/>
  <c r="S356" i="31"/>
  <c r="S354" i="31"/>
  <c r="S342" i="31"/>
  <c r="S326" i="31"/>
  <c r="S324" i="31"/>
  <c r="S294" i="31"/>
  <c r="S280" i="31"/>
  <c r="S260" i="31"/>
  <c r="S252" i="31"/>
  <c r="S247" i="31"/>
  <c r="S244" i="31"/>
  <c r="S239" i="31"/>
  <c r="S237" i="31"/>
  <c r="S235" i="31"/>
  <c r="S232" i="31"/>
  <c r="S227" i="31"/>
  <c r="S224" i="31"/>
  <c r="S427" i="31"/>
  <c r="S426" i="31"/>
  <c r="S219" i="31"/>
  <c r="S215" i="31"/>
  <c r="S212" i="31"/>
  <c r="S203" i="31"/>
  <c r="S199" i="31"/>
  <c r="S195" i="31"/>
  <c r="S188" i="31"/>
  <c r="S187" i="31"/>
  <c r="S175" i="31"/>
  <c r="S172" i="31"/>
  <c r="S167" i="31"/>
  <c r="S164" i="31"/>
  <c r="S163" i="31"/>
  <c r="S155" i="31"/>
  <c r="S151" i="31"/>
  <c r="S148" i="31"/>
  <c r="S139" i="31"/>
  <c r="S135" i="31"/>
  <c r="S131" i="31"/>
  <c r="S124" i="31"/>
  <c r="S123" i="31"/>
  <c r="S483" i="31"/>
  <c r="S478" i="31"/>
  <c r="S475" i="31"/>
  <c r="S442" i="31"/>
  <c r="S439" i="31"/>
  <c r="S432" i="31"/>
  <c r="S119" i="31"/>
  <c r="S116" i="31"/>
  <c r="S466" i="31"/>
  <c r="S460" i="31"/>
  <c r="S454" i="31"/>
  <c r="S47" i="31"/>
  <c r="S43" i="31"/>
  <c r="S39" i="31"/>
  <c r="S72" i="31"/>
  <c r="S71" i="31"/>
  <c r="S59" i="31"/>
  <c r="S56" i="31"/>
  <c r="S96" i="31"/>
  <c r="S95" i="31"/>
  <c r="S87" i="31"/>
  <c r="S80" i="31"/>
  <c r="S31" i="31"/>
  <c r="S99" i="31"/>
  <c r="S103" i="31"/>
  <c r="S1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c r="I87" i="35" s="1"/>
  <c r="J87" i="35" s="1"/>
  <c r="K87" i="35" s="1"/>
  <c r="L87" i="35" s="1"/>
  <c r="M87" i="35" s="1"/>
  <c r="H34" i="37"/>
  <c r="D101" i="37"/>
  <c r="F34" i="37"/>
  <c r="D99" i="37"/>
  <c r="E99" i="37" s="1"/>
  <c r="F99" i="37"/>
  <c r="G99" i="37"/>
  <c r="H99" i="37" s="1"/>
  <c r="I99" i="37" s="1"/>
  <c r="J99" i="37" s="1"/>
  <c r="K99" i="37" s="1"/>
  <c r="L99" i="37" s="1"/>
  <c r="M99" i="37" s="1"/>
  <c r="H42" i="34"/>
  <c r="J42" i="34"/>
  <c r="W42" i="34" s="1"/>
  <c r="F42" i="34"/>
  <c r="J38" i="34"/>
  <c r="W38" i="34"/>
  <c r="D114" i="34"/>
  <c r="F38" i="34"/>
  <c r="S38" i="34"/>
  <c r="D112" i="34"/>
  <c r="E112" i="34" s="1"/>
  <c r="F112" i="34" s="1"/>
  <c r="G112" i="34"/>
  <c r="H112" i="34" s="1"/>
  <c r="I112" i="34" s="1"/>
  <c r="J112" i="34" s="1"/>
  <c r="K112" i="34" s="1"/>
  <c r="L112" i="34" s="1"/>
  <c r="M112" i="34" s="1"/>
  <c r="F40" i="33"/>
  <c r="J41" i="33"/>
  <c r="D113" i="33"/>
  <c r="F37" i="33"/>
  <c r="D111" i="33"/>
  <c r="E111" i="33"/>
  <c r="F111" i="33" s="1"/>
  <c r="S518" i="31"/>
  <c r="F41" i="21"/>
  <c r="J41" i="21"/>
  <c r="AC41" i="21" s="1"/>
  <c r="H41" i="2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H38" i="40"/>
  <c r="AB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s="1"/>
  <c r="Q26" i="37"/>
  <c r="Z26" i="37" s="1"/>
  <c r="J26" i="37"/>
  <c r="AC26" i="37" s="1"/>
  <c r="H26" i="37"/>
  <c r="AB26" i="37"/>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H33" i="36" s="1"/>
  <c r="B91" i="36"/>
  <c r="F32" i="36" s="1"/>
  <c r="B95" i="36"/>
  <c r="J34" i="36" s="1"/>
  <c r="W34" i="36" s="1"/>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H23" i="36" s="1"/>
  <c r="D70" i="36"/>
  <c r="H22" i="36"/>
  <c r="AB22" i="36"/>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B31" i="35"/>
  <c r="Q30" i="35"/>
  <c r="Z30" i="35"/>
  <c r="Q29" i="35"/>
  <c r="Z29" i="35" s="1"/>
  <c r="Q28" i="35"/>
  <c r="Z28" i="35"/>
  <c r="J28" i="35"/>
  <c r="AC28" i="35" s="1"/>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c r="Q12" i="35"/>
  <c r="Z12" i="35" s="1"/>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D126" i="34"/>
  <c r="E126" i="34"/>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c r="C17" i="34"/>
  <c r="Q15" i="34"/>
  <c r="Z15" i="34"/>
  <c r="Q14" i="34"/>
  <c r="Z14" i="34" s="1"/>
  <c r="Q13" i="34"/>
  <c r="Z13" i="34"/>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c r="AC27" i="35"/>
  <c r="U31" i="35"/>
  <c r="W36" i="35"/>
  <c r="W22" i="35"/>
  <c r="S31" i="35"/>
  <c r="U34" i="35"/>
  <c r="F36" i="34"/>
  <c r="J35" i="34"/>
  <c r="W9" i="34"/>
  <c r="H39" i="33"/>
  <c r="AB39" i="33" s="1"/>
  <c r="F26" i="33"/>
  <c r="AA26" i="33"/>
  <c r="U33" i="33"/>
  <c r="U35" i="33"/>
  <c r="S40" i="33"/>
  <c r="W33" i="33"/>
  <c r="W39" i="33"/>
  <c r="H39" i="37"/>
  <c r="AB39" i="37"/>
  <c r="S27" i="35"/>
  <c r="F11" i="40"/>
  <c r="AA11" i="40" s="1"/>
  <c r="H11" i="40"/>
  <c r="AB11" i="40"/>
  <c r="W8" i="40"/>
  <c r="AC40" i="40"/>
  <c r="AA9" i="40"/>
  <c r="AC9" i="40"/>
  <c r="U9" i="40"/>
  <c r="S34" i="40"/>
  <c r="U38" i="40"/>
  <c r="U34" i="40"/>
  <c r="S38" i="40"/>
  <c r="U40" i="40"/>
  <c r="F42" i="39"/>
  <c r="AA42" i="39" s="1"/>
  <c r="F41" i="39"/>
  <c r="S41" i="39" s="1"/>
  <c r="H40" i="39"/>
  <c r="AB40" i="39" s="1"/>
  <c r="H39" i="39"/>
  <c r="U39" i="39" s="1"/>
  <c r="S38"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W32" i="40"/>
  <c r="S44" i="39"/>
  <c r="F37" i="39"/>
  <c r="AA37" i="39"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S19" i="34" s="1"/>
  <c r="H17" i="34"/>
  <c r="U17" i="34" s="1"/>
  <c r="F15" i="34"/>
  <c r="AA15" i="34" s="1"/>
  <c r="J15" i="34"/>
  <c r="AC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U23" i="40"/>
  <c r="I123" i="21"/>
  <c r="J123" i="21"/>
  <c r="K123" i="21" s="1"/>
  <c r="L123" i="21" s="1"/>
  <c r="M123" i="21"/>
  <c r="J42" i="21"/>
  <c r="AC42" i="21" s="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c r="H37" i="37"/>
  <c r="U37" i="37"/>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AA14" i="33"/>
  <c r="J36" i="37"/>
  <c r="AC36" i="37" s="1"/>
  <c r="J10" i="36"/>
  <c r="AC10" i="36" s="1"/>
  <c r="AB26" i="33"/>
  <c r="AB30" i="21"/>
  <c r="AA14" i="37"/>
  <c r="W31" i="34"/>
  <c r="AC13" i="36"/>
  <c r="W13" i="36"/>
  <c r="AB46" i="34"/>
  <c r="AC30" i="34"/>
  <c r="AA14" i="34"/>
  <c r="S45" i="33"/>
  <c r="AB45" i="33"/>
  <c r="AB31" i="33"/>
  <c r="U31"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AZ583" i="3" s="1"/>
  <c r="BA581" i="3"/>
  <c r="AZ581" i="3" s="1"/>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G141" i="3"/>
  <c r="BA143" i="3"/>
  <c r="AZ143" i="3"/>
  <c r="BL144" i="3"/>
  <c r="AZ144" i="3" s="1"/>
  <c r="G145" i="3"/>
  <c r="BA147" i="3"/>
  <c r="AZ147" i="3"/>
  <c r="BL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47" i="3"/>
  <c r="AZ55" i="3"/>
  <c r="AZ59" i="3"/>
  <c r="AZ67" i="3"/>
  <c r="AZ75" i="3"/>
  <c r="AZ79" i="3"/>
  <c r="AZ83" i="3"/>
  <c r="AZ136" i="3"/>
  <c r="AZ160" i="3"/>
  <c r="AZ168" i="3"/>
  <c r="AZ192" i="3"/>
  <c r="AZ200" i="3"/>
  <c r="AZ85" i="3"/>
  <c r="AZ89" i="3"/>
  <c r="AZ93" i="3"/>
  <c r="AZ105"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M5" i="3"/>
  <c r="BJ5" i="3"/>
  <c r="BH5" i="3"/>
  <c r="BF5" i="3"/>
  <c r="BD5" i="3"/>
  <c r="AZ317" i="3"/>
  <c r="AZ325" i="3"/>
  <c r="AZ333" i="3"/>
  <c r="BQ5" i="3"/>
  <c r="AC5" i="3"/>
  <c r="AZ549" i="3"/>
  <c r="AZ506" i="3"/>
  <c r="AZ496" i="3"/>
  <c r="G548" i="3"/>
  <c r="G538" i="3"/>
  <c r="G520" i="3"/>
  <c r="G502" i="3"/>
  <c r="BS5" i="3"/>
  <c r="F28" i="6" s="1"/>
  <c r="BP5" i="3"/>
  <c r="BN5" i="3"/>
  <c r="AZ343" i="3"/>
  <c r="BK5" i="3"/>
  <c r="BG5" i="3"/>
  <c r="BC5" i="3"/>
  <c r="G17" i="3"/>
  <c r="BA17" i="3"/>
  <c r="BT5" i="3"/>
  <c r="AZ350" i="3"/>
  <c r="AZ356" i="3"/>
  <c r="AZ360" i="3"/>
  <c r="AZ364" i="3"/>
  <c r="AZ368" i="3"/>
  <c r="BA15" i="3"/>
  <c r="AZ15" i="3" s="1"/>
  <c r="BB5" i="3"/>
  <c r="AZ380" i="3"/>
  <c r="AZ384" i="3"/>
  <c r="AZ388" i="3"/>
  <c r="AZ396" i="3"/>
  <c r="AZ394" i="3"/>
  <c r="AZ499" i="3"/>
  <c r="G509" i="3"/>
  <c r="BL493" i="3"/>
  <c r="AZ491"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45" i="3"/>
  <c r="AZ50" i="3"/>
  <c r="AZ58" i="3"/>
  <c r="AZ61"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G29" i="6"/>
  <c r="AC26" i="33"/>
  <c r="W26" i="33"/>
  <c r="AC27" i="34"/>
  <c r="AB33" i="36"/>
  <c r="U33" i="36"/>
  <c r="AC12" i="39"/>
  <c r="W12" i="39"/>
  <c r="AC39" i="40"/>
  <c r="W39" i="40"/>
  <c r="AZ401" i="3"/>
  <c r="AZ412" i="3"/>
  <c r="AZ417" i="3"/>
  <c r="AZ428" i="3"/>
  <c r="AZ433" i="3"/>
  <c r="AZ586" i="3"/>
  <c r="W12" i="33"/>
  <c r="AC12" i="33"/>
  <c r="AA32" i="36"/>
  <c r="S32" i="36"/>
  <c r="AZ550" i="3"/>
  <c r="AZ408" i="3"/>
  <c r="AZ437" i="3"/>
  <c r="AZ441" i="3"/>
  <c r="AZ473" i="3"/>
  <c r="AZ490" i="3"/>
  <c r="AA39" i="34"/>
  <c r="BL14" i="3"/>
  <c r="AZ266" i="3"/>
  <c r="U30" i="33"/>
  <c r="AC13" i="34"/>
  <c r="AA47" i="34"/>
  <c r="W28" i="37"/>
  <c r="S19" i="39"/>
  <c r="F12" i="33"/>
  <c r="H12" i="39"/>
  <c r="AB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c r="AZ80" i="3"/>
  <c r="AZ84" i="3"/>
  <c r="AZ88" i="3"/>
  <c r="AZ107"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G63" i="37" s="1"/>
  <c r="H63" i="37" s="1"/>
  <c r="F11" i="37"/>
  <c r="S11" i="37" s="1"/>
  <c r="U44" i="34"/>
  <c r="U43" i="34"/>
  <c r="AC39" i="34"/>
  <c r="W41" i="34"/>
  <c r="AC42" i="34"/>
  <c r="AB35" i="34"/>
  <c r="U39" i="34"/>
  <c r="AB41" i="34"/>
  <c r="AA45" i="34"/>
  <c r="U28"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F85" i="33"/>
  <c r="H23" i="33"/>
  <c r="F81" i="33"/>
  <c r="F19" i="33"/>
  <c r="AA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J56" i="9"/>
  <c r="J57" i="9" s="1"/>
  <c r="J59" i="9" s="1"/>
  <c r="J61" i="9" s="1"/>
  <c r="A24" i="51"/>
  <c r="B18" i="72" s="1"/>
  <c r="U29" i="34"/>
  <c r="E32" i="6"/>
  <c r="K1" i="12"/>
  <c r="G22" i="69"/>
  <c r="G26" i="12"/>
  <c r="C6" i="43"/>
  <c r="B19" i="53"/>
  <c r="B37" i="72" s="1"/>
  <c r="C7" i="39"/>
  <c r="C67" i="39" s="1"/>
  <c r="C7" i="35"/>
  <c r="C48" i="35" s="1"/>
  <c r="D48" i="35" s="1"/>
  <c r="C7" i="33"/>
  <c r="C7" i="21"/>
  <c r="C7" i="40"/>
  <c r="C63" i="40" s="1"/>
  <c r="M47" i="9"/>
  <c r="G23" i="43"/>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AB45" i="21" s="1"/>
  <c r="U45" i="21"/>
  <c r="F29" i="21"/>
  <c r="S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AA32" i="39"/>
  <c r="S32" i="39"/>
  <c r="AB21" i="39"/>
  <c r="U21" i="39"/>
  <c r="S21" i="39"/>
  <c r="AC17" i="37"/>
  <c r="S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S36" i="33"/>
  <c r="AC32" i="33"/>
  <c r="W32"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U19" i="33" s="1"/>
  <c r="G81" i="33"/>
  <c r="G79" i="33"/>
  <c r="H17" i="33"/>
  <c r="F17" i="33"/>
  <c r="W17" i="33"/>
  <c r="AC17" i="33"/>
  <c r="S37" i="21"/>
  <c r="AB15" i="21"/>
  <c r="J23" i="21"/>
  <c r="W23" i="21" s="1"/>
  <c r="F85" i="21"/>
  <c r="G85" i="21"/>
  <c r="H23" i="21"/>
  <c r="U23" i="21" s="1"/>
  <c r="S13" i="21"/>
  <c r="AP7" i="1"/>
  <c r="AB9" i="21"/>
  <c r="U9" i="21"/>
  <c r="AA32" i="21"/>
  <c r="S32" i="21"/>
  <c r="AC9" i="21"/>
  <c r="AB32" i="21"/>
  <c r="U32" i="21"/>
  <c r="U32" i="39"/>
  <c r="W19" i="37"/>
  <c r="AC19" i="37"/>
  <c r="AC23" i="37"/>
  <c r="I63" i="37"/>
  <c r="J63" i="37" s="1"/>
  <c r="K63" i="37" s="1"/>
  <c r="L63" i="37" s="1"/>
  <c r="M63" i="37" s="1"/>
  <c r="J11" i="37"/>
  <c r="AC11" i="37" s="1"/>
  <c r="J11" i="34"/>
  <c r="W11" i="34" s="1"/>
  <c r="AB36" i="33"/>
  <c r="W27" i="33"/>
  <c r="AC27" i="33"/>
  <c r="W25" i="33"/>
  <c r="AA23" i="33"/>
  <c r="S23" i="33"/>
  <c r="AB19" i="33"/>
  <c r="AA17" i="33"/>
  <c r="S17" i="33"/>
  <c r="U17" i="33"/>
  <c r="AB17" i="33"/>
  <c r="AC23" i="21"/>
  <c r="H109" i="9"/>
  <c r="D16" i="53" s="1"/>
  <c r="B34" i="72" s="1"/>
  <c r="H112" i="9"/>
  <c r="D21" i="53" s="1"/>
  <c r="B39" i="72" s="1"/>
  <c r="H111" i="9"/>
  <c r="D126" i="9" s="1"/>
  <c r="D19" i="53"/>
  <c r="B38"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D21" i="71"/>
  <c r="D20" i="71"/>
  <c r="U20" i="71" s="1"/>
  <c r="B7" i="76"/>
  <c r="E8" i="76"/>
  <c r="E13" i="76"/>
  <c r="D34" i="9"/>
  <c r="B9" i="76"/>
  <c r="B10" i="76"/>
  <c r="D5" i="73"/>
  <c r="D35" i="9"/>
  <c r="B11" i="76"/>
  <c r="E2" i="69"/>
  <c r="E2" i="68"/>
  <c r="F6" i="73"/>
  <c r="F20" i="31"/>
  <c r="B13" i="76"/>
  <c r="B8" i="76"/>
  <c r="D4" i="73"/>
  <c r="F5" i="73"/>
  <c r="F4" i="73"/>
  <c r="E9" i="76"/>
  <c r="D6" i="73"/>
  <c r="E11" i="76"/>
  <c r="D3" i="73"/>
  <c r="F7" i="73"/>
  <c r="E10" i="76"/>
  <c r="B12" i="76"/>
  <c r="F3" i="73"/>
  <c r="E12" i="76"/>
  <c r="E7" i="76"/>
  <c r="AO13" i="1"/>
  <c r="D7" i="73"/>
  <c r="C18" i="9" l="1"/>
  <c r="D18" i="9" s="1"/>
  <c r="W43" i="34"/>
  <c r="S43" i="34"/>
  <c r="S37" i="34"/>
  <c r="S27" i="34"/>
  <c r="AA33" i="34"/>
  <c r="AB33" i="34"/>
  <c r="U25" i="34"/>
  <c r="AA25" i="34"/>
  <c r="W25" i="34"/>
  <c r="AC23" i="34"/>
  <c r="AB23" i="34"/>
  <c r="U21" i="34"/>
  <c r="AA21" i="34"/>
  <c r="W19" i="34"/>
  <c r="AA19" i="34"/>
  <c r="S17" i="34"/>
  <c r="AC17" i="34"/>
  <c r="AB17" i="34"/>
  <c r="W15" i="34"/>
  <c r="H9" i="34"/>
  <c r="AB8" i="34"/>
  <c r="B41" i="1"/>
  <c r="D93" i="9"/>
  <c r="C40" i="11"/>
  <c r="E19" i="68"/>
  <c r="E19" i="69"/>
  <c r="G22" i="68"/>
  <c r="G22" i="11"/>
  <c r="E1" i="73"/>
  <c r="G1" i="15"/>
  <c r="B6" i="1"/>
  <c r="E6" i="1" s="1"/>
  <c r="G1" i="67"/>
  <c r="G28" i="6"/>
  <c r="G30" i="6" s="1"/>
  <c r="G31" i="6" s="1"/>
  <c r="BL13" i="3"/>
  <c r="B13" i="53"/>
  <c r="B29" i="72" s="1"/>
  <c r="AZ557" i="3"/>
  <c r="AZ525" i="3"/>
  <c r="AZ533" i="3"/>
  <c r="AZ541" i="3"/>
  <c r="AZ569" i="3"/>
  <c r="AZ577" i="3"/>
  <c r="AZ579" i="3"/>
  <c r="C19" i="71"/>
  <c r="T20" i="71"/>
  <c r="S19" i="33"/>
  <c r="S15" i="34"/>
  <c r="S39" i="37"/>
  <c r="AA39" i="37"/>
  <c r="AC31" i="40"/>
  <c r="W31" i="40"/>
  <c r="AA27" i="40"/>
  <c r="U43" i="33"/>
  <c r="AA41" i="34"/>
  <c r="AB33" i="35"/>
  <c r="U33" i="35"/>
  <c r="AB23" i="21"/>
  <c r="W32" i="39"/>
  <c r="AA23" i="21"/>
  <c r="U12" i="36"/>
  <c r="AB12" i="36"/>
  <c r="D6" i="52"/>
  <c r="D68" i="9"/>
  <c r="F30" i="69"/>
  <c r="F48" i="69" s="1"/>
  <c r="F31" i="12"/>
  <c r="W17" i="21"/>
  <c r="AC15" i="21"/>
  <c r="S23" i="39"/>
  <c r="F29" i="6"/>
  <c r="E29" i="6" s="1"/>
  <c r="K15" i="1" s="1"/>
  <c r="S11" i="36"/>
  <c r="U46" i="33"/>
  <c r="AB12" i="33"/>
  <c r="C27" i="39"/>
  <c r="W28" i="35"/>
  <c r="U30" i="37"/>
  <c r="J12" i="21"/>
  <c r="AA34" i="21"/>
  <c r="F12" i="21"/>
  <c r="B73" i="43"/>
  <c r="B76" i="43"/>
  <c r="J12" i="36"/>
  <c r="H34" i="36"/>
  <c r="AA34" i="39"/>
  <c r="H39" i="40"/>
  <c r="AZ400" i="3"/>
  <c r="AZ444" i="3"/>
  <c r="AZ461" i="3"/>
  <c r="AZ466" i="3"/>
  <c r="W28" i="36"/>
  <c r="F12" i="34"/>
  <c r="J23" i="36"/>
  <c r="AZ403" i="3"/>
  <c r="AZ416" i="3"/>
  <c r="AZ419" i="3"/>
  <c r="AZ427" i="3"/>
  <c r="AZ430" i="3"/>
  <c r="AZ446" i="3"/>
  <c r="AZ447" i="3"/>
  <c r="AZ448" i="3"/>
  <c r="AC12" i="34"/>
  <c r="C21" i="39"/>
  <c r="H12" i="34"/>
  <c r="J34" i="35"/>
  <c r="F34" i="35"/>
  <c r="F23" i="36"/>
  <c r="F40" i="40"/>
  <c r="G578" i="3"/>
  <c r="AZ398" i="3"/>
  <c r="AZ406" i="3"/>
  <c r="AZ413" i="3"/>
  <c r="AZ422" i="3"/>
  <c r="AZ423" i="3"/>
  <c r="AZ424" i="3"/>
  <c r="AZ434" i="3"/>
  <c r="AZ436" i="3"/>
  <c r="AZ453" i="3"/>
  <c r="BA455" i="3"/>
  <c r="AZ455" i="3" s="1"/>
  <c r="BL457" i="3"/>
  <c r="AZ457" i="3" s="1"/>
  <c r="BL461" i="3"/>
  <c r="BL466" i="3"/>
  <c r="BA476" i="3"/>
  <c r="AZ476" i="3" s="1"/>
  <c r="AZ477" i="3"/>
  <c r="G450" i="3"/>
  <c r="BL450" i="3"/>
  <c r="AZ450" i="3" s="1"/>
  <c r="BL454" i="3"/>
  <c r="AZ454" i="3" s="1"/>
  <c r="BA460" i="3"/>
  <c r="AZ460" i="3" s="1"/>
  <c r="BA464" i="3"/>
  <c r="AZ464" i="3" s="1"/>
  <c r="BA465" i="3"/>
  <c r="AZ465" i="3" s="1"/>
  <c r="AZ470" i="3"/>
  <c r="AZ474" i="3"/>
  <c r="AZ475" i="3"/>
  <c r="AZ485" i="3"/>
  <c r="AZ492" i="3"/>
  <c r="AZ385" i="3"/>
  <c r="AZ225" i="3"/>
  <c r="AZ228" i="3"/>
  <c r="AZ231" i="3"/>
  <c r="AZ239" i="3"/>
  <c r="AZ292" i="3"/>
  <c r="AZ293" i="3"/>
  <c r="AZ300" i="3"/>
  <c r="AZ301" i="3"/>
  <c r="AZ126" i="3"/>
  <c r="AZ458" i="3"/>
  <c r="AZ462" i="3"/>
  <c r="BL448" i="3"/>
  <c r="AZ451" i="3"/>
  <c r="AZ463" i="3"/>
  <c r="AZ468" i="3"/>
  <c r="BA480" i="3"/>
  <c r="AZ480" i="3" s="1"/>
  <c r="AZ482" i="3"/>
  <c r="AZ483" i="3"/>
  <c r="AZ316" i="3"/>
  <c r="AZ221" i="3"/>
  <c r="AZ244" i="3"/>
  <c r="AZ255" i="3"/>
  <c r="AZ260" i="3"/>
  <c r="AZ264" i="3"/>
  <c r="AZ276" i="3"/>
  <c r="AZ277" i="3"/>
  <c r="AZ284" i="3"/>
  <c r="AZ285" i="3"/>
  <c r="AZ113" i="3"/>
  <c r="AZ129" i="3"/>
  <c r="BA140" i="3"/>
  <c r="AZ140" i="3" s="1"/>
  <c r="AZ185" i="3"/>
  <c r="AZ193" i="3"/>
  <c r="AZ36" i="3"/>
  <c r="G136" i="3"/>
  <c r="BL142" i="3"/>
  <c r="AZ142" i="3" s="1"/>
  <c r="BL145" i="3"/>
  <c r="AZ145" i="3" s="1"/>
  <c r="BL146" i="3"/>
  <c r="AZ146" i="3" s="1"/>
  <c r="BA148" i="3"/>
  <c r="AZ148" i="3" s="1"/>
  <c r="AZ205" i="3"/>
  <c r="AZ18" i="3"/>
  <c r="AZ23" i="3"/>
  <c r="AZ27" i="3"/>
  <c r="BA34" i="3"/>
  <c r="AZ34" i="3" s="1"/>
  <c r="BA39" i="3"/>
  <c r="AZ39" i="3" s="1"/>
  <c r="BA44" i="3"/>
  <c r="AZ44" i="3" s="1"/>
  <c r="BL48" i="3"/>
  <c r="BL49" i="3"/>
  <c r="G50" i="3"/>
  <c r="G5" i="3" s="1"/>
  <c r="B3" i="3" s="1"/>
  <c r="BA54" i="3"/>
  <c r="AZ56" i="3"/>
  <c r="BA60" i="3"/>
  <c r="AZ60" i="3" s="1"/>
  <c r="AZ62" i="3"/>
  <c r="BA63" i="3"/>
  <c r="AZ63" i="3" s="1"/>
  <c r="BA66" i="3"/>
  <c r="AZ66" i="3" s="1"/>
  <c r="AZ73" i="3"/>
  <c r="BL33" i="3"/>
  <c r="AZ33" i="3" s="1"/>
  <c r="BL36" i="3"/>
  <c r="BL43" i="3"/>
  <c r="AZ43" i="3" s="1"/>
  <c r="BL46" i="3"/>
  <c r="AZ46" i="3" s="1"/>
  <c r="AZ48" i="3"/>
  <c r="BL51" i="3"/>
  <c r="AZ51" i="3" s="1"/>
  <c r="G52" i="3"/>
  <c r="AZ57" i="3"/>
  <c r="BA76" i="3"/>
  <c r="AZ76" i="3" s="1"/>
  <c r="AZ95" i="3"/>
  <c r="AZ112" i="3"/>
  <c r="BL41" i="3"/>
  <c r="AZ41" i="3" s="1"/>
  <c r="BA49" i="3"/>
  <c r="AZ49" i="3" s="1"/>
  <c r="G53" i="3"/>
  <c r="BL53" i="3"/>
  <c r="AZ53" i="3" s="1"/>
  <c r="BL54" i="3"/>
  <c r="G61" i="3"/>
  <c r="BL65" i="3"/>
  <c r="AZ65" i="3" s="1"/>
  <c r="BA68" i="3"/>
  <c r="AZ68" i="3" s="1"/>
  <c r="AZ70" i="3"/>
  <c r="BA71" i="3"/>
  <c r="AZ71" i="3" s="1"/>
  <c r="G74" i="3"/>
  <c r="G76" i="3"/>
  <c r="AZ78" i="3"/>
  <c r="AZ87" i="3"/>
  <c r="AZ92" i="3"/>
  <c r="AZ99" i="3"/>
  <c r="BA111" i="3"/>
  <c r="AZ111" i="3" s="1"/>
  <c r="D64" i="71"/>
  <c r="T64" i="71"/>
  <c r="BL97" i="3"/>
  <c r="AZ97" i="3" s="1"/>
  <c r="G102" i="3"/>
  <c r="G105" i="3"/>
  <c r="G110" i="3"/>
  <c r="AB21" i="21"/>
  <c r="P65" i="71"/>
  <c r="P66" i="71"/>
  <c r="C40" i="71"/>
  <c r="D39" i="71"/>
  <c r="C82" i="71"/>
  <c r="D82" i="71" s="1"/>
  <c r="D83" i="71"/>
  <c r="BA101" i="3"/>
  <c r="AZ101" i="3" s="1"/>
  <c r="BA104" i="3"/>
  <c r="AZ104" i="3" s="1"/>
  <c r="BA109" i="3"/>
  <c r="AZ109" i="3" s="1"/>
  <c r="F3" i="35"/>
  <c r="U18" i="35"/>
  <c r="T56" i="71"/>
  <c r="D66" i="71"/>
  <c r="V28" i="71"/>
  <c r="O67" i="71"/>
  <c r="AA28" i="71"/>
  <c r="AA3" i="71"/>
  <c r="AB28" i="71"/>
  <c r="D50" i="71"/>
  <c r="C43" i="71"/>
  <c r="Y27" i="71"/>
  <c r="Z27" i="71" s="1"/>
  <c r="C28" i="71"/>
  <c r="X38" i="71"/>
  <c r="X36" i="71"/>
  <c r="AB33" i="71"/>
  <c r="AB29" i="71"/>
  <c r="AA33" i="71"/>
  <c r="X33" i="71"/>
  <c r="AA29" i="71"/>
  <c r="X29" i="71"/>
  <c r="AA34" i="71"/>
  <c r="AB35" i="71"/>
  <c r="B38" i="71"/>
  <c r="B39" i="71" s="1"/>
  <c r="B40" i="71" s="1"/>
  <c r="S40" i="71" s="1"/>
  <c r="X37" i="71"/>
  <c r="Y38" i="71"/>
  <c r="Z38" i="71" s="1"/>
  <c r="B71" i="71"/>
  <c r="B70" i="71" s="1"/>
  <c r="D84" i="71"/>
  <c r="AA22" i="71"/>
  <c r="X17" i="71"/>
  <c r="AA17" i="71"/>
  <c r="Y14" i="71"/>
  <c r="Z14" i="71" s="1"/>
  <c r="S21" i="21"/>
  <c r="X9" i="71"/>
  <c r="X10" i="71"/>
  <c r="AA9" i="71"/>
  <c r="Y23" i="71"/>
  <c r="Z23" i="71" s="1"/>
  <c r="AA21" i="71"/>
  <c r="X18" i="71"/>
  <c r="Y18" i="71"/>
  <c r="Z18" i="71" s="1"/>
  <c r="AB17" i="71"/>
  <c r="AA12" i="71"/>
  <c r="AB26" i="71"/>
  <c r="Y26" i="71"/>
  <c r="Z26" i="71" s="1"/>
  <c r="Y37" i="71"/>
  <c r="Z37" i="71" s="1"/>
  <c r="X35" i="71"/>
  <c r="C35" i="71"/>
  <c r="X30" i="71"/>
  <c r="AB30" i="71"/>
  <c r="Y33" i="71"/>
  <c r="Z33" i="71" s="1"/>
  <c r="AB36" i="71"/>
  <c r="F38" i="71"/>
  <c r="F39" i="71" s="1"/>
  <c r="F40" i="71" s="1"/>
  <c r="V40" i="71" s="1"/>
  <c r="AB9" i="71"/>
  <c r="AB10" i="71"/>
  <c r="B79" i="71"/>
  <c r="B78" i="71" s="1"/>
  <c r="AB24" i="71"/>
  <c r="AB21" i="71"/>
  <c r="AA24" i="71"/>
  <c r="Y21" i="71"/>
  <c r="Z21" i="71" s="1"/>
  <c r="AB18" i="71"/>
  <c r="AA25" i="71"/>
  <c r="AB25" i="71"/>
  <c r="S28" i="71"/>
  <c r="X25" i="71"/>
  <c r="Y28" i="71"/>
  <c r="Z28" i="71" s="1"/>
  <c r="X34" i="71"/>
  <c r="X27" i="71"/>
  <c r="Y30" i="71"/>
  <c r="Z30" i="71" s="1"/>
  <c r="Y32" i="71"/>
  <c r="Z32" i="71" s="1"/>
  <c r="Y9" i="71"/>
  <c r="Z9" i="71" s="1"/>
  <c r="X24" i="71"/>
  <c r="X22" i="71"/>
  <c r="AA18" i="71"/>
  <c r="N56" i="9"/>
  <c r="AB15" i="71"/>
  <c r="Y17" i="71"/>
  <c r="Z17" i="71" s="1"/>
  <c r="AB13" i="71"/>
  <c r="AA14" i="71"/>
  <c r="X12" i="71"/>
  <c r="Y13" i="71"/>
  <c r="Z13" i="71" s="1"/>
  <c r="Y22" i="71"/>
  <c r="Z22" i="71" s="1"/>
  <c r="AB23" i="71"/>
  <c r="X21" i="71"/>
  <c r="X15" i="71"/>
  <c r="AA11" i="71"/>
  <c r="X11" i="71"/>
  <c r="X14" i="71"/>
  <c r="Y24" i="71"/>
  <c r="Z24" i="71" s="1"/>
  <c r="E24" i="71"/>
  <c r="AB11" i="71"/>
  <c r="X13" i="71"/>
  <c r="Y11" i="71"/>
  <c r="Z11" i="71" s="1"/>
  <c r="Y12" i="71"/>
  <c r="Z12" i="71" s="1"/>
  <c r="AA10" i="71"/>
  <c r="K56" i="9"/>
  <c r="AA23" i="71"/>
  <c r="AA15" i="71"/>
  <c r="AB12" i="71"/>
  <c r="AB14" i="71"/>
  <c r="AA13" i="7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B13" i="70"/>
  <c r="C36" i="68"/>
  <c r="D9" i="69"/>
  <c r="C36" i="69"/>
  <c r="D9" i="68"/>
  <c r="F40" i="67"/>
  <c r="M26" i="67"/>
  <c r="F43" i="67"/>
  <c r="M28" i="67"/>
  <c r="M8" i="67"/>
  <c r="M6" i="67"/>
  <c r="M22" i="67"/>
  <c r="M9" i="67"/>
  <c r="M24" i="67"/>
  <c r="M29" i="67"/>
  <c r="F9" i="67"/>
  <c r="M23" i="67"/>
  <c r="F6" i="67"/>
  <c r="F8" i="67"/>
  <c r="F6" i="15"/>
  <c r="F7" i="15"/>
  <c r="M6" i="15"/>
  <c r="C76" i="15"/>
  <c r="L48" i="15"/>
  <c r="F26" i="15"/>
  <c r="F16" i="15"/>
  <c r="J15" i="15"/>
  <c r="M28" i="15"/>
  <c r="F9" i="15"/>
  <c r="L47" i="15"/>
  <c r="M26" i="15"/>
  <c r="F8" i="15"/>
  <c r="M22" i="15"/>
  <c r="M29" i="15"/>
  <c r="F37" i="15"/>
  <c r="F42" i="15"/>
  <c r="M9" i="15"/>
  <c r="F38" i="15"/>
  <c r="F13" i="15"/>
  <c r="M8" i="15"/>
  <c r="F40" i="15"/>
  <c r="M24" i="15"/>
  <c r="F43" i="15"/>
  <c r="M23" i="15"/>
  <c r="F36" i="15"/>
  <c r="L48" i="67"/>
  <c r="C76" i="67"/>
  <c r="F37" i="67"/>
  <c r="F26" i="67"/>
  <c r="F13" i="67"/>
  <c r="C16" i="15"/>
  <c r="F16" i="67"/>
  <c r="J15" i="67"/>
  <c r="F36" i="67"/>
  <c r="G1" i="73"/>
  <c r="F42" i="67"/>
  <c r="L47" i="67"/>
  <c r="F7" i="67"/>
  <c r="F38" i="67"/>
  <c r="U9" i="34" l="1"/>
  <c r="AB9" i="34"/>
  <c r="C48" i="69"/>
  <c r="C31" i="12"/>
  <c r="F48" i="9"/>
  <c r="O52" i="9" s="1"/>
  <c r="F30" i="11"/>
  <c r="F32" i="67"/>
  <c r="F60" i="67" s="1"/>
  <c r="M18" i="67"/>
  <c r="F28" i="67"/>
  <c r="C28" i="67" s="1"/>
  <c r="F32" i="15"/>
  <c r="F60" i="15" s="1"/>
  <c r="F54" i="9"/>
  <c r="F52" i="9"/>
  <c r="M18" i="15"/>
  <c r="F30" i="68"/>
  <c r="F28" i="15"/>
  <c r="C28" i="15" s="1"/>
  <c r="F64" i="15"/>
  <c r="F71" i="15"/>
  <c r="F68" i="15"/>
  <c r="F66" i="15"/>
  <c r="F65" i="15"/>
  <c r="F51" i="15"/>
  <c r="N59" i="15"/>
  <c r="L58" i="15"/>
  <c r="Q60" i="15" s="1"/>
  <c r="M59" i="15"/>
  <c r="L59" i="15"/>
  <c r="Q61" i="15" s="1"/>
  <c r="C27" i="15"/>
  <c r="J57" i="15"/>
  <c r="J55" i="15" s="1"/>
  <c r="J58" i="15" s="1"/>
  <c r="Q50" i="15" s="1"/>
  <c r="I54" i="15"/>
  <c r="J53" i="15"/>
  <c r="L56" i="15" s="1"/>
  <c r="Q71" i="15"/>
  <c r="M7" i="15"/>
  <c r="J6" i="15" s="1"/>
  <c r="J18" i="15" s="1"/>
  <c r="F50" i="15"/>
  <c r="C6" i="15"/>
  <c r="F51" i="67"/>
  <c r="F71" i="67"/>
  <c r="F68" i="67"/>
  <c r="E26" i="43"/>
  <c r="E59" i="40"/>
  <c r="J26" i="43"/>
  <c r="N94" i="46"/>
  <c r="F26" i="43"/>
  <c r="F30" i="6"/>
  <c r="F31" i="6" s="1"/>
  <c r="N370" i="46"/>
  <c r="H26" i="43"/>
  <c r="K16" i="1"/>
  <c r="P6" i="1"/>
  <c r="C13" i="12" s="1"/>
  <c r="F66" i="67"/>
  <c r="F50" i="67"/>
  <c r="C6" i="67"/>
  <c r="C32" i="67" s="1"/>
  <c r="M7" i="67"/>
  <c r="J6" i="67" s="1"/>
  <c r="J18" i="67" s="1"/>
  <c r="F31" i="67"/>
  <c r="L58" i="67"/>
  <c r="Q60" i="67" s="1"/>
  <c r="L59" i="67"/>
  <c r="Q61" i="67" s="1"/>
  <c r="M59" i="67"/>
  <c r="N59" i="67"/>
  <c r="F64" i="67"/>
  <c r="C27" i="67"/>
  <c r="F65" i="67"/>
  <c r="Q71" i="67"/>
  <c r="L56" i="67"/>
  <c r="J57" i="67"/>
  <c r="J55" i="67" s="1"/>
  <c r="J58" i="67" s="1"/>
  <c r="Q50" i="67" s="1"/>
  <c r="I54" i="67"/>
  <c r="J53" i="67"/>
  <c r="Q52" i="67" s="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116" i="3"/>
  <c r="E393" i="3"/>
  <c r="E564" i="3"/>
  <c r="E427" i="3"/>
  <c r="E507" i="3"/>
  <c r="E422" i="3"/>
  <c r="E490" i="3"/>
  <c r="AH6" i="3"/>
  <c r="J6" i="3"/>
  <c r="E419" i="3"/>
  <c r="E483" i="3"/>
  <c r="E463" i="3"/>
  <c r="E40" i="3"/>
  <c r="E108" i="3"/>
  <c r="E119" i="3"/>
  <c r="E202" i="3"/>
  <c r="E226" i="3"/>
  <c r="E346" i="3"/>
  <c r="E333" i="3"/>
  <c r="L6" i="3"/>
  <c r="E60" i="3"/>
  <c r="E540" i="3"/>
  <c r="E15" i="3"/>
  <c r="E79" i="3"/>
  <c r="E100" i="3"/>
  <c r="E170" i="3"/>
  <c r="E194" i="3"/>
  <c r="E219" i="3"/>
  <c r="E339" i="3"/>
  <c r="E325" i="3"/>
  <c r="AQ6" i="3"/>
  <c r="E112" i="3"/>
  <c r="E147" i="3"/>
  <c r="E289" i="3"/>
  <c r="E364" i="3"/>
  <c r="E62" i="3"/>
  <c r="E176" i="3"/>
  <c r="E265" i="3"/>
  <c r="E365" i="3"/>
  <c r="E101" i="3"/>
  <c r="E296" i="3"/>
  <c r="E197" i="3"/>
  <c r="E369" i="3"/>
  <c r="E525" i="3"/>
  <c r="T6" i="3"/>
  <c r="E456" i="3"/>
  <c r="E512" i="3"/>
  <c r="E451" i="3"/>
  <c r="E556" i="3"/>
  <c r="E13" i="3"/>
  <c r="E452" i="3"/>
  <c r="E420" i="3"/>
  <c r="E329" i="3"/>
  <c r="E16" i="3"/>
  <c r="E223" i="3"/>
  <c r="E493" i="3"/>
  <c r="E543" i="3"/>
  <c r="E486" i="3"/>
  <c r="E440" i="3"/>
  <c r="E376" i="3"/>
  <c r="E498" i="3"/>
  <c r="E401" i="3"/>
  <c r="E25" i="3"/>
  <c r="E178" i="3"/>
  <c r="E242" i="3"/>
  <c r="E276" i="3"/>
  <c r="E372" i="3"/>
  <c r="E43" i="3"/>
  <c r="E473" i="3"/>
  <c r="E455" i="3"/>
  <c r="E38" i="3"/>
  <c r="E137" i="3"/>
  <c r="E234" i="3"/>
  <c r="E299" i="3"/>
  <c r="E392" i="3"/>
  <c r="E36" i="3"/>
  <c r="E123" i="3"/>
  <c r="E340" i="3"/>
  <c r="E20" i="3"/>
  <c r="E218" i="3"/>
  <c r="E524" i="3"/>
  <c r="E536" i="3"/>
  <c r="E199" i="3"/>
  <c r="E575" i="3"/>
  <c r="E502" i="3"/>
  <c r="E466" i="3"/>
  <c r="E430" i="3"/>
  <c r="E255" i="3"/>
  <c r="I3" i="6"/>
  <c r="E554" i="3"/>
  <c r="E435" i="3"/>
  <c r="E417" i="3"/>
  <c r="E56" i="3"/>
  <c r="E95" i="3"/>
  <c r="E132" i="3"/>
  <c r="E192" i="3"/>
  <c r="E241" i="3"/>
  <c r="E363" i="3"/>
  <c r="E389" i="3"/>
  <c r="E59" i="3"/>
  <c r="E484" i="3"/>
  <c r="E425" i="3"/>
  <c r="E64" i="3"/>
  <c r="E103" i="3"/>
  <c r="E142" i="3"/>
  <c r="E267" i="3"/>
  <c r="E300" i="3"/>
  <c r="E310" i="3"/>
  <c r="E23" i="3"/>
  <c r="E84" i="3"/>
  <c r="E33" i="3"/>
  <c r="E184" i="3"/>
  <c r="E355" i="3"/>
  <c r="E381" i="3"/>
  <c r="E63" i="3"/>
  <c r="E118" i="3"/>
  <c r="E283" i="3"/>
  <c r="E513" i="3"/>
  <c r="E539" i="3"/>
  <c r="E148" i="3"/>
  <c r="E212" i="3"/>
  <c r="E286" i="3"/>
  <c r="E499" i="3"/>
  <c r="R6" i="3"/>
  <c r="E442" i="3"/>
  <c r="E541" i="3"/>
  <c r="E449" i="3"/>
  <c r="AP6" i="3"/>
  <c r="E517" i="3"/>
  <c r="E491" i="3"/>
  <c r="E479" i="3"/>
  <c r="E37" i="3"/>
  <c r="E152" i="3"/>
  <c r="E258" i="3"/>
  <c r="E292" i="3"/>
  <c r="E349" i="3"/>
  <c r="E544" i="3"/>
  <c r="E409" i="3"/>
  <c r="E467" i="3"/>
  <c r="E46" i="3"/>
  <c r="E160" i="3"/>
  <c r="E200" i="3"/>
  <c r="E249" i="3"/>
  <c r="E371" i="3"/>
  <c r="E492" i="3"/>
  <c r="E67" i="3"/>
  <c r="E144" i="3"/>
  <c r="E233" i="3"/>
  <c r="E68" i="3"/>
  <c r="E81" i="3"/>
  <c r="E264" i="3"/>
  <c r="E309" i="3"/>
  <c r="E21" i="3"/>
  <c r="E205" i="3"/>
  <c r="E140" i="3"/>
  <c r="E173" i="3"/>
  <c r="E534" i="3"/>
  <c r="E405" i="3"/>
  <c r="E469" i="3"/>
  <c r="E408" i="3"/>
  <c r="E360" i="3"/>
  <c r="E497" i="3"/>
  <c r="E494" i="3"/>
  <c r="E470" i="3"/>
  <c r="E26" i="3"/>
  <c r="E41" i="3"/>
  <c r="E225" i="3"/>
  <c r="E391" i="3"/>
  <c r="E94" i="3"/>
  <c r="E412" i="3"/>
  <c r="E129" i="3"/>
  <c r="E275" i="3"/>
  <c r="E342" i="3"/>
  <c r="E34" i="3"/>
  <c r="E251" i="3"/>
  <c r="E80" i="3"/>
  <c r="E308" i="3"/>
  <c r="E281" i="3"/>
  <c r="E356" i="3"/>
  <c r="E18" i="3"/>
  <c r="E235" i="3"/>
  <c r="E522" i="3"/>
  <c r="E370" i="3"/>
  <c r="E113" i="3"/>
  <c r="E115" i="3"/>
  <c r="E75" i="3"/>
  <c r="E190" i="3"/>
  <c r="E49" i="3"/>
  <c r="E326" i="3"/>
  <c r="E198" i="3"/>
  <c r="E243" i="3"/>
  <c r="AL6" i="3"/>
  <c r="E428" i="3"/>
  <c r="E96" i="3"/>
  <c r="E174" i="3"/>
  <c r="E324" i="3"/>
  <c r="E35" i="3"/>
  <c r="E206" i="3"/>
  <c r="AF6" i="3"/>
  <c r="E158" i="3"/>
  <c r="E22" i="3"/>
  <c r="E139" i="3"/>
  <c r="E332" i="3"/>
  <c r="E482" i="3"/>
  <c r="E220" i="3"/>
  <c r="E86" i="3"/>
  <c r="E232" i="3"/>
  <c r="E287" i="3"/>
  <c r="E104" i="3"/>
  <c r="E42" i="3"/>
  <c r="E78" i="3"/>
  <c r="E383" i="3"/>
  <c r="E83" i="3"/>
  <c r="E52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501" i="3"/>
  <c r="E426" i="3"/>
  <c r="O6" i="3"/>
  <c r="E574" i="3"/>
  <c r="E285" i="3"/>
  <c r="E390" i="3"/>
  <c r="E523" i="3"/>
  <c r="E418" i="3"/>
  <c r="E321" i="3"/>
  <c r="E169" i="3"/>
  <c r="E304" i="3"/>
  <c r="E213" i="3"/>
  <c r="E302" i="3"/>
  <c r="E254" i="3"/>
  <c r="E303" i="3"/>
  <c r="AN6" i="3"/>
  <c r="E353" i="3"/>
  <c r="AA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19" i="3"/>
  <c r="E153" i="3"/>
  <c r="E328" i="3"/>
  <c r="E359" i="3"/>
  <c r="E97" i="3"/>
  <c r="S6" i="3"/>
  <c r="E506" i="3"/>
  <c r="E338" i="3"/>
  <c r="E298" i="3"/>
  <c r="E237" i="3"/>
  <c r="E565" i="3"/>
  <c r="E17" i="3"/>
  <c r="E221" i="3"/>
  <c r="E159" i="3"/>
  <c r="E402" i="3"/>
  <c r="E28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3" i="71"/>
  <c r="E22" i="71" s="1"/>
  <c r="E21" i="71" s="1"/>
  <c r="E20" i="71" s="1"/>
  <c r="V24" i="71"/>
  <c r="D28" i="71"/>
  <c r="U28" i="71" s="1"/>
  <c r="T28" i="71"/>
  <c r="C27" i="71"/>
  <c r="E105" i="3"/>
  <c r="AZ54" i="3"/>
  <c r="AZ5" i="3" s="1"/>
  <c r="AC34" i="35"/>
  <c r="W34" i="35"/>
  <c r="U39" i="40"/>
  <c r="AB39" i="40"/>
  <c r="AC12" i="21"/>
  <c r="W12" i="21"/>
  <c r="E102" i="3"/>
  <c r="E50" i="3"/>
  <c r="AA40" i="40"/>
  <c r="S40" i="40"/>
  <c r="U12" i="34"/>
  <c r="AB12" i="34"/>
  <c r="AC23" i="36"/>
  <c r="W23" i="36"/>
  <c r="BL5" i="3"/>
  <c r="C36" i="71"/>
  <c r="D35" i="71"/>
  <c r="C44" i="71"/>
  <c r="D43" i="71"/>
  <c r="E76" i="3"/>
  <c r="E52" i="3"/>
  <c r="AA23" i="36"/>
  <c r="S23" i="36"/>
  <c r="S12" i="34"/>
  <c r="AA12" i="34"/>
  <c r="AB34" i="36"/>
  <c r="U34" i="36"/>
  <c r="S12" i="21"/>
  <c r="AA12" i="21"/>
  <c r="B15" i="71"/>
  <c r="B14" i="71" s="1"/>
  <c r="B13" i="71" s="1"/>
  <c r="B12" i="71" s="1"/>
  <c r="S16" i="71"/>
  <c r="J7" i="37"/>
  <c r="AC7" i="37" s="1"/>
  <c r="V42" i="37" s="1"/>
  <c r="I42" i="37" s="1"/>
  <c r="T40" i="71"/>
  <c r="D40" i="71"/>
  <c r="E110" i="3"/>
  <c r="S34" i="35"/>
  <c r="AA34" i="35"/>
  <c r="W12" i="36"/>
  <c r="AC12" i="36"/>
  <c r="BA5" i="3"/>
  <c r="E27" i="6" s="1"/>
  <c r="K26" i="6" s="1"/>
  <c r="M26" i="6" s="1"/>
  <c r="I26" i="6" s="1"/>
  <c r="S26" i="6" s="1"/>
  <c r="C18" i="71"/>
  <c r="D19"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B40" i="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C16" i="67"/>
  <c r="H6" i="3" l="1"/>
  <c r="C32" i="15"/>
  <c r="F48" i="68"/>
  <c r="C48" i="68"/>
  <c r="C30" i="68"/>
  <c r="C48" i="11"/>
  <c r="C30" i="11"/>
  <c r="Q73" i="15"/>
  <c r="C49" i="15"/>
  <c r="Q74" i="15"/>
  <c r="J5" i="15"/>
  <c r="J24" i="15" s="1"/>
  <c r="C49" i="67"/>
  <c r="Q52" i="15"/>
  <c r="D26" i="43"/>
  <c r="C25" i="43" s="1"/>
  <c r="C33" i="43" s="1"/>
  <c r="F1" i="15"/>
  <c r="F1" i="67"/>
  <c r="Q73" i="67"/>
  <c r="F59" i="67"/>
  <c r="Q74" i="67"/>
  <c r="J5" i="67"/>
  <c r="J24" i="67" s="1"/>
  <c r="M17" i="67"/>
  <c r="AY6" i="3"/>
  <c r="AY74" i="3" s="1"/>
  <c r="E3" i="6"/>
  <c r="D37" i="11" s="1"/>
  <c r="E65" i="39"/>
  <c r="D36" i="71"/>
  <c r="T36" i="71"/>
  <c r="W7" i="37"/>
  <c r="C17" i="71"/>
  <c r="D18" i="71"/>
  <c r="B11" i="71"/>
  <c r="B10" i="71" s="1"/>
  <c r="B9" i="71" s="1"/>
  <c r="B8" i="71" s="1"/>
  <c r="B7" i="71" s="1"/>
  <c r="B6" i="71" s="1"/>
  <c r="B5" i="71" s="1"/>
  <c r="S12" i="71"/>
  <c r="D44" i="71"/>
  <c r="T44" i="71"/>
  <c r="C26" i="71"/>
  <c r="D26" i="71" s="1"/>
  <c r="D27" i="71"/>
  <c r="E19" i="71"/>
  <c r="E18" i="71" s="1"/>
  <c r="E17" i="71" s="1"/>
  <c r="E16" i="71" s="1"/>
  <c r="V2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53" i="3"/>
  <c r="AY409" i="3"/>
  <c r="AY108" i="3"/>
  <c r="AY214" i="3"/>
  <c r="AY349" i="3"/>
  <c r="AY510" i="3"/>
  <c r="AY526" i="3"/>
  <c r="AY85" i="3"/>
  <c r="AY211" i="3"/>
  <c r="AY325" i="3"/>
  <c r="AY532" i="3"/>
  <c r="AY489" i="3"/>
  <c r="AY540" i="3"/>
  <c r="AY255" i="3"/>
  <c r="AY258" i="3"/>
  <c r="AY520" i="3"/>
  <c r="AY101" i="3"/>
  <c r="AY158" i="3"/>
  <c r="AY234" i="3"/>
  <c r="AY344" i="3"/>
  <c r="AY458" i="3"/>
  <c r="AY506" i="3"/>
  <c r="AY542" i="3"/>
  <c r="AY63" i="3"/>
  <c r="AY135" i="3"/>
  <c r="AY378" i="3"/>
  <c r="AY456" i="3"/>
  <c r="BL6" i="3"/>
  <c r="AY184" i="3"/>
  <c r="AY241" i="3"/>
  <c r="AY338" i="3"/>
  <c r="BD6" i="3"/>
  <c r="AY142" i="3"/>
  <c r="AY336" i="3"/>
  <c r="AY17" i="3"/>
  <c r="AY47" i="3"/>
  <c r="AY383" i="3"/>
  <c r="AY421" i="3"/>
  <c r="AY102" i="3"/>
  <c r="AY175" i="3"/>
  <c r="AY208" i="3"/>
  <c r="AY474" i="3"/>
  <c r="AY583" i="3"/>
  <c r="AY174" i="3"/>
  <c r="AY250" i="3"/>
  <c r="AY305" i="3"/>
  <c r="AY445" i="3"/>
  <c r="AY505" i="3"/>
  <c r="AY551" i="3"/>
  <c r="AY79" i="3"/>
  <c r="AY151" i="3"/>
  <c r="AY394" i="3"/>
  <c r="AY451" i="3"/>
  <c r="AY568" i="3"/>
  <c r="AY200" i="3"/>
  <c r="AY257" i="3"/>
  <c r="AY307" i="3"/>
  <c r="AY521" i="3"/>
  <c r="E6" i="6"/>
  <c r="D14" i="12"/>
  <c r="L18" i="9"/>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AE6" i="1"/>
  <c r="F41" i="67" s="1"/>
  <c r="F41" i="15"/>
  <c r="M27" i="15"/>
  <c r="M27" i="67"/>
  <c r="AY477" i="3" l="1"/>
  <c r="AY164" i="3"/>
  <c r="AY408" i="3"/>
  <c r="AY301" i="3"/>
  <c r="AY545" i="3"/>
  <c r="AY434" i="3"/>
  <c r="AY396" i="3"/>
  <c r="AY567" i="3"/>
  <c r="AY375" i="3"/>
  <c r="AY39" i="3"/>
  <c r="AY330" i="3"/>
  <c r="AY575" i="3"/>
  <c r="AY298" i="3"/>
  <c r="AY490" i="3"/>
  <c r="AY148" i="3"/>
  <c r="AY437" i="3"/>
  <c r="AY285" i="3"/>
  <c r="AY570" i="3"/>
  <c r="AY426" i="3"/>
  <c r="AY380" i="3"/>
  <c r="AY65" i="3"/>
  <c r="AY309" i="3"/>
  <c r="AY69" i="3"/>
  <c r="AY523" i="3"/>
  <c r="BI6" i="3"/>
  <c r="AY390" i="3"/>
  <c r="AY427" i="3"/>
  <c r="AY138" i="3"/>
  <c r="AY87"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95" i="3"/>
  <c r="AY382" i="3"/>
  <c r="AY204" i="3"/>
  <c r="AY180" i="3"/>
  <c r="AY433" i="3"/>
  <c r="AY45" i="3"/>
  <c r="AY118" i="3"/>
  <c r="AY381" i="3"/>
  <c r="AY177" i="3"/>
  <c r="AY332" i="3"/>
  <c r="BM6" i="3"/>
  <c r="AY163" i="3"/>
  <c r="AY447" i="3"/>
  <c r="AY157" i="3"/>
  <c r="AY186" i="3"/>
  <c r="AY403" i="3"/>
  <c r="AY82" i="3"/>
  <c r="AY379" i="3"/>
  <c r="AY198" i="3"/>
  <c r="BB6" i="3"/>
  <c r="AY449" i="3"/>
  <c r="AY494" i="3"/>
  <c r="AY48" i="3"/>
  <c r="AY287" i="3"/>
  <c r="AY364" i="3"/>
  <c r="AY471" i="3"/>
  <c r="AY439" i="3"/>
  <c r="AY524" i="3"/>
  <c r="AY578" i="3"/>
  <c r="AY192" i="3"/>
  <c r="AY249" i="3"/>
  <c r="AY346" i="3"/>
  <c r="AY558" i="3"/>
  <c r="AY55" i="3"/>
  <c r="AY128" i="3"/>
  <c r="AY391" i="3"/>
  <c r="AY448" i="3"/>
  <c r="AY586" i="3"/>
  <c r="AY218" i="3"/>
  <c r="AY450" i="3"/>
  <c r="AY530" i="3"/>
  <c r="AY120" i="3"/>
  <c r="AY482" i="3"/>
  <c r="AY528" i="3"/>
  <c r="AY22" i="3"/>
  <c r="AY288" i="3"/>
  <c r="AY339" i="3"/>
  <c r="AY413" i="3"/>
  <c r="AY64" i="3"/>
  <c r="AY113" i="3"/>
  <c r="AY361" i="3"/>
  <c r="AY479" i="3"/>
  <c r="AY402" i="3"/>
  <c r="AY522" i="3"/>
  <c r="BP6" i="3"/>
  <c r="AY19" i="3"/>
  <c r="AY265" i="3"/>
  <c r="AY315" i="3"/>
  <c r="AY500" i="3"/>
  <c r="AY71" i="3"/>
  <c r="AY143" i="3"/>
  <c r="AY386" i="3"/>
  <c r="AY443" i="3"/>
  <c r="BT6" i="3"/>
  <c r="AY429" i="3"/>
  <c r="AY440" i="3"/>
  <c r="AY576" i="3"/>
  <c r="AY272" i="3"/>
  <c r="AY322" i="3"/>
  <c r="AY15" i="3"/>
  <c r="AY267" i="3"/>
  <c r="AY337" i="3"/>
  <c r="AY476" i="3"/>
  <c r="AY415" i="3"/>
  <c r="AY515" i="3"/>
  <c r="AY172" i="3"/>
  <c r="AY248" i="3"/>
  <c r="AY485" i="3"/>
  <c r="AY547" i="3"/>
  <c r="AY54" i="3"/>
  <c r="AY293" i="3"/>
  <c r="AY351" i="3"/>
  <c r="AY400" i="3"/>
  <c r="AY201" i="3"/>
  <c r="AY210" i="3"/>
  <c r="AY152" i="3"/>
  <c r="AY303" i="3"/>
  <c r="AY363" i="3"/>
  <c r="AY228" i="3"/>
  <c r="BK6" i="3"/>
  <c r="AY28" i="3"/>
  <c r="AY294" i="3"/>
  <c r="AY554" i="3"/>
  <c r="AY290" i="3"/>
  <c r="AY488" i="3"/>
  <c r="BF6" i="3"/>
  <c r="AY334" i="3"/>
  <c r="AY574" i="3"/>
  <c r="AY271" i="3"/>
  <c r="AY243" i="3"/>
  <c r="AY527" i="3"/>
  <c r="AY292" i="3"/>
  <c r="AY436" i="3"/>
  <c r="AY141" i="3"/>
  <c r="AY181" i="3"/>
  <c r="AY503" i="3"/>
  <c r="AY582" i="3"/>
  <c r="AY194" i="3"/>
  <c r="AY251" i="3"/>
  <c r="AY329" i="3"/>
  <c r="AY468" i="3"/>
  <c r="AY407" i="3"/>
  <c r="AY565" i="3"/>
  <c r="AY99" i="3"/>
  <c r="AY156" i="3"/>
  <c r="AY232" i="3"/>
  <c r="AY469" i="3"/>
  <c r="AY560" i="3"/>
  <c r="AY38" i="3"/>
  <c r="AY277" i="3"/>
  <c r="AY354" i="3"/>
  <c r="AY32" i="3"/>
  <c r="AY352" i="3"/>
  <c r="AY431" i="3"/>
  <c r="AY563" i="3"/>
  <c r="AY233" i="3"/>
  <c r="AY195" i="3"/>
  <c r="AY21" i="3"/>
  <c r="AY493" i="3"/>
  <c r="AY34" i="3"/>
  <c r="AY111" i="3"/>
  <c r="AY196" i="3"/>
  <c r="AY470" i="3"/>
  <c r="AY358" i="3"/>
  <c r="AY541" i="3"/>
  <c r="AY231" i="3"/>
  <c r="AY104" i="3"/>
  <c r="AY446" i="3"/>
  <c r="AY566" i="3"/>
  <c r="AY240" i="3"/>
  <c r="AY107" i="3"/>
  <c r="AY359" i="3"/>
  <c r="AY62" i="3"/>
  <c r="AY538" i="3"/>
  <c r="AY320" i="3"/>
  <c r="AY153" i="3"/>
  <c r="AY432" i="3"/>
  <c r="AY136" i="3"/>
  <c r="AY13" i="3"/>
  <c r="AY203" i="3"/>
  <c r="AY492" i="3"/>
  <c r="AY511" i="3"/>
  <c r="AY224" i="3"/>
  <c r="AY91" i="3"/>
  <c r="AY362" i="3"/>
  <c r="AY46" i="3"/>
  <c r="AY14" i="3"/>
  <c r="AY312" i="3"/>
  <c r="AY137" i="3"/>
  <c r="AY543" i="3"/>
  <c r="AY384" i="3"/>
  <c r="AY43" i="3"/>
  <c r="AY464" i="3"/>
  <c r="AY25" i="3"/>
  <c r="AY98" i="3"/>
  <c r="AY24" i="3"/>
  <c r="AY465" i="3"/>
  <c r="AY144" i="3"/>
  <c r="F69" i="67"/>
  <c r="C48" i="67"/>
  <c r="C66" i="67" s="1"/>
  <c r="C48" i="15"/>
  <c r="C66" i="15"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D3" i="34"/>
  <c r="C34" i="34" s="1"/>
  <c r="E15" i="71"/>
  <c r="E14" i="71" s="1"/>
  <c r="E13" i="71" s="1"/>
  <c r="E12" i="71" s="1"/>
  <c r="V16" i="71"/>
  <c r="D17" i="71"/>
  <c r="C16" i="71"/>
  <c r="C17" i="4"/>
  <c r="B4" i="52" s="1"/>
  <c r="B43" i="72" s="1"/>
  <c r="M18" i="9"/>
  <c r="B118" i="9" s="1"/>
  <c r="B1" i="74" s="1"/>
  <c r="D3" i="21"/>
  <c r="D116" i="43"/>
  <c r="D3" i="37"/>
  <c r="D19" i="11"/>
  <c r="C19" i="11" s="1"/>
  <c r="C24" i="11"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22" i="6"/>
  <c r="D21" i="6"/>
  <c r="D24" i="6"/>
  <c r="M19" i="9"/>
  <c r="C118" i="9" s="1"/>
  <c r="B2" i="74" s="1"/>
  <c r="D26" i="6"/>
  <c r="D8" i="6"/>
  <c r="D6" i="6"/>
  <c r="D9" i="6"/>
  <c r="D10" i="6"/>
  <c r="D29" i="6"/>
  <c r="H24" i="6"/>
  <c r="D19" i="6"/>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6" i="11"/>
  <c r="D22" i="11" s="1"/>
  <c r="D10" i="69"/>
  <c r="C34" i="69"/>
  <c r="D10" i="68"/>
  <c r="C14" i="67"/>
  <c r="C17" i="67"/>
  <c r="C17" i="15"/>
  <c r="H26" i="6" l="1"/>
  <c r="D11" i="6"/>
  <c r="D16" i="6" s="1"/>
  <c r="C18" i="4"/>
  <c r="C4" i="52" s="1"/>
  <c r="B45" i="72" s="1"/>
  <c r="L19" i="9"/>
  <c r="D14" i="6"/>
  <c r="D20" i="6"/>
  <c r="D30" i="6"/>
  <c r="F34" i="34"/>
  <c r="H34" i="34"/>
  <c r="J34" i="34"/>
  <c r="C60" i="67"/>
  <c r="C20" i="11"/>
  <c r="C28" i="11" s="1"/>
  <c r="C27" i="11" s="1"/>
  <c r="C60" i="15"/>
  <c r="H22" i="6"/>
  <c r="R22" i="6" s="1"/>
  <c r="R9" i="1" s="1"/>
  <c r="H21" i="6"/>
  <c r="R21" i="6" s="1"/>
  <c r="R8" i="1" s="1"/>
  <c r="C15" i="71"/>
  <c r="T16" i="71"/>
  <c r="D16" i="71"/>
  <c r="U16" i="71" s="1"/>
  <c r="H25" i="6"/>
  <c r="R25" i="6" s="1"/>
  <c r="R12" i="1" s="1"/>
  <c r="E11" i="71"/>
  <c r="E10" i="71" s="1"/>
  <c r="E9" i="71" s="1"/>
  <c r="E8" i="71" s="1"/>
  <c r="E7" i="71" s="1"/>
  <c r="E6" i="71" s="1"/>
  <c r="E5" i="71" s="1"/>
  <c r="V12"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8" i="74"/>
  <c r="D7" i="74"/>
  <c r="C10" i="69"/>
  <c r="C8" i="69" s="1"/>
  <c r="C5" i="69" s="1"/>
  <c r="D19" i="69"/>
  <c r="F50" i="69"/>
  <c r="F50" i="11"/>
  <c r="F50" i="68"/>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A10" i="51" l="1"/>
  <c r="B9" i="72" s="1"/>
  <c r="D31" i="6"/>
  <c r="AC34" i="34"/>
  <c r="V49" i="34" s="1"/>
  <c r="I49" i="34" s="1"/>
  <c r="W34" i="34"/>
  <c r="AB34" i="34"/>
  <c r="T49" i="34" s="1"/>
  <c r="G49" i="34" s="1"/>
  <c r="U34" i="34"/>
  <c r="AA34" i="34"/>
  <c r="R49" i="34" s="1"/>
  <c r="S34" i="34"/>
  <c r="C25" i="11"/>
  <c r="C22" i="11" s="1"/>
  <c r="C31" i="11" s="1"/>
  <c r="D15" i="7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E49" i="34" l="1"/>
  <c r="I54" i="34" s="1"/>
  <c r="J54" i="34" s="1"/>
  <c r="R50" i="34"/>
  <c r="I53" i="34"/>
  <c r="J53" i="34" s="1"/>
  <c r="G53" i="34"/>
  <c r="H53" i="34" s="1"/>
  <c r="G54" i="34"/>
  <c r="H54" i="34" s="1"/>
  <c r="D14" i="71"/>
  <c r="C13"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49" i="34" l="1"/>
  <c r="C50" i="34"/>
  <c r="E53" i="34"/>
  <c r="F53" i="34" s="1"/>
  <c r="E54" i="34"/>
  <c r="F54" i="34" s="1"/>
  <c r="C12" i="71"/>
  <c r="D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10" i="71" l="1"/>
  <c r="C9"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 i="71" l="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5"/>
  <c r="L51" i="15"/>
  <c r="D2" i="36"/>
  <c r="D2" i="34"/>
  <c r="D102" i="9" l="1"/>
  <c r="D21" i="9"/>
  <c r="D8" i="71"/>
  <c r="C7"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7" i="1"/>
  <c r="AO11" i="1"/>
  <c r="AO12" i="1"/>
  <c r="AO8" i="1"/>
  <c r="AO10" i="1"/>
  <c r="AO9" i="1"/>
  <c r="AO6" i="1"/>
  <c r="C102" i="9" l="1"/>
  <c r="C21" i="9"/>
  <c r="D22" i="9"/>
  <c r="G19" i="9"/>
  <c r="G21" i="9" s="1"/>
  <c r="B3" i="34"/>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R24" i="3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7" i="31"/>
  <c r="S27" i="31" s="1"/>
  <c r="R25" i="31"/>
  <c r="S25" i="31" s="1"/>
  <c r="R28" i="31"/>
  <c r="S28" i="31" s="1"/>
  <c r="C42" i="40"/>
  <c r="C43" i="40"/>
  <c r="E47" i="40"/>
  <c r="F47" i="40" s="1"/>
  <c r="E46" i="40"/>
  <c r="F46" i="40" s="1"/>
  <c r="I47" i="40"/>
  <c r="J47" i="40" s="1"/>
  <c r="S22" i="31" l="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E14" i="74"/>
  <c r="F14" i="74"/>
  <c r="B5" i="74"/>
  <c r="D5" i="74" s="1"/>
  <c r="B6" i="74" l="1"/>
  <c r="D6" i="74" s="1"/>
  <c r="B22" i="72"/>
  <c r="D52" i="9"/>
  <c r="D53" i="9"/>
  <c r="H4" i="52"/>
  <c r="C104" i="9"/>
  <c r="N58" i="9"/>
  <c r="P57" i="9"/>
  <c r="D9" i="52"/>
  <c r="C105" i="9"/>
  <c r="I4" i="52"/>
  <c r="H119" i="9"/>
  <c r="H5" i="52"/>
  <c r="E81" i="9"/>
  <c r="N57" i="9"/>
  <c r="D54" i="9"/>
  <c r="C5" i="74"/>
  <c r="B49" i="72"/>
  <c r="C78" i="9"/>
  <c r="C73" i="9"/>
  <c r="B51" i="72"/>
  <c r="D8" i="52"/>
  <c r="D123" i="9"/>
  <c r="N61" i="9"/>
  <c r="N59" i="9"/>
  <c r="N60" i="9"/>
  <c r="C81" i="9"/>
  <c r="D122" i="9"/>
  <c r="B52" i="72"/>
  <c r="C6" i="74"/>
  <c r="F4" i="52"/>
  <c r="N69" i="9"/>
  <c r="M55" i="9"/>
  <c r="E97" i="9"/>
  <c r="H102" i="9"/>
  <c r="D7" i="53"/>
  <c r="B21" i="72"/>
  <c r="D6" i="53"/>
  <c r="B20" i="72"/>
  <c r="L65" i="9"/>
  <c r="M65" i="9"/>
  <c r="L64" i="9"/>
  <c r="M64" i="9"/>
  <c r="M48" i="9"/>
  <c r="D5" i="53"/>
  <c r="B32" i="72"/>
  <c r="D4" i="52"/>
  <c r="B47" i="72"/>
  <c r="D14" i="53"/>
  <c r="D13" i="53"/>
  <c r="B30" i="72"/>
  <c r="H108" i="9"/>
  <c r="D15" i="53"/>
  <c r="B31" i="72"/>
  <c r="L67" i="9"/>
  <c r="M67" i="9"/>
  <c r="C93" i="9"/>
  <c r="C86" i="9"/>
  <c r="C72" i="9"/>
  <c r="C79" i="9"/>
  <c r="C80" i="9"/>
  <c r="E80" i="9"/>
  <c r="L68" i="9"/>
  <c r="M68" i="9"/>
  <c r="L66" i="9"/>
  <c r="M66" i="9"/>
  <c r="D55" i="9"/>
  <c r="M53" i="9"/>
  <c r="E4" i="52"/>
  <c r="B48" i="72"/>
  <c r="G4" i="52"/>
  <c r="H107" i="9"/>
  <c r="M49" i="9"/>
  <c r="L63" i="9"/>
  <c r="M63" i="9"/>
  <c r="M69" i="9"/>
  <c r="D59" i="9"/>
  <c r="C64" i="9"/>
  <c r="C63" i="9"/>
  <c r="C67" i="9"/>
  <c r="C68" i="9"/>
  <c r="E118" i="9"/>
  <c r="D118" i="9"/>
  <c r="D119" i="9"/>
  <c r="D5" i="52"/>
  <c r="G118" i="9"/>
  <c r="F118" i="9"/>
  <c r="F119" i="9"/>
  <c r="F5" i="52"/>
  <c r="B53" i="72"/>
  <c r="C96" i="9"/>
  <c r="E96" i="9"/>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<sst xmlns="http://schemas.openxmlformats.org/spreadsheetml/2006/main" count="7829" uniqueCount="3411">
  <si>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</si>
  <si>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</si>
  <si>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</si>
  <si>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</si>
  <si>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</si>
  <si>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</si>
  <si>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</si>
  <si>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</si>
  <si>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</si>
  <si>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</si>
  <si>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</si>
  <si>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</si>
  <si>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</si>
  <si>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</si>
  <si>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</si>
  <si>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</si>
  <si>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</si>
  <si>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</si>
  <si>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</si>
  <si>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</si>
  <si>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</si>
  <si>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</si>
  <si>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</si>
  <si>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</si>
  <si>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</si>
  <si>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</si>
  <si>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</si>
  <si>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</si>
  <si>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</si>
  <si>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</si>
  <si>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</si>
  <si>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</si>
  <si>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</si>
  <si>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</si>
  <si>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</si>
  <si>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</si>
  <si>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</si>
  <si>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</si>
  <si>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</si>
  <si>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</si>
  <si>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</si>
  <si>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</si>
  <si>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</si>
  <si>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</si>
  <si>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</si>
  <si>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</si>
  <si>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</si>
  <si>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</si>
  <si>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</si>
  <si>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</si>
  <si>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</si>
  <si>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</si>
  <si>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</si>
  <si>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</si>
  <si>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</si>
  <si>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</si>
  <si>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</si>
  <si>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</si>
  <si>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</si>
  <si>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</si>
  <si>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</si>
  <si>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</si>
  <si>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</si>
  <si>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</si>
  <si>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</si>
  <si>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</si>
  <si>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</si>
  <si>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</si>
  <si>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</si>
  <si>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</si>
  <si>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</si>
  <si>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</si>
  <si>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</si>
  <si>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</si>
  <si>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</si>
  <si>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</si>
  <si>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</si>
  <si>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</si>
  <si>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</si>
  <si>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</si>
  <si>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</si>
  <si>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</si>
  <si>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</si>
  <si>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</si>
  <si>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</si>
  <si>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</si>
  <si>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</si>
  <si>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</si>
  <si>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</si>
  <si>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</si>
  <si>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</si>
  <si>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</si>
  <si>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</si>
  <si>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</si>
  <si>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</si>
  <si>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</si>
  <si>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</si>
  <si>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</si>
  <si>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</si>
  <si>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</si>
  <si>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</si>
  <si>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</si>
  <si>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</si>
  <si>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</si>
  <si>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</si>
  <si>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</si>
  <si>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</si>
  <si>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</si>
  <si>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</si>
  <si>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</si>
  <si>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</si>
  <si>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</si>
  <si>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</si>
  <si>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</si>
  <si>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</si>
  <si>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</si>
  <si>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</si>
  <si>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</si>
  <si>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</si>
  <si>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</si>
  <si>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</si>
  <si>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</si>
  <si>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</si>
  <si>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</si>
  <si>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</si>
  <si>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</si>
  <si>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</si>
  <si>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</si>
  <si>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</si>
  <si>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</si>
  <si>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</si>
  <si>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</si>
  <si>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</si>
  <si>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</si>
  <si>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</si>
  <si>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</si>
  <si>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</si>
  <si>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</si>
  <si>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</si>
  <si>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</si>
  <si>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</si>
  <si>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</si>
  <si>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</si>
  <si>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</si>
  <si>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</si>
  <si>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</si>
  <si>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</si>
  <si>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</si>
  <si>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</si>
  <si>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</si>
  <si>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</si>
  <si>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</si>
  <si>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</si>
  <si>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</si>
  <si>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</si>
  <si>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</si>
  <si>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</si>
  <si>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</si>
  <si>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</si>
  <si>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</si>
  <si>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</si>
  <si>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</si>
  <si>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</si>
  <si>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</si>
  <si>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</si>
  <si>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</si>
  <si>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</si>
  <si>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</si>
  <si>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</si>
  <si>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</si>
  <si>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</si>
  <si>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</si>
  <si>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</si>
  <si>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</si>
  <si>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</si>
  <si>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</si>
  <si>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</si>
  <si>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</si>
  <si>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</si>
  <si>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</si>
  <si>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</si>
  <si>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</si>
  <si>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</si>
  <si>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</si>
  <si>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</si>
  <si>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</si>
  <si>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</si>
  <si>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</si>
  <si>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</si>
  <si>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</si>
  <si>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</si>
  <si>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</si>
  <si>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</si>
  <si>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</si>
  <si>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</si>
  <si>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</si>
  <si>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</si>
  <si>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</si>
  <si>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</si>
  <si>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</si>
  <si>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</si>
  <si>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</si>
  <si>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</si>
  <si>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</si>
  <si>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</si>
  <si>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</si>
  <si>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</si>
  <si>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</si>
  <si>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</si>
  <si>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</si>
  <si>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</si>
  <si>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</si>
  <si>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</si>
  <si>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</si>
  <si>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</si>
  <si>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</si>
  <si>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</si>
  <si>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</si>
  <si>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</si>
  <si>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</si>
  <si>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</si>
  <si>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</si>
  <si>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</si>
  <si>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</si>
  <si>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</si>
  <si>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</si>
  <si>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</si>
  <si>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</si>
  <si>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</si>
  <si>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</si>
  <si>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</si>
  <si>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</si>
  <si>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</si>
  <si>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</si>
  <si>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</si>
  <si>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</si>
  <si>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</si>
  <si>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</si>
  <si>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</si>
  <si>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</si>
  <si>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</si>
  <si>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</si>
  <si>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</si>
  <si>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</si>
  <si>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</si>
  <si>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</si>
  <si>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</si>
  <si>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</si>
  <si>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</si>
  <si>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</si>
  <si>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</si>
  <si>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</si>
  <si>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</si>
  <si>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</si>
  <si>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</si>
  <si>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</si>
  <si>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</si>
  <si>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</si>
  <si>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</si>
  <si>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</si>
  <si>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</si>
  <si>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</si>
  <si>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</si>
  <si>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</si>
  <si>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</si>
  <si>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</si>
  <si>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</si>
  <si>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</si>
  <si>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</si>
  <si>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</si>
  <si>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</si>
  <si>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</si>
  <si>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</si>
  <si>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</si>
  <si>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</si>
  <si>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</si>
  <si>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</si>
  <si>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</si>
  <si>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</si>
  <si>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</si>
  <si>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</si>
  <si>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</si>
  <si>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</si>
  <si>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</si>
  <si>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</si>
  <si>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</si>
  <si>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</si>
  <si>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</si>
  <si>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</si>
  <si>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</si>
  <si>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</si>
  <si>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</si>
  <si>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</si>
  <si>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</si>
  <si>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</si>
  <si>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</si>
  <si>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</si>
  <si>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</si>
  <si>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</si>
  <si>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</si>
  <si>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</si>
  <si>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</si>
  <si>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</si>
  <si>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</si>
  <si>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</si>
  <si>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</si>
  <si>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</si>
  <si>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</si>
  <si>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</si>
  <si>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</si>
  <si>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</si>
  <si>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</si>
  <si>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</si>
  <si>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</si>
  <si>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</si>
  <si>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</si>
  <si>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</si>
  <si>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</si>
  <si>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</si>
  <si>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</si>
  <si>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</si>
  <si>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</si>
  <si>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</si>
  <si>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</si>
  <si>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</si>
  <si>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</si>
  <si>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</si>
  <si>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</si>
  <si>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</si>
  <si>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</si>
  <si>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</si>
  <si>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</si>
  <si>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</si>
  <si>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</si>
  <si>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</si>
  <si>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</si>
  <si>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</si>
  <si>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</si>
  <si>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</si>
  <si>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</si>
  <si>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</si>
  <si>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</si>
  <si>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</si>
  <si>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</si>
  <si>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</si>
  <si>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</si>
  <si>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</si>
  <si>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</si>
  <si>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</si>
  <si>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</si>
  <si>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</si>
  <si>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</si>
  <si>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</si>
  <si>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</si>
  <si>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</si>
  <si>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</si>
  <si>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</si>
  <si>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</si>
  <si>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</si>
  <si>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</si>
  <si>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</si>
  <si>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</si>
  <si>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</si>
  <si>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</si>
  <si>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</si>
  <si>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</si>
  <si>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</si>
  <si>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</si>
  <si>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</si>
  <si>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</si>
  <si>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</si>
  <si>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</si>
  <si>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</si>
  <si>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</si>
  <si>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</si>
  <si>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</si>
  <si>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</si>
  <si>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</si>
  <si>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</si>
  <si>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</si>
  <si>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</si>
  <si>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</si>
  <si>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</si>
  <si>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</si>
  <si>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</si>
  <si>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</si>
  <si>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</si>
  <si>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</si>
  <si>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</si>
  <si>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</si>
  <si>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</si>
  <si>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</si>
  <si>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</si>
  <si>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</si>
  <si>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</si>
  <si>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</si>
  <si>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</si>
  <si>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</si>
  <si>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</si>
  <si>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</si>
  <si>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</si>
  <si>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</si>
  <si>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</si>
  <si>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</si>
  <si>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</si>
  <si>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</si>
  <si>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</si>
  <si>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</si>
  <si>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</si>
  <si>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</si>
  <si>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</si>
  <si>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</si>
  <si>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</si>
  <si>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</si>
  <si>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</si>
  <si>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</si>
  <si>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</si>
  <si>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</si>
  <si>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</si>
  <si>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</si>
  <si>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</si>
  <si>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</si>
  <si>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</si>
  <si>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</si>
  <si>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</si>
  <si>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</si>
  <si>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</si>
  <si>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</si>
  <si>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</si>
  <si>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</si>
  <si>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</si>
  <si>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</si>
  <si>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</si>
  <si>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</si>
  <si>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</si>
  <si>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</si>
  <si>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</si>
  <si>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</si>
  <si>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</si>
  <si>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</si>
  <si>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</si>
  <si>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</si>
  <si>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</si>
  <si>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</si>
  <si>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</si>
  <si>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</si>
  <si>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</si>
  <si>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</si>
  <si>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</si>
  <si>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</si>
  <si>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</si>
  <si>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</si>
  <si>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</si>
  <si>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</si>
  <si>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</si>
  <si>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</si>
  <si>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</si>
  <si>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</si>
  <si>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</si>
  <si>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</si>
  <si>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</si>
  <si>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</si>
  <si>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</si>
  <si>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</si>
  <si>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</si>
  <si>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</si>
  <si>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</si>
  <si>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</si>
  <si>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</si>
  <si>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</si>
  <si>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</si>
  <si>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</si>
  <si>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</si>
  <si>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</si>
  <si>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</si>
  <si>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</si>
  <si>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</si>
  <si>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</si>
  <si>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</si>
  <si>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</si>
  <si>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</si>
  <si>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</si>
  <si>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</si>
  <si>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</si>
  <si>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</si>
  <si>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</si>
  <si>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</si>
  <si>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</si>
  <si>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</si>
  <si>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</si>
  <si>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</si>
  <si>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</si>
  <si>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</si>
  <si>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</si>
  <si>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</si>
  <si>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</si>
  <si>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</si>
  <si>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</si>
  <si>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</si>
  <si>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</si>
  <si>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</si>
  <si>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</si>
  <si>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</si>
  <si>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</si>
  <si>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</si>
  <si>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</si>
  <si>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</si>
  <si>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</si>
  <si>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</si>
  <si>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</si>
  <si>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</si>
  <si>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</si>
  <si>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</si>
  <si>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</si>
  <si>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</si>
  <si>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</si>
  <si>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</si>
  <si>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</si>
  <si>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</si>
  <si>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</si>
  <si>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</si>
  <si>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</si>
  <si>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</si>
  <si>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</si>
  <si>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</si>
  <si>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</si>
  <si>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</si>
  <si>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</si>
  <si>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</si>
  <si>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</si>
  <si>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</si>
  <si>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</si>
  <si>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</si>
  <si>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</si>
  <si>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</si>
  <si>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</si>
  <si>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</si>
  <si>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</si>
  <si>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</si>
  <si>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</si>
  <si>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</si>
  <si>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</si>
  <si>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</si>
  <si>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</si>
  <si>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</si>
  <si>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</si>
  <si>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</si>
  <si>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</si>
  <si>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</si>
  <si>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</si>
  <si>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</si>
  <si>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</si>
  <si>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</si>
  <si>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</si>
  <si>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</si>
  <si>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</si>
  <si>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</si>
  <si>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</si>
  <si>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</si>
  <si>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</si>
  <si>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</si>
  <si>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</si>
  <si>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</si>
  <si>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</si>
  <si>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</si>
  <si>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</si>
  <si>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</si>
  <si>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</si>
  <si>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</si>
  <si>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</si>
  <si>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</si>
  <si>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</si>
  <si>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</si>
  <si>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</si>
  <si>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</si>
  <si>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</si>
  <si>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</si>
  <si>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</si>
  <si>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</si>
  <si>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</si>
  <si>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</si>
  <si>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</si>
  <si>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</si>
  <si>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</si>
  <si>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</si>
  <si>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</si>
  <si>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</si>
  <si>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</si>
  <si>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</si>
  <si>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</si>
  <si>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</si>
  <si>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</si>
  <si>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</si>
  <si>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</si>
  <si>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</si>
  <si>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</si>
  <si>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</si>
  <si>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</si>
  <si>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</si>
  <si>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</si>
  <si>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</si>
  <si>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</si>
  <si>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</si>
  <si>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</si>
  <si>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</si>
  <si>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</si>
  <si>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</si>
  <si>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</si>
  <si>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</si>
  <si>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</si>
  <si>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</si>
  <si>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</si>
  <si>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</si>
  <si>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</si>
  <si>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</si>
  <si>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</si>
  <si>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</si>
  <si>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</si>
  <si>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</si>
  <si>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</si>
  <si>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</si>
  <si>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</si>
  <si>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</si>
  <si>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</si>
  <si>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</si>
  <si>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</si>
  <si>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</si>
  <si>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</si>
  <si>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</si>
  <si>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</si>
  <si>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</si>
  <si>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</si>
  <si>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</si>
  <si>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</si>
  <si>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</si>
  <si>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</si>
  <si>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</si>
  <si>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</si>
  <si>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</si>
  <si>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</si>
  <si>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</si>
  <si>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</si>
  <si>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</si>
  <si>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</si>
  <si>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</si>
  <si>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</si>
  <si>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</si>
  <si>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</si>
  <si>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</si>
  <si>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</si>
  <si>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</si>
  <si>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</si>
  <si>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</si>
  <si>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</si>
  <si>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</si>
  <si>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</si>
  <si>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</si>
  <si>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</si>
  <si>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</si>
  <si>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</si>
  <si>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</si>
  <si>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</si>
  <si>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</si>
  <si>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</si>
  <si>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</si>
  <si>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</si>
  <si>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</si>
  <si>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</si>
  <si>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</si>
  <si>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</si>
  <si>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</si>
  <si>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</si>
  <si>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</si>
  <si>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</si>
  <si>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</si>
  <si>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</si>
  <si>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</si>
  <si>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</si>
  <si>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</si>
  <si>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</si>
  <si>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</si>
  <si>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</si>
  <si>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</si>
  <si>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</si>
  <si>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</si>
  <si>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</si>
  <si>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</si>
  <si>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</si>
  <si>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</si>
  <si>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</si>
  <si>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</si>
  <si>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</si>
  <si>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</si>
  <si>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</si>
  <si>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</si>
  <si>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</si>
  <si>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</si>
  <si>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</si>
  <si>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</si>
  <si>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</si>
  <si>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</si>
  <si>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</si>
  <si>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</si>
  <si>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</si>
  <si>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</si>
  <si>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</si>
  <si>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</si>
  <si>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</si>
  <si>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</si>
  <si>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</si>
  <si>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</si>
  <si>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</si>
  <si>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</si>
  <si>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</si>
  <si>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</si>
  <si>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</si>
  <si>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</si>
  <si>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</si>
  <si>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</si>
  <si>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</si>
  <si>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</si>
  <si>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</si>
  <si>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</si>
  <si>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</si>
  <si>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</si>
  <si>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</si>
  <si>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</si>
  <si>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</si>
  <si>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</si>
  <si>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</si>
  <si>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</si>
  <si>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</si>
  <si>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</si>
  <si>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</si>
  <si>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</si>
  <si>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</si>
  <si>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</si>
  <si>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</si>
  <si>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</si>
  <si>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</si>
  <si>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</si>
  <si>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</si>
  <si>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</si>
  <si>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</si>
  <si>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</si>
  <si>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</si>
  <si>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</si>
  <si>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</si>
  <si>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</si>
  <si>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</si>
  <si>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</si>
  <si>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</si>
  <si>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</si>
  <si>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</si>
  <si>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</si>
  <si>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</si>
  <si>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</si>
  <si>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</si>
  <si>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</si>
  <si>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</si>
  <si>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</si>
  <si>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</si>
  <si>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</si>
  <si>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</si>
  <si>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</si>
  <si>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</si>
  <si>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</si>
  <si>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</si>
  <si>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</si>
  <si>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</si>
  <si>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</si>
  <si>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</si>
  <si>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</si>
  <si>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</si>
  <si>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</si>
  <si>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</si>
  <si>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</si>
  <si>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</si>
  <si>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</si>
  <si>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</si>
  <si>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</si>
  <si>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</si>
  <si>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</si>
  <si>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</si>
  <si>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</si>
  <si>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</si>
  <si>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</si>
  <si>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</si>
  <si>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</si>
  <si>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</si>
  <si>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</si>
  <si>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</si>
  <si>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</si>
  <si>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</si>
  <si>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</si>
  <si>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</si>
  <si>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</si>
  <si>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</si>
  <si>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</si>
  <si>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</si>
  <si>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</si>
  <si>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</si>
  <si>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</si>
  <si>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</si>
  <si>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</si>
  <si>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</si>
  <si>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</si>
  <si>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</si>
  <si>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</si>
  <si>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</si>
  <si>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</si>
  <si>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</si>
  <si>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</si>
  <si>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</si>
  <si>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</si>
  <si>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</si>
  <si>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</si>
  <si>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</si>
  <si>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</si>
  <si>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</si>
  <si>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</si>
  <si>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</si>
  <si>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</si>
  <si>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</si>
  <si>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</si>
  <si>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</si>
  <si>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</si>
  <si>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</si>
  <si>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</si>
  <si>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</si>
  <si>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</si>
  <si>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</si>
  <si>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</si>
  <si>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</si>
  <si>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</si>
  <si>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</si>
  <si>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</si>
  <si>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</si>
  <si>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</si>
  <si>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</si>
  <si>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</si>
  <si>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</si>
  <si>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</si>
  <si>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</si>
  <si>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</si>
  <si>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</si>
  <si>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</si>
  <si>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</si>
  <si>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</si>
  <si>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</si>
  <si>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</si>
  <si>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</si>
  <si>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</si>
  <si>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</si>
  <si>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</si>
  <si>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</si>
  <si>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</si>
  <si>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</si>
  <si>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</si>
  <si>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</si>
  <si>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</si>
  <si>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</si>
  <si>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</si>
  <si>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</si>
  <si>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</si>
  <si>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</si>
  <si>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</si>
  <si>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</si>
  <si>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</si>
  <si>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</si>
  <si>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</si>
  <si>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</si>
  <si>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</si>
  <si>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</si>
  <si>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</si>
  <si>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</si>
  <si>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</si>
  <si>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</si>
  <si>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</si>
  <si>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</si>
  <si>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</si>
  <si>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</si>
  <si>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</si>
  <si>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</si>
  <si>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</si>
  <si>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</si>
  <si>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</si>
  <si>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</si>
  <si>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</si>
  <si>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</si>
  <si>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</si>
  <si>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</si>
  <si>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</si>
  <si>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</si>
  <si>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</si>
  <si>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</si>
  <si>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</si>
  <si>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</si>
  <si>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</si>
  <si>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</si>
  <si>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</si>
  <si>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</si>
  <si>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</si>
  <si>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</si>
  <si>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</si>
  <si>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</si>
  <si>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</si>
  <si>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</si>
  <si>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</si>
  <si>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</si>
  <si>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</si>
  <si>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</si>
  <si>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</si>
  <si>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</si>
  <si>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</si>
  <si>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</si>
  <si>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</si>
  <si>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</si>
  <si>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</si>
  <si>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</si>
  <si>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</si>
  <si>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</si>
  <si>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</si>
  <si>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</si>
  <si>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</si>
  <si>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</si>
  <si>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</si>
  <si>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</si>
  <si>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</si>
  <si>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</si>
  <si>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</si>
  <si>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</si>
  <si>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</si>
  <si>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</si>
  <si>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</si>
  <si>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</si>
  <si>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</si>
  <si>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</si>
  <si>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</si>
  <si>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</si>
  <si>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</si>
  <si>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</si>
  <si>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</si>
  <si>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</si>
  <si>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</si>
  <si>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</si>
  <si>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</si>
  <si>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</si>
  <si>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</si>
  <si>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</si>
  <si>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</si>
  <si>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</si>
  <si>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</si>
  <si>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</si>
  <si>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</si>
  <si>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</si>
  <si>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</si>
  <si>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</si>
  <si>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</si>
  <si>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</si>
  <si>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</si>
  <si>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</si>
  <si>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</si>
  <si>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</si>
  <si>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</si>
  <si>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</si>
  <si>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</si>
  <si>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</si>
  <si>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</si>
  <si>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</si>
  <si>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</si>
  <si>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</si>
  <si>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</si>
  <si>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</si>
  <si>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</si>
  <si>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</si>
  <si>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</si>
  <si>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</si>
  <si>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</si>
  <si>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</si>
  <si>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</si>
  <si>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</si>
  <si>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</si>
  <si>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</si>
  <si>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</si>
  <si>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</si>
  <si>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</si>
  <si>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</si>
  <si>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</si>
  <si>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</si>
  <si>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</si>
  <si>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</si>
  <si>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</si>
  <si>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</si>
  <si>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</si>
  <si>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</si>
  <si>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</si>
  <si>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</si>
  <si>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</si>
  <si>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</si>
  <si>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</si>
  <si>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</si>
  <si>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</si>
  <si>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</si>
  <si>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</si>
  <si>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</si>
  <si>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</si>
  <si>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</si>
  <si>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</si>
  <si>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</si>
  <si>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</si>
  <si>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</si>
  <si>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</si>
  <si>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</si>
  <si>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</si>
  <si>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</si>
  <si>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</si>
  <si>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</si>
  <si>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</si>
  <si>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</si>
  <si>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</si>
  <si>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</si>
  <si>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</si>
  <si>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</si>
  <si>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</si>
  <si>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</si>
  <si>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</si>
  <si>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</si>
  <si>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</si>
  <si>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</si>
  <si>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</si>
  <si>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</si>
  <si>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</si>
  <si>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</si>
  <si>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</si>
  <si>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</si>
  <si>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</si>
  <si>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</si>
  <si>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</si>
  <si>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</si>
  <si>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</si>
  <si>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</si>
  <si>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</si>
  <si>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</si>
  <si>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</si>
  <si>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</si>
  <si>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</si>
  <si>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</si>
  <si>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</si>
  <si>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</si>
  <si>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</si>
  <si>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</si>
  <si>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</si>
  <si>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</si>
  <si>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</si>
  <si>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</si>
  <si>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</si>
  <si>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</si>
  <si>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</si>
  <si>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</si>
  <si>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</si>
  <si>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</si>
  <si>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</si>
  <si>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</si>
  <si>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</si>
  <si>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</si>
  <si>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</si>
  <si>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</si>
  <si>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</si>
  <si>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</si>
  <si>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</si>
  <si>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</si>
  <si>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</si>
  <si>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</si>
  <si>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</si>
  <si>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</si>
  <si>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</si>
  <si>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</si>
  <si>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</si>
  <si>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</si>
  <si>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</si>
  <si>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</si>
  <si>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</si>
  <si>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</si>
  <si>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</si>
  <si>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</si>
  <si>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</si>
  <si>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</si>
  <si>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</si>
  <si>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</si>
  <si>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</si>
  <si>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</si>
  <si>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</si>
  <si>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</si>
  <si>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</si>
  <si>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</si>
  <si>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</si>
  <si>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</si>
  <si>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</si>
  <si>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</si>
  <si>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</si>
  <si>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</si>
  <si>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</si>
  <si>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</si>
  <si>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</si>
  <si>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</si>
  <si>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</si>
  <si>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</si>
  <si>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</si>
  <si>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</si>
  <si>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</si>
  <si>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</si>
  <si>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</si>
  <si>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</si>
  <si>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</si>
  <si>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</si>
  <si>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</si>
  <si>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</si>
  <si>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</si>
  <si>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</si>
  <si>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</si>
  <si>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</si>
  <si>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</si>
  <si>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</si>
  <si>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</si>
  <si>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</si>
  <si>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</si>
  <si>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</si>
  <si>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</si>
  <si>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</si>
  <si>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</si>
  <si>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</si>
  <si>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</si>
  <si>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</si>
  <si>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</si>
  <si>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</si>
  <si>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</si>
  <si>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</si>
  <si>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</si>
  <si>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</si>
  <si>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</si>
  <si>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</si>
  <si>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</si>
  <si>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</si>
  <si>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</si>
  <si>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</si>
  <si>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</si>
  <si>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</si>
  <si>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</si>
  <si>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</si>
  <si>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</si>
  <si>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</si>
  <si>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</si>
  <si>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</si>
  <si>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</si>
  <si>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</si>
  <si>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</si>
  <si>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</si>
  <si>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</si>
  <si>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</si>
  <si>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</si>
  <si>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</si>
  <si>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</si>
  <si>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</si>
  <si>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</si>
  <si>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</si>
  <si>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</si>
  <si>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</si>
  <si>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</si>
  <si>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</si>
  <si>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</si>
  <si>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</si>
  <si>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</si>
  <si>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</si>
  <si>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</si>
  <si>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</si>
  <si>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</si>
  <si>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</si>
  <si>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</si>
  <si>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</si>
  <si>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</si>
  <si>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</si>
  <si>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</si>
  <si>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</si>
  <si>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</si>
  <si>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</si>
  <si>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</si>
  <si>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</si>
  <si>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</si>
  <si>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</si>
  <si>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</si>
  <si>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</si>
  <si>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</si>
  <si>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</si>
  <si>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</si>
  <si>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</si>
  <si>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</si>
  <si>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</si>
  <si>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</si>
  <si>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</si>
  <si>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</si>
  <si>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</si>
  <si>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</si>
  <si>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</si>
  <si>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</si>
  <si>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</si>
  <si>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</si>
  <si>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</si>
  <si>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</si>
  <si>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</si>
  <si>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</si>
  <si>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</si>
  <si>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</si>
  <si>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</si>
  <si>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</si>
  <si>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</si>
  <si>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</si>
  <si>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</si>
  <si>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</si>
  <si>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</si>
  <si>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</si>
  <si>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</si>
  <si>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</si>
  <si>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</si>
  <si>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</si>
  <si>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</si>
  <si>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</si>
  <si>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</si>
  <si>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</si>
  <si>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</si>
  <si>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</si>
  <si>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</si>
  <si>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</si>
  <si>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</si>
  <si>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</si>
  <si>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</si>
  <si>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</si>
  <si>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</si>
  <si>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</si>
  <si>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</si>
  <si>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</si>
  <si>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</si>
  <si>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</si>
  <si>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</si>
  <si>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</si>
  <si>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</si>
  <si>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</si>
  <si>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</si>
  <si>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</si>
  <si>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</si>
  <si>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</si>
  <si>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</si>
  <si>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</si>
  <si>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</si>
  <si>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</si>
  <si>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</si>
  <si>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</si>
  <si>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</si>
  <si>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</si>
  <si>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</si>
  <si>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</si>
  <si>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</si>
  <si>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</si>
  <si>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</si>
  <si>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</si>
  <si>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</si>
  <si>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</si>
  <si>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</si>
  <si>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</si>
  <si>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</si>
  <si>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</si>
  <si>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</si>
  <si>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</si>
  <si>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</si>
  <si>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</si>
  <si>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</si>
  <si>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</si>
  <si>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</si>
  <si>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</si>
  <si>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</si>
  <si>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</si>
  <si>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</si>
  <si>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</si>
  <si>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</si>
  <si>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</si>
  <si>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</si>
  <si>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</si>
  <si>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</si>
  <si>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</si>
  <si>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</si>
  <si>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</si>
  <si>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</si>
  <si>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</si>
  <si>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</si>
  <si>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</si>
  <si>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</si>
  <si>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</si>
  <si>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</si>
  <si>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</si>
  <si>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</si>
  <si>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</si>
  <si>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</si>
  <si>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</si>
  <si>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</si>
  <si>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</si>
  <si>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</si>
  <si>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</si>
  <si>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</si>
  <si>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</si>
  <si>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</si>
  <si>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</si>
  <si>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</si>
  <si>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</si>
  <si>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</si>
  <si>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</si>
  <si>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</si>
  <si>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</si>
  <si>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</si>
  <si>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</si>
  <si>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</si>
  <si>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</si>
  <si>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</si>
  <si>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</si>
  <si>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</si>
  <si>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</si>
  <si>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</si>
  <si>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</si>
  <si>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</si>
  <si>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</si>
  <si>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</si>
  <si>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</si>
  <si>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</si>
  <si>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</si>
  <si>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</si>
  <si>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</si>
  <si>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</si>
  <si>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</si>
  <si>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</si>
  <si>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</si>
  <si>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</si>
  <si>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</si>
  <si>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</si>
  <si>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</si>
  <si>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</si>
  <si>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</si>
  <si>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</si>
  <si>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</si>
  <si>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</si>
  <si>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</si>
  <si>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</si>
  <si>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</si>
  <si>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</si>
  <si>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</si>
  <si>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</si>
  <si>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</si>
  <si>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</si>
  <si>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</si>
  <si>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</si>
  <si>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</si>
  <si>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</si>
  <si>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</si>
  <si>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</si>
  <si>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</si>
  <si>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</si>
  <si>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</si>
  <si>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</si>
  <si>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</si>
  <si>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</si>
  <si>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</si>
  <si>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</si>
  <si>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</si>
  <si>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</si>
  <si>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</si>
  <si>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</si>
  <si>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</si>
  <si>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</si>
  <si>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</si>
  <si>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</si>
  <si>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</si>
  <si>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</si>
  <si>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</si>
  <si>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</si>
  <si>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</si>
  <si>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</si>
  <si>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</si>
  <si>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</si>
  <si>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</si>
  <si>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</si>
  <si>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</si>
  <si>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</si>
  <si>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</si>
  <si>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</si>
  <si>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</si>
  <si>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</si>
  <si>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</si>
  <si>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</si>
  <si>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</si>
  <si>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</si>
  <si>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</si>
  <si>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</si>
  <si>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</si>
  <si>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</si>
  <si>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</si>
  <si>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</si>
  <si>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</si>
  <si>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</si>
  <si>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</si>
  <si>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</si>
  <si>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</si>
  <si>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</si>
  <si>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</si>
  <si>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</si>
  <si>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</si>
  <si>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</si>
  <si>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</si>
  <si>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</si>
  <si>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</si>
  <si>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</si>
  <si>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</si>
  <si>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</si>
  <si>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</si>
  <si>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</si>
  <si>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</si>
  <si>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</si>
  <si>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</si>
  <si>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</si>
  <si>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</si>
  <si>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</si>
  <si>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</si>
  <si>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</si>
  <si>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</si>
  <si>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</si>
  <si>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</si>
  <si>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</si>
  <si>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</si>
  <si>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</si>
  <si>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</si>
  <si>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</si>
  <si>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</si>
  <si>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</si>
  <si>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</si>
  <si>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</si>
  <si>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</si>
  <si>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</si>
  <si>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</si>
  <si>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</si>
  <si>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</si>
  <si>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</si>
  <si>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</si>
  <si>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</si>
  <si>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</si>
  <si>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</si>
  <si>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</si>
  <si>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</si>
  <si>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</si>
  <si>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</si>
  <si>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</si>
  <si>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</si>
  <si>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</si>
  <si>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</si>
  <si>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</si>
  <si>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</si>
  <si>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</si>
  <si>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</si>
  <si>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</si>
  <si>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</si>
  <si>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</si>
  <si>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</si>
  <si>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</si>
  <si>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</si>
  <si>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</si>
  <si>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</si>
  <si>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</si>
  <si>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</si>
  <si>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</si>
  <si>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</si>
  <si>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</si>
  <si>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</si>
  <si>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</si>
  <si>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</si>
  <si>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</si>
  <si>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</si>
  <si>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</si>
  <si>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</si>
  <si>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</si>
  <si>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</si>
  <si>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</si>
  <si>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</si>
  <si>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</si>
  <si>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</si>
  <si>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</si>
  <si>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</si>
  <si>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</si>
  <si>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</si>
  <si>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</si>
  <si>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</si>
  <si>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</si>
  <si>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</si>
  <si>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</si>
  <si>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</si>
  <si>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</si>
  <si>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</si>
  <si>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</si>
  <si>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</si>
  <si>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</si>
  <si>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</si>
  <si>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</si>
  <si>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</si>
  <si>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</si>
  <si>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</si>
  <si>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</si>
  <si>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</si>
  <si>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</si>
  <si>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</si>
  <si>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</si>
  <si>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</si>
  <si>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</si>
  <si>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</si>
  <si>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</si>
  <si>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</si>
  <si>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</si>
  <si>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</si>
  <si>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</si>
  <si>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</si>
  <si>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</si>
  <si>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</si>
  <si>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</si>
  <si>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</si>
  <si>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</si>
  <si>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</si>
  <si>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</si>
  <si>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</si>
  <si>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</si>
  <si>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</si>
  <si>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</si>
  <si>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</si>
  <si>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</si>
  <si>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</si>
  <si>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</si>
  <si>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</si>
  <si>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</si>
  <si>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</si>
  <si>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</si>
  <si>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</si>
  <si>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</si>
  <si>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</si>
  <si>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</si>
  <si>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</si>
  <si>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</si>
  <si>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</si>
  <si>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</si>
  <si>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</si>
  <si>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</si>
  <si>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</si>
  <si>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</si>
  <si>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</si>
  <si>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</si>
  <si>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</si>
  <si>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</si>
  <si>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</si>
  <si>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</si>
  <si>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</si>
  <si>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</si>
  <si>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</si>
  <si>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</si>
  <si>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</si>
  <si>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</si>
  <si>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</si>
  <si>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</si>
  <si>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</si>
  <si>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</si>
  <si>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</si>
  <si>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</si>
  <si>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</si>
  <si>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</si>
  <si>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</si>
  <si>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</si>
  <si>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</si>
  <si>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</si>
  <si>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</si>
  <si>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</si>
  <si>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</si>
  <si>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</si>
  <si>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</si>
  <si>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</si>
  <si>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</si>
  <si>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</si>
  <si>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</si>
  <si>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</si>
  <si>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</si>
  <si>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</si>
  <si>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</si>
  <si>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</si>
  <si>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</si>
  <si>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</si>
  <si>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</si>
  <si>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</si>
  <si>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</si>
  <si>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</si>
  <si>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</si>
  <si>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</si>
  <si>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</si>
  <si>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</si>
  <si>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</si>
  <si>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</si>
  <si>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</si>
  <si>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</si>
  <si>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</si>
  <si>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</si>
  <si>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</si>
  <si>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</si>
  <si>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</si>
  <si>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</si>
  <si>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</si>
  <si>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</si>
  <si>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</si>
  <si>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</si>
  <si>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</si>
  <si>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</si>
  <si>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</si>
  <si>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</si>
  <si>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</si>
  <si>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</si>
  <si>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</si>
  <si>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</si>
  <si>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</si>
  <si>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</si>
  <si>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</si>
  <si>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</si>
  <si>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</si>
  <si>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</si>
  <si>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</si>
  <si>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</si>
  <si>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</si>
  <si>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</si>
  <si>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</si>
  <si>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</si>
  <si>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</si>
  <si>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</si>
  <si>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</si>
  <si>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</si>
  <si>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</si>
  <si>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</si>
  <si>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</si>
  <si>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</si>
  <si>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</si>
  <si>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</si>
  <si>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</si>
  <si>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</si>
  <si>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</si>
  <si>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</si>
  <si>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</si>
  <si>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</si>
  <si>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</si>
  <si>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</si>
  <si>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</si>
  <si>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</si>
  <si>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</si>
  <si>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</si>
  <si>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</si>
  <si>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</si>
  <si>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</si>
  <si>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</si>
  <si>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</si>
  <si>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</si>
  <si>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</si>
  <si>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</si>
  <si>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</si>
  <si>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</si>
  <si>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</si>
  <si>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</si>
  <si>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</si>
  <si>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</si>
  <si>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</si>
  <si>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</si>
  <si>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</si>
  <si>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</si>
  <si>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</si>
  <si>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</si>
  <si>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</si>
  <si>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</si>
  <si>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</si>
  <si>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</si>
  <si>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</si>
  <si>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</si>
  <si>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</si>
  <si>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</si>
  <si>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</si>
  <si>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</si>
  <si>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</si>
  <si>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</si>
  <si>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</si>
  <si>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</si>
  <si>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</si>
  <si>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</si>
  <si>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</si>
  <si>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</si>
  <si>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</si>
  <si>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</si>
  <si>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</si>
  <si>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</si>
  <si>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</si>
  <si>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</si>
  <si>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</si>
  <si>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</si>
  <si>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</si>
  <si>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</si>
  <si>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</si>
  <si>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</si>
  <si>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</si>
  <si>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</si>
  <si>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</si>
  <si>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</si>
  <si>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</si>
  <si>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</si>
  <si>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</si>
  <si>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</si>
  <si>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</si>
  <si>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</si>
  <si>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</si>
  <si>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</si>
  <si>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</si>
  <si>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</si>
  <si>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</si>
  <si>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</si>
  <si>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</si>
  <si>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</si>
  <si>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</si>
  <si>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</si>
  <si>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</si>
  <si>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</si>
  <si>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</si>
  <si>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</si>
  <si>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</si>
  <si>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</si>
  <si>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</si>
  <si>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</si>
  <si>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</si>
  <si>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</si>
  <si>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</si>
  <si>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</si>
  <si>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</si>
  <si>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</si>
  <si>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</si>
  <si>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</si>
  <si>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</si>
  <si>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</si>
  <si>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</si>
  <si>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</si>
  <si>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</si>
  <si>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</si>
  <si>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</si>
  <si>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</si>
  <si>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</si>
  <si>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</si>
  <si>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</si>
  <si>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</si>
  <si>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</si>
  <si>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</si>
  <si>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</si>
  <si>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</si>
  <si>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</si>
  <si>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</si>
  <si>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</si>
  <si>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</si>
  <si>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</si>
  <si>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</si>
  <si>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</si>
  <si>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</si>
  <si>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</si>
  <si>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</si>
  <si>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</si>
  <si>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</si>
  <si>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</si>
  <si>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</si>
  <si>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</si>
  <si>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</si>
  <si>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</si>
  <si>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</si>
  <si>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</si>
  <si>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</si>
  <si>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</si>
  <si>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</si>
  <si>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</si>
  <si>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</si>
  <si>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</si>
  <si>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</si>
  <si>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</si>
  <si>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</si>
  <si>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</si>
  <si>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</si>
  <si>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</si>
  <si>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</si>
  <si>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</si>
  <si>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</si>
  <si>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</si>
  <si>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</si>
  <si>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</si>
  <si>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</si>
  <si>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</si>
  <si>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</si>
  <si>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</si>
  <si>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</si>
  <si>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</si>
  <si>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</si>
  <si>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</si>
  <si>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</si>
  <si>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</si>
  <si>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</si>
  <si>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</si>
  <si>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</si>
  <si>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</si>
  <si>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</si>
  <si>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</si>
  <si>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</si>
  <si>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</si>
  <si>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</si>
  <si>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</si>
  <si>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</si>
  <si>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</si>
  <si>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</si>
  <si>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</si>
  <si>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</si>
  <si>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</si>
  <si>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</si>
  <si>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</si>
  <si>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</si>
  <si>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</si>
  <si>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</si>
  <si>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</si>
  <si>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</si>
  <si>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</si>
  <si>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</si>
  <si>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</si>
  <si>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</si>
  <si>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</si>
  <si>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</si>
  <si>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</si>
  <si>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</si>
  <si>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</si>
  <si>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</si>
  <si>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</si>
  <si>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</si>
  <si>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</si>
  <si>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</si>
  <si>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</si>
  <si>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</si>
  <si>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</si>
  <si>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</si>
  <si>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</si>
  <si>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</si>
  <si>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</si>
  <si>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</si>
  <si>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</si>
  <si>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</si>
  <si>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</si>
  <si>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</si>
  <si>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</si>
  <si>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</si>
  <si>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</si>
  <si>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</si>
  <si>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</si>
  <si>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</si>
  <si>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</si>
  <si>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</si>
  <si>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</si>
  <si>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</si>
  <si>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</si>
  <si>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</si>
  <si>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</si>
  <si>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</si>
  <si>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</si>
  <si>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</si>
  <si>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</si>
  <si>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</si>
  <si>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</si>
  <si>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</si>
  <si>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</si>
  <si>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</si>
  <si>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</si>
  <si>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</si>
  <si>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</si>
  <si>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</si>
  <si>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</si>
  <si>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</si>
  <si>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</si>
  <si>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</si>
  <si>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</si>
  <si>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</si>
  <si>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</si>
  <si>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</si>
  <si>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</si>
  <si>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</si>
  <si>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</si>
  <si>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</si>
  <si>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</si>
  <si>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</si>
  <si>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</si>
  <si>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</si>
  <si>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</si>
  <si>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</si>
  <si>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</si>
  <si>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</si>
  <si>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</si>
  <si>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</si>
  <si>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</si>
  <si>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</si>
  <si>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</si>
  <si>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</si>
  <si>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</si>
  <si>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</si>
  <si>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</si>
  <si>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</si>
  <si>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</si>
  <si>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</si>
  <si>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</si>
  <si>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</si>
  <si>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</si>
  <si>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</si>
  <si>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</si>
  <si>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</si>
  <si>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</si>
  <si>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</si>
  <si>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</si>
  <si>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</si>
  <si>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</si>
  <si>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</si>
  <si>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</si>
  <si>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</si>
  <si>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</si>
  <si>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</si>
  <si>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</si>
  <si>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</si>
  <si>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</si>
  <si>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</si>
  <si>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</si>
  <si>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</si>
  <si>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</si>
  <si>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</si>
  <si>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</si>
  <si>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</si>
  <si>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</si>
  <si>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</si>
  <si>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</si>
  <si>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</si>
  <si>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</si>
  <si>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</si>
  <si>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</si>
  <si>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</si>
  <si>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</si>
  <si>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</si>
  <si>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</si>
  <si>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</si>
  <si>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</si>
  <si>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</si>
  <si>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</si>
  <si>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</si>
  <si>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</si>
  <si>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</si>
  <si>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</si>
  <si>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</si>
  <si>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</si>
  <si>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</si>
  <si>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</si>
  <si>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</si>
  <si>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</si>
  <si>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</si>
  <si>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</si>
  <si>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</si>
  <si>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</si>
  <si>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</si>
  <si>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</si>
  <si>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</si>
  <si>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</si>
  <si>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</si>
  <si>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</si>
  <si>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</si>
  <si>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</si>
  <si>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</si>
  <si>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</si>
  <si>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</si>
  <si>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</si>
  <si>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</si>
  <si>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</si>
  <si>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</si>
  <si>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</si>
  <si>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</si>
  <si>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</si>
  <si>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</si>
  <si>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</si>
  <si>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</si>
  <si>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</si>
  <si>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</si>
  <si>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</si>
  <si>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</si>
  <si>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</si>
  <si>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</si>
  <si>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</si>
  <si>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</si>
  <si>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</si>
  <si>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</si>
  <si>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</si>
  <si>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</si>
  <si>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</si>
  <si>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</si>
  <si>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</si>
  <si>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</si>
  <si>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</si>
  <si>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</si>
  <si>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</si>
  <si>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</si>
  <si>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</si>
  <si>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</si>
  <si>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</si>
  <si>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</si>
  <si>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</si>
  <si>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</si>
  <si>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</si>
  <si>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</si>
  <si>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</si>
  <si>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</si>
  <si>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</si>
  <si>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</si>
  <si>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</si>
  <si>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</si>
  <si>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</si>
  <si>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</si>
  <si>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</si>
  <si>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</si>
  <si>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</si>
  <si>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</si>
  <si>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</si>
  <si>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</si>
  <si>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</si>
  <si>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</si>
  <si>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</si>
  <si>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</si>
  <si>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</si>
  <si>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</si>
  <si>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</si>
  <si>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</si>
  <si>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</si>
  <si>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</si>
  <si>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</si>
  <si>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</si>
  <si>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</si>
  <si>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</si>
  <si>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</si>
  <si>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</si>
  <si>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</si>
  <si>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</si>
  <si>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</si>
  <si>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</si>
  <si>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</si>
  <si>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</si>
  <si>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</si>
  <si>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</si>
  <si>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</si>
  <si>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</si>
  <si>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</si>
  <si>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</si>
  <si>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</si>
  <si>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</si>
  <si>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</si>
  <si>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</si>
  <si>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</si>
  <si>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</si>
  <si>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</si>
  <si>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</si>
  <si>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</si>
  <si>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</si>
  <si>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</si>
  <si>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</si>
  <si>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</si>
  <si>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</si>
  <si>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</si>
  <si>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</si>
  <si>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</si>
  <si>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</si>
  <si>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</si>
  <si>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</si>
  <si>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</si>
  <si>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</si>
  <si>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</si>
  <si>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</si>
  <si>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</si>
  <si>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</si>
  <si>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</si>
  <si>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</si>
  <si>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</si>
  <si>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</si>
  <si>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</si>
  <si>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</si>
  <si>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</si>
  <si>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</si>
  <si>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</si>
  <si>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</si>
  <si>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</si>
  <si>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</si>
  <si>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</si>
  <si>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</si>
  <si>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</si>
  <si>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</si>
  <si>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</si>
  <si>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</si>
  <si>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</si>
  <si>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</si>
  <si>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</si>
  <si>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</si>
  <si>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</si>
  <si>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</si>
  <si>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</si>
  <si>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</si>
  <si>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</si>
  <si>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</si>
  <si>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</si>
  <si>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</si>
  <si>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</si>
  <si>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</si>
  <si>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</si>
  <si>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</si>
  <si>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</si>
  <si>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</si>
  <si>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</si>
  <si>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</si>
  <si>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</si>
  <si>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</si>
  <si>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</si>
  <si>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</si>
  <si>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</si>
  <si>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</si>
  <si>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</si>
  <si>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</si>
  <si>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</si>
  <si>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</si>
  <si>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</si>
  <si>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</si>
  <si>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</si>
  <si>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</si>
  <si>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</si>
  <si>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</si>
  <si>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</si>
  <si>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</si>
  <si>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</si>
  <si>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</si>
  <si>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</si>
  <si>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</si>
  <si>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</si>
  <si>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</si>
  <si>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</si>
  <si>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</si>
  <si>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</si>
  <si>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</si>
  <si>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</si>
  <si>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</si>
  <si>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</si>
  <si>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</si>
  <si>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</si>
  <si>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</si>
  <si>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</si>
  <si>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</si>
  <si>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</si>
  <si>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</si>
  <si>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</si>
  <si>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</si>
  <si>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</si>
  <si>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</si>
  <si>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</si>
  <si>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</si>
  <si>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</si>
  <si>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</si>
  <si>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</si>
  <si>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</si>
  <si>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</si>
  <si>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</si>
  <si>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</si>
  <si>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</si>
  <si>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</si>
  <si>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</si>
  <si>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</si>
  <si>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</si>
  <si>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</si>
  <si>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</si>
  <si>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</si>
  <si>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</si>
  <si>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</si>
  <si>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</si>
  <si>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</si>
  <si>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</si>
  <si>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</si>
  <si>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</si>
  <si>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</si>
  <si>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</si>
  <si>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</si>
  <si>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</si>
  <si>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</si>
  <si>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</si>
  <si>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</si>
  <si>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</si>
  <si>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</si>
  <si>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</si>
  <si>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</si>
  <si>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</si>
  <si>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</si>
  <si>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</si>
  <si>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</si>
  <si>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</si>
  <si>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</si>
  <si>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</si>
  <si>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</si>
  <si>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</si>
  <si>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</si>
  <si>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</si>
  <si>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</si>
  <si>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</si>
  <si>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</si>
  <si>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</si>
  <si>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</si>
  <si>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</si>
  <si>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</si>
  <si>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</si>
  <si>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</si>
  <si>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</si>
  <si>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</si>
  <si>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</si>
  <si>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</si>
  <si>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</si>
  <si>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</si>
  <si>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</si>
  <si>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</si>
  <si>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</si>
  <si>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</si>
  <si>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</si>
  <si>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</si>
  <si>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</si>
  <si>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</si>
  <si>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</si>
  <si>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</si>
  <si>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</si>
  <si>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</si>
  <si>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</si>
  <si>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</si>
  <si>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</si>
  <si>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</si>
  <si>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</si>
  <si>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</si>
  <si>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</si>
  <si>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</si>
  <si>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</si>
  <si>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</si>
  <si>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</si>
  <si>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</si>
  <si>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</si>
  <si>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</si>
  <si>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</si>
  <si>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</si>
  <si>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</si>
  <si>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</si>
  <si>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</si>
  <si>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</si>
  <si>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</si>
  <si>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</si>
  <si>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</si>
  <si>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</si>
  <si>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</si>
  <si>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</si>
  <si>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</si>
  <si>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</si>
  <si>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</si>
  <si>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</si>
  <si>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</si>
  <si>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</si>
  <si>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</si>
  <si>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</si>
  <si>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</si>
  <si>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</si>
  <si>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</si>
  <si>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</si>
  <si>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</si>
  <si>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</si>
  <si>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</si>
  <si>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</si>
  <si>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</si>
  <si>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</si>
  <si>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</si>
  <si>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</si>
  <si>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</si>
  <si>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</si>
  <si>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</si>
  <si>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</si>
  <si>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</si>
  <si>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</si>
  <si>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</si>
  <si>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</si>
  <si>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</si>
  <si>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</si>
  <si>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</si>
  <si>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</si>
  <si>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</si>
  <si>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</si>
  <si>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</si>
  <si>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</si>
  <si>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</si>
  <si>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</si>
  <si>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</si>
  <si>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</si>
  <si>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</si>
  <si>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</si>
  <si>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</si>
  <si>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</si>
  <si>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</si>
  <si>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</si>
  <si>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</si>
  <si>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</si>
  <si>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</si>
  <si>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</si>
  <si>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</si>
  <si>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</si>
  <si>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</si>
  <si>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</si>
  <si>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</si>
  <si>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</si>
  <si>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</si>
  <si>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</si>
  <si>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</si>
  <si>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</si>
  <si>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</si>
  <si>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</si>
  <si>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</si>
  <si>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</si>
  <si>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</si>
  <si>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</si>
  <si>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</si>
  <si>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</si>
  <si>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</si>
  <si>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</si>
  <si>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</si>
  <si>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</si>
  <si>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</si>
  <si>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</si>
  <si>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</si>
  <si>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</si>
  <si>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</si>
  <si>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</si>
  <si>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</si>
  <si>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</si>
  <si>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</si>
  <si>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</si>
  <si>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</si>
  <si>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</si>
  <si>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</si>
  <si>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</si>
  <si>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</si>
  <si>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</si>
  <si>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</si>
  <si>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</si>
  <si>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</si>
  <si>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</si>
  <si>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</si>
  <si>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</si>
  <si>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</si>
  <si>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</si>
  <si>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</si>
  <si>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</si>
  <si>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</si>
  <si>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</si>
  <si>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</si>
  <si>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</si>
  <si>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</si>
  <si>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</si>
  <si>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</si>
  <si>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</si>
  <si>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</si>
  <si>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</si>
  <si>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</si>
  <si>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</si>
  <si>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</si>
  <si>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</si>
  <si>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</si>
  <si>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</si>
  <si>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</si>
  <si>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</si>
  <si>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</si>
  <si>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</si>
  <si>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</si>
  <si>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</si>
  <si>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</si>
  <si>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</si>
  <si>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</si>
  <si>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</si>
  <si>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</si>
  <si>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</si>
  <si>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</si>
  <si>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</si>
  <si>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</si>
  <si>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</si>
  <si>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</si>
  <si>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</si>
  <si>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</si>
  <si>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</si>
  <si>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</si>
  <si>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</si>
  <si>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</si>
  <si>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</si>
  <si>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</si>
  <si>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</si>
  <si>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</si>
  <si>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</si>
  <si>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</si>
  <si>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</si>
  <si>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</si>
  <si>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</si>
  <si>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</si>
  <si>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</si>
  <si>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</si>
  <si>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</si>
  <si>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</si>
  <si>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</si>
  <si>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</si>
  <si>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</si>
  <si>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</si>
  <si>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</si>
  <si>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</si>
  <si>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</si>
  <si>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</si>
  <si>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</si>
  <si>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</si>
  <si>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</si>
  <si>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</si>
  <si>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</si>
  <si>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</si>
  <si>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</si>
  <si>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</si>
  <si>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</si>
  <si>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</si>
  <si>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</si>
  <si>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</si>
  <si>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</si>
  <si>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</si>
  <si>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</si>
  <si>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</si>
  <si>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</si>
  <si>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</si>
  <si>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</si>
  <si>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</si>
  <si>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</si>
  <si>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</si>
  <si>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</si>
  <si>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</si>
  <si>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</si>
  <si>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</si>
  <si>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</si>
  <si>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</si>
  <si>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</si>
  <si>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</si>
  <si>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</si>
  <si>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</si>
  <si>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</si>
  <si>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</si>
  <si>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</si>
  <si>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</si>
  <si>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</si>
  <si>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</si>
  <si>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</si>
  <si>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</si>
  <si>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</si>
  <si>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</si>
  <si>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</si>
  <si>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</si>
  <si>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</si>
  <si>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</si>
  <si>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</si>
  <si>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</si>
  <si>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</si>
  <si>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</si>
  <si>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</si>
  <si>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</si>
  <si>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</si>
  <si>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</si>
  <si>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</si>
  <si>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</si>
  <si>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</si>
  <si>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</si>
  <si>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</si>
  <si>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</si>
  <si>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</si>
  <si>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</si>
  <si>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</si>
  <si>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</si>
  <si>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</si>
  <si>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</si>
  <si>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</si>
  <si>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</si>
  <si>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</si>
  <si>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</si>
  <si>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</si>
  <si>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</si>
  <si>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</si>
  <si>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</si>
  <si>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</si>
  <si>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</si>
  <si>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</si>
  <si>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</si>
  <si>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</si>
  <si>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</si>
  <si>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</si>
  <si>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</si>
  <si>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</si>
  <si>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</si>
  <si>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</si>
  <si>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</si>
  <si>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</si>
  <si>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</si>
  <si>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</si>
  <si>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</si>
  <si>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</si>
  <si>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</si>
  <si>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</si>
  <si>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</si>
  <si>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</si>
  <si>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</si>
  <si>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</si>
  <si>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</si>
  <si>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</si>
  <si>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</si>
  <si>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</si>
  <si>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</si>
  <si>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</si>
  <si>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</si>
  <si>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</si>
  <si>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</si>
  <si>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</si>
  <si>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</si>
  <si>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</si>
  <si>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</si>
  <si>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</si>
  <si>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</si>
  <si>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</si>
  <si>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</si>
  <si>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</si>
  <si>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</si>
  <si>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</si>
  <si>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</si>
  <si>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</si>
  <si>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</si>
  <si>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</si>
  <si>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</si>
  <si>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</si>
  <si>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</si>
  <si>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</si>
  <si>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</si>
  <si>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</si>
  <si>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</si>
  <si>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</si>
  <si>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</si>
  <si>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</si>
  <si>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</si>
  <si>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</si>
  <si>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</si>
  <si>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</si>
  <si>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</si>
  <si>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</si>
  <si>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</si>
  <si>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</si>
  <si>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</si>
  <si>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</si>
  <si>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</si>
  <si>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</si>
  <si>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</si>
  <si>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</si>
  <si>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</si>
  <si>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</si>
  <si>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</si>
  <si>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</si>
  <si>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</si>
  <si>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</si>
  <si>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</si>
  <si>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</si>
  <si>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</si>
  <si>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</si>
  <si>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</si>
  <si>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</si>
  <si>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</si>
  <si>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</si>
  <si>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</si>
  <si>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</si>
  <si>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</si>
  <si>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</si>
  <si>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</si>
  <si>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</si>
  <si>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</si>
  <si>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</si>
  <si>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</si>
  <si>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</si>
  <si>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</si>
  <si>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</si>
  <si>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</si>
  <si>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</si>
  <si>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</si>
  <si>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</si>
  <si>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</si>
  <si>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</si>
  <si>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</si>
  <si>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</si>
  <si>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</si>
  <si>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</si>
  <si>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</si>
  <si>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</si>
  <si>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</si>
  <si>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</si>
  <si>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</si>
  <si>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</si>
  <si>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</si>
  <si>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</si>
  <si>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</si>
  <si>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</si>
  <si>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</si>
  <si>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</si>
  <si>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</si>
  <si>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</si>
  <si>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</si>
  <si>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</si>
  <si>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</si>
  <si>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</si>
  <si>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</si>
  <si>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</si>
  <si>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</si>
  <si>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</si>
  <si>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</si>
  <si>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</si>
  <si>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</si>
  <si>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</si>
  <si>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</si>
  <si>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</si>
  <si>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</si>
  <si>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</si>
  <si>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</si>
  <si>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</si>
  <si>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</si>
  <si>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</si>
  <si>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</si>
  <si>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</si>
  <si>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</si>
  <si>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</si>
  <si>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</si>
  <si>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</si>
  <si>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</si>
  <si>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</si>
  <si>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</si>
  <si>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</si>
  <si>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</si>
  <si>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</si>
  <si>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</si>
  <si>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</si>
  <si>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</si>
  <si>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</si>
  <si>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</si>
  <si>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</si>
  <si>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</si>
  <si>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</si>
  <si>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</si>
  <si>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</si>
  <si>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</si>
  <si>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</si>
  <si>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</si>
  <si>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</si>
  <si>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</si>
  <si>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</si>
  <si>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</si>
  <si>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</si>
  <si>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</si>
  <si>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</si>
  <si>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</si>
  <si>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</si>
  <si>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</si>
  <si>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</si>
  <si>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</si>
  <si>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</si>
  <si>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</si>
  <si>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</si>
  <si>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</si>
  <si>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</si>
  <si>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</si>
  <si>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</si>
  <si>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</si>
  <si>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</si>
  <si>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</si>
  <si>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</si>
  <si>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</si>
  <si>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</si>
  <si>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</si>
  <si>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</si>
  <si>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</si>
  <si>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</si>
  <si>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</si>
  <si>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</si>
  <si>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</si>
  <si>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</si>
  <si>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</si>
  <si>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</si>
  <si>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</si>
  <si>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</si>
  <si>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</si>
  <si>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</si>
  <si>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</si>
  <si>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</si>
  <si>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</si>
  <si>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</si>
  <si>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</si>
  <si>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</si>
  <si>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</si>
  <si>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</si>
  <si>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</si>
  <si>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</si>
  <si>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</si>
  <si>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</si>
  <si>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</si>
  <si>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</si>
  <si>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</si>
  <si>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</si>
  <si>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</si>
  <si>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</si>
  <si>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</si>
  <si>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</si>
  <si>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</si>
  <si>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</si>
  <si>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</si>
  <si>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</si>
  <si>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</si>
  <si>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</si>
  <si>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</si>
  <si>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</si>
  <si>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</si>
  <si>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</si>
  <si>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</si>
  <si>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</si>
  <si>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</si>
  <si>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</si>
  <si>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</si>
  <si>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</si>
  <si>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</si>
  <si>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</si>
  <si>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</si>
  <si>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</si>
  <si>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</si>
  <si>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</si>
  <si>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</si>
  <si>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</si>
  <si>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</si>
  <si>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</si>
  <si>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</si>
  <si>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</si>
  <si>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</si>
  <si>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</si>
  <si>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</si>
  <si>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</si>
  <si>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</si>
  <si>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</si>
  <si>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</si>
  <si>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</si>
  <si>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</si>
  <si>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</si>
  <si>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</si>
  <si>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</si>
  <si>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</si>
  <si>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</si>
  <si>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</si>
  <si>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</si>
  <si>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</si>
  <si>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</si>
  <si>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</si>
  <si>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</si>
  <si>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</si>
  <si>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</si>
  <si>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</si>
  <si>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</si>
  <si>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</si>
  <si>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</si>
  <si>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</si>
  <si>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</si>
  <si>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</si>
  <si>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</si>
  <si>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</si>
  <si>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</si>
  <si>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</si>
  <si>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</si>
  <si>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</si>
  <si>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</si>
  <si>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</si>
  <si>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</si>
  <si>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</si>
  <si>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</si>
  <si>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</si>
  <si>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</si>
  <si>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</si>
  <si>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</si>
  <si>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</si>
  <si>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</si>
  <si>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</si>
  <si>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</si>
  <si>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</si>
  <si>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</si>
  <si>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</si>
  <si>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</si>
  <si>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</si>
  <si>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</si>
  <si>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</si>
  <si>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</si>
  <si>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</si>
  <si>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</si>
  <si>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</si>
  <si>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</si>
  <si>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</si>
  <si>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</si>
  <si>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</si>
  <si>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</si>
  <si>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</si>
  <si>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</si>
  <si>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</si>
  <si>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</si>
  <si>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</si>
  <si>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</si>
  <si>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</si>
  <si>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</si>
  <si>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</si>
  <si>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</si>
  <si>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</si>
  <si>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</si>
  <si>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</si>
  <si>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</si>
  <si>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</si>
  <si>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</si>
  <si>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</si>
  <si>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</si>
  <si>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</si>
  <si>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</si>
  <si>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</si>
  <si>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</si>
  <si>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</si>
  <si>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</si>
  <si>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</si>
  <si>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</si>
  <si>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</si>
  <si>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</si>
  <si>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</si>
  <si>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</si>
  <si>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</si>
  <si>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</si>
  <si>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</si>
  <si>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</si>
  <si>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</si>
  <si>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</si>
  <si>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</si>
  <si>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</si>
  <si>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</si>
  <si>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</si>
  <si>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</si>
  <si>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</si>
  <si>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</si>
  <si>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</si>
  <si>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</si>
  <si>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</si>
  <si>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</si>
  <si>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</si>
  <si>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</si>
  <si>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</si>
  <si>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</si>
  <si>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</si>
  <si>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</si>
  <si>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</si>
  <si>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</si>
  <si>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</si>
  <si>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</si>
  <si>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</si>
  <si>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</si>
  <si>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</si>
  <si>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</si>
  <si>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</si>
  <si>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</si>
  <si>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</si>
  <si>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</si>
  <si>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</si>
  <si>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</si>
  <si>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</si>
  <si>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</si>
  <si>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</si>
  <si>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</si>
  <si>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</si>
  <si>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</si>
  <si>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</si>
  <si>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</si>
  <si>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</si>
  <si>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</si>
  <si>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</si>
  <si>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</si>
  <si>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</si>
  <si>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</si>
  <si>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</si>
  <si>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</si>
  <si>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</si>
  <si>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</si>
  <si>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</si>
  <si>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</si>
  <si>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</si>
  <si>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</si>
  <si>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</si>
  <si>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</si>
  <si>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</si>
  <si>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</si>
  <si>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</si>
  <si>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</si>
  <si>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</si>
  <si>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</si>
  <si>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</si>
  <si>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</si>
  <si>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</si>
  <si>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</si>
  <si>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</si>
  <si>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</si>
  <si>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</si>
  <si>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</si>
  <si>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</si>
  <si>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</si>
  <si>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</si>
  <si>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</si>
  <si>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</si>
  <si>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</si>
  <si>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</si>
  <si>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</si>
  <si>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</si>
  <si>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</si>
  <si>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</si>
  <si>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</si>
  <si>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</si>
  <si>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</si>
  <si>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</si>
  <si>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</si>
  <si>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</si>
  <si>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</si>
  <si>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</si>
  <si>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</si>
  <si>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</si>
  <si>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</si>
  <si>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</si>
  <si>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</si>
  <si>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</si>
  <si>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</si>
  <si>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</si>
  <si>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</si>
  <si>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</si>
  <si>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</si>
  <si>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</si>
  <si>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</si>
  <si>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</si>
  <si>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</si>
  <si>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</si>
  <si>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</si>
  <si>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</si>
  <si>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</si>
  <si>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</si>
  <si>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</si>
  <si>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</si>
  <si>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</si>
  <si>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</si>
  <si>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</si>
  <si>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</si>
  <si>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</si>
  <si>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</si>
  <si>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</si>
  <si>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</si>
  <si>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</si>
  <si>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</si>
  <si>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</si>
  <si>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</si>
  <si>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</si>
  <si>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</si>
  <si>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</si>
  <si>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</si>
  <si>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</si>
  <si>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</si>
  <si>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</si>
  <si>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</si>
  <si>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</si>
  <si>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</si>
  <si>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</si>
  <si>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</si>
  <si>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</si>
  <si>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</si>
  <si>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</si>
  <si>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</si>
  <si>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</si>
  <si>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</si>
  <si>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</si>
  <si>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</si>
  <si>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</si>
  <si>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</si>
  <si>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</si>
  <si>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</si>
  <si>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</si>
  <si>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</si>
  <si>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</si>
  <si>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</si>
  <si>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</si>
  <si>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</si>
  <si>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</si>
  <si>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</si>
  <si>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</si>
  <si>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</si>
  <si>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</si>
  <si>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</si>
  <si>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</si>
  <si>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</si>
  <si>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</si>
  <si>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</si>
  <si>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</si>
  <si>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</si>
  <si>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</si>
  <si>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</si>
  <si>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</si>
  <si>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</si>
  <si>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</si>
  <si>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</si>
  <si>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</si>
  <si>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</si>
  <si>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</si>
  <si>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</si>
  <si>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</si>
  <si>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</si>
  <si>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</si>
  <si>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</si>
  <si>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</si>
  <si>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</si>
  <si>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</si>
  <si>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</si>
  <si>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</si>
  <si>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</si>
  <si>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</si>
  <si>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</si>
  <si>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</si>
  <si>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</si>
  <si>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</si>
  <si>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</si>
  <si>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</si>
  <si>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</si>
  <si>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</si>
  <si>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</si>
  <si>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</si>
  <si>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</si>
  <si>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</si>
  <si>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</si>
  <si>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</si>
  <si>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</si>
  <si>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</si>
  <si>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</si>
  <si>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</si>
  <si>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</si>
  <si>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</si>
  <si>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</si>
  <si>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</si>
  <si>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</si>
  <si>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</si>
  <si>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</si>
  <si>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</si>
  <si>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</si>
  <si>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</si>
  <si>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</si>
  <si>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</si>
  <si>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</si>
  <si>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</si>
  <si>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</si>
  <si>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</si>
  <si>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</si>
  <si>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</si>
  <si>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</si>
  <si>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</si>
  <si>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</si>
  <si>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</si>
  <si>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</si>
  <si>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</si>
  <si>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</si>
  <si>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</si>
  <si>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</si>
  <si>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</si>
  <si>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</si>
  <si>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</si>
  <si>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</si>
  <si>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</si>
  <si>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</si>
  <si>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</si>
  <si>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</si>
  <si>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</si>
  <si>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</si>
  <si>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</si>
  <si>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</si>
  <si>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</si>
  <si>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</si>
  <si>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</si>
  <si>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</si>
  <si>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</si>
  <si>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</si>
  <si>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</si>
  <si>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</si>
  <si>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</si>
  <si>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</si>
  <si>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</si>
  <si>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</si>
  <si>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</si>
  <si>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</si>
  <si>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</si>
  <si>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</si>
  <si>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</si>
  <si>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</si>
  <si>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</si>
  <si>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</si>
  <si>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</si>
  <si>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</si>
  <si>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</si>
  <si>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</si>
  <si>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</si>
  <si>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</si>
  <si>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</si>
  <si>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</si>
  <si>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</si>
  <si>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</si>
  <si>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</si>
  <si>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</si>
  <si>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</si>
  <si>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</si>
  <si>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</si>
  <si>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</si>
  <si>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</si>
  <si>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</si>
  <si>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</si>
  <si>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</si>
  <si>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</si>
  <si>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</si>
  <si>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</si>
  <si>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</si>
  <si>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</si>
  <si>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</si>
  <si>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</si>
  <si>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</si>
  <si>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</si>
  <si>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</si>
  <si>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</si>
  <si>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</si>
  <si>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</si>
  <si>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</si>
  <si>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</si>
  <si>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</si>
  <si>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</si>
  <si>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</si>
  <si>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</si>
  <si>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</si>
  <si>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</si>
  <si>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</si>
  <si>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</si>
  <si>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</si>
  <si>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</si>
  <si>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</si>
  <si>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</si>
  <si>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</si>
  <si>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</si>
  <si>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</si>
  <si>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</si>
  <si>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</si>
  <si>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</si>
  <si>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</si>
  <si>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</si>
  <si>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</si>
  <si>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</si>
  <si>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</si>
  <si>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</si>
  <si>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</si>
  <si>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</si>
  <si>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</si>
  <si>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</si>
  <si>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</si>
  <si>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</si>
  <si>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</si>
  <si>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</si>
  <si>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</si>
  <si>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</si>
  <si>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</si>
  <si>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</si>
  <si>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</si>
  <si>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</si>
  <si>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</si>
  <si>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</si>
  <si>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</si>
  <si>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</si>
  <si>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</si>
  <si>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</si>
  <si>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</si>
  <si>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</si>
  <si>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</si>
  <si>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</si>
  <si>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</si>
  <si>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</si>
  <si>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</si>
  <si>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</si>
  <si>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</si>
  <si>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</si>
  <si>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</si>
  <si>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</si>
  <si>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</si>
  <si>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</si>
  <si>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</si>
  <si>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</si>
  <si>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</si>
  <si>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</si>
  <si>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</si>
  <si>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</si>
  <si>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</si>
  <si>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</si>
  <si>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</si>
  <si>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</si>
  <si>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</si>
  <si>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</si>
  <si>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</si>
  <si>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</si>
  <si>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</si>
  <si>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</si>
  <si>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</si>
  <si>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</si>
  <si>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</si>
  <si>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</si>
  <si>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</si>
  <si>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</si>
  <si>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</si>
  <si>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</si>
  <si>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</si>
  <si>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</si>
  <si>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</si>
  <si>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</si>
  <si>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</si>
  <si>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</si>
  <si>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</si>
  <si>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</si>
  <si>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</si>
  <si>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</si>
  <si>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</si>
  <si>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</si>
  <si>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</si>
  <si>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</si>
  <si>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</si>
  <si>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</si>
  <si>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</si>
  <si>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</si>
  <si>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</si>
  <si>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</si>
  <si>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</si>
  <si>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</si>
  <si>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</si>
  <si>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</si>
  <si>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</si>
  <si>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</si>
  <si>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</si>
  <si>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</si>
  <si>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</si>
  <si>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</si>
  <si>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</si>
  <si>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</si>
  <si>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</si>
  <si>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</si>
  <si>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</si>
  <si>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</si>
  <si>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</si>
  <si>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</si>
  <si>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</si>
  <si>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</si>
  <si>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</si>
  <si>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</si>
  <si>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</si>
  <si>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</si>
  <si>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</si>
  <si>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</si>
  <si>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</si>
  <si>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</si>
  <si>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</si>
  <si>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</si>
  <si>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</si>
  <si>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</si>
  <si>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</si>
  <si>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</si>
  <si>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</si>
  <si>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</si>
  <si>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</si>
  <si>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</si>
  <si>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</si>
  <si>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</si>
  <si>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</si>
  <si>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</si>
  <si>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</si>
  <si>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</si>
  <si>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</si>
  <si>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</si>
  <si>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</si>
  <si>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</si>
  <si>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</si>
  <si>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</si>
  <si>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</si>
  <si>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</si>
  <si>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</si>
  <si>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</si>
  <si>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</si>
  <si>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</si>
  <si>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</si>
  <si>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</si>
  <si>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</si>
  <si>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</si>
  <si>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</si>
  <si>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</si>
  <si>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</si>
  <si>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</si>
  <si>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</si>
  <si>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</si>
  <si>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</si>
  <si>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</si>
  <si>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</si>
  <si>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</si>
  <si>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</si>
  <si>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</si>
  <si>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</si>
  <si>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</si>
  <si>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</si>
  <si>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</si>
  <si>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</si>
  <si>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</si>
  <si>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</si>
  <si>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</si>
  <si>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</si>
  <si>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</si>
  <si>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</si>
  <si>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</si>
  <si>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</si>
  <si>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</si>
  <si>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</si>
  <si>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</si>
  <si>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</si>
  <si>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</si>
  <si>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</si>
  <si>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</si>
  <si>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</si>
  <si>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</si>
  <si>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</si>
  <si>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</si>
  <si>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</si>
  <si>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</si>
  <si>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</si>
  <si>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</si>
  <si>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</si>
  <si>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</si>
  <si>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</si>
  <si>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</si>
  <si>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</si>
  <si>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</si>
  <si>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</si>
  <si>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</si>
  <si>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</si>
  <si>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</si>
  <si>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</si>
  <si>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</si>
  <si>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</si>
  <si>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</si>
  <si>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</si>
  <si>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</si>
  <si>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</si>
  <si>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</si>
  <si>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</si>
  <si>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</si>
  <si>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</si>
  <si>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</si>
  <si>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</si>
  <si>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</si>
  <si>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</si>
  <si>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</si>
  <si>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</si>
  <si>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地上</t>
  </si>
  <si>
    <t>是</t>
  </si>
  <si>
    <t>成新度</t>
  </si>
  <si>
    <t>收益法 (元)</t>
  </si>
  <si>
    <t>利息：取LPR加浮动点数</t>
  </si>
  <si>
    <t>单套模式</t>
  </si>
  <si>
    <t>售价</t>
  </si>
  <si>
    <t>中电信息大厦</t>
    <phoneticPr fontId="134" type="noConversion"/>
  </si>
  <si>
    <t>数码大厦</t>
    <phoneticPr fontId="134" type="noConversion"/>
  </si>
  <si>
    <t>天作国际大厦</t>
    <phoneticPr fontId="134" type="noConversion"/>
  </si>
  <si>
    <t>中区</t>
  </si>
  <si>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</si>
  <si>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</si>
  <si>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</si>
  <si>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</si>
  <si>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</si>
  <si>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</si>
  <si>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较好</t>
    <phoneticPr fontId="31" type="noConversion"/>
  </si>
  <si>
    <t>较好</t>
    <phoneticPr fontId="31" type="noConversion"/>
  </si>
  <si>
    <t>七通</t>
    <phoneticPr fontId="31" type="noConversion"/>
  </si>
  <si>
    <t>七通</t>
    <phoneticPr fontId="31" type="noConversion"/>
  </si>
  <si>
    <t>主干道</t>
    <phoneticPr fontId="31" type="noConversion"/>
  </si>
  <si>
    <t>快速路</t>
    <phoneticPr fontId="31" type="noConversion"/>
  </si>
  <si>
    <t>写字楼</t>
    <phoneticPr fontId="31" type="noConversion"/>
  </si>
  <si>
    <t>中区</t>
    <phoneticPr fontId="31" type="noConversion"/>
  </si>
  <si>
    <t>精装</t>
    <phoneticPr fontId="31" type="noConversion"/>
  </si>
  <si>
    <t>精装</t>
    <phoneticPr fontId="31" type="noConversion"/>
  </si>
  <si>
    <t>押一</t>
  </si>
  <si>
    <t>钢混</t>
  </si>
  <si>
    <t>非生产用房</t>
  </si>
  <si>
    <t>比较法-办公</t>
  </si>
  <si>
    <t>中区</t>
    <phoneticPr fontId="24" type="noConversion"/>
  </si>
  <si>
    <t>中区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</si>
</sst>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113172</xdr:colOff>
      <xdr:row>48</xdr:row>
      <xdr:rowOff>132327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028572" cy="8190477"/>
        </a:xfrm>
        <a:prstGeom prst="rect">
          <a:avLst/>
        </a:prstGeom>
      </xdr:spPr>
    </xdr:pic>
    <xdr:clientData/>
  </xdr:twoCellAnchor>
  <xdr:twoCellAnchor editAs="oneCell">
    <xdr:from>
      <xdr:col>0</xdr:col>
      <xdr:colOff>0</xdr:colOff>
      <xdr:row>50</xdr:row>
      <xdr:rowOff>0</xdr:rowOff>
    </xdr:from>
    <xdr:to>
      <xdr:col>13</xdr:col>
      <xdr:colOff>360791</xdr:colOff>
      <xdr:row>98</xdr:row>
      <xdr:rowOff>75162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9276191" cy="8304762"/>
        </a:xfrm>
        <a:prstGeom prst="rect">
          <a:avLst/>
        </a:prstGeom>
      </xdr:spPr>
    </xdr:pic>
    <xdr:clientData/>
  </xdr:twoCellAnchor>
  <xdr:twoCellAnchor editAs="oneCell">
    <xdr:from>
      <xdr:col>0</xdr:col>
      <xdr:colOff>0</xdr:colOff>
      <xdr:row>100</xdr:row>
      <xdr:rowOff>0</xdr:rowOff>
    </xdr:from>
    <xdr:to>
      <xdr:col>13</xdr:col>
      <xdr:colOff>132220</xdr:colOff>
      <xdr:row>150</xdr:row>
      <xdr:rowOff>17977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0"/>
          <a:ext cx="9047620" cy="8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估价对象为北京市房地产，为所有。根据《国有土地使用证》[]，估价对象（分摊）出让国有建设用地使用权面积为0平方米，建筑面积为139.51平方米。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估价对象为北京市房地产,属开发建设的，该项目尚在开发建设中。根据《国有土地使用证》[]，估价对象（分摊）出让国有建设用地使用权面积为0平方米，规划建筑面积为139.51平方米。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2022年12月27日</v>
      </c>
    </row>
    <row r="13" spans="1:2" s="1202" customFormat="1">
      <c r="A13" s="1200" t="s">
        <v>529</v>
      </c>
      <c r="B13" s="1201" t="str">
        <f>'预评函-1'!A18</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139.51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3" t="s">
        <v>385</v>
      </c>
      <c r="C54" s="1550" t="s">
        <v>583</v>
      </c>
    </row>
    <row r="55" spans="1:4">
      <c r="A55" s="3486"/>
      <c r="B55" s="1553" t="s">
        <v>386</v>
      </c>
      <c r="C55" s="1550" t="s">
        <v>584</v>
      </c>
    </row>
    <row r="56" spans="1:4">
      <c r="A56" s="3486"/>
      <c r="B56" s="1553" t="s">
        <v>387</v>
      </c>
      <c r="C56" s="1550" t="s">
        <v>588</v>
      </c>
    </row>
    <row r="57" spans="1:4">
      <c r="A57" s="348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7" t="s">
        <v>2595</v>
      </c>
      <c r="J1" s="3225"/>
      <c r="K1" s="3225"/>
      <c r="L1" s="3225"/>
      <c r="M1" s="3225"/>
      <c r="N1" s="3438"/>
      <c r="O1" s="3438"/>
      <c r="P1" s="3438"/>
      <c r="Q1" s="3438"/>
      <c r="R1" s="3438"/>
    </row>
    <row r="2" spans="1:18">
      <c r="A2" s="3015"/>
      <c r="B2" s="3016"/>
      <c r="C2" s="3016"/>
      <c r="D2" s="3016"/>
      <c r="E2" s="3016"/>
      <c r="F2" s="3017"/>
      <c r="I2" s="3487" t="s">
        <v>2582</v>
      </c>
      <c r="J2" s="3487"/>
      <c r="K2" s="3487"/>
      <c r="L2" s="3487"/>
      <c r="M2" s="3487"/>
      <c r="N2" s="3487"/>
      <c r="O2" s="3487"/>
      <c r="P2" s="3487"/>
      <c r="Q2" s="3487"/>
      <c r="R2" s="3487"/>
    </row>
    <row r="3" spans="1:18">
      <c r="A3" s="3018" t="s">
        <v>2503</v>
      </c>
      <c r="B3" s="3019">
        <f>项目基本情况!D3</f>
        <v>44922</v>
      </c>
      <c r="C3" s="3021"/>
      <c r="D3" s="3021"/>
      <c r="E3" s="3021"/>
      <c r="F3" s="3017"/>
      <c r="I3" s="3439"/>
      <c r="J3" s="3439" t="s">
        <v>2586</v>
      </c>
      <c r="K3" s="3439" t="s">
        <v>2587</v>
      </c>
      <c r="L3" s="3439" t="s">
        <v>2588</v>
      </c>
      <c r="M3" s="3439" t="s">
        <v>2589</v>
      </c>
      <c r="N3" s="3440" t="s">
        <v>2590</v>
      </c>
      <c r="O3" s="3440" t="s">
        <v>2591</v>
      </c>
      <c r="P3" s="3440" t="s">
        <v>2592</v>
      </c>
      <c r="Q3" s="3440" t="s">
        <v>2593</v>
      </c>
      <c r="R3" s="3440" t="s">
        <v>2594</v>
      </c>
    </row>
    <row r="4" spans="1:18">
      <c r="A4" s="3018" t="s">
        <v>2504</v>
      </c>
      <c r="B4" s="3021" t="s">
        <v>2505</v>
      </c>
      <c r="C4" s="3021" t="s">
        <v>2506</v>
      </c>
      <c r="D4" s="3021" t="s">
        <v>2507</v>
      </c>
      <c r="E4" s="3021" t="s">
        <v>2508</v>
      </c>
      <c r="F4" s="3017"/>
      <c r="I4" s="3439" t="s">
        <v>2583</v>
      </c>
      <c r="J4" s="3439">
        <v>80</v>
      </c>
      <c r="K4" s="3439">
        <v>70</v>
      </c>
      <c r="L4" s="3439">
        <v>20</v>
      </c>
      <c r="M4" s="3439">
        <v>30</v>
      </c>
      <c r="N4" s="3021">
        <v>45</v>
      </c>
      <c r="O4" s="3021">
        <v>60</v>
      </c>
      <c r="P4" s="3021">
        <v>50</v>
      </c>
      <c r="Q4" s="3021">
        <v>20</v>
      </c>
      <c r="R4" s="3021">
        <v>375</v>
      </c>
    </row>
    <row r="5" spans="1:18">
      <c r="A5" s="3022">
        <v>40</v>
      </c>
      <c r="B5" s="3019">
        <v>46375</v>
      </c>
      <c r="C5" s="3021">
        <f>ROUNDDOWN(MIN((B5-B3)/365,A5),2)</f>
        <v>3.98</v>
      </c>
      <c r="D5" s="3023">
        <f>IF(ISERROR(ROUND(POWER(1+E5,A5-C5)*(POWER(1+E5,C5)-1)/(POWER(1+E5,A5)-1),3)),0,ROUND(POWER(1+E5,A5-C5)*(POWER(1+E5,C5)-1)/(POWER(1+E5,A5)-1),4))</f>
        <v>0.1825</v>
      </c>
      <c r="E5" s="3024">
        <v>0.04</v>
      </c>
      <c r="F5" s="3017"/>
      <c r="I5" s="3439" t="s">
        <v>2584</v>
      </c>
      <c r="J5" s="3439">
        <v>70</v>
      </c>
      <c r="K5" s="3439">
        <v>60</v>
      </c>
      <c r="L5" s="3439">
        <v>15</v>
      </c>
      <c r="M5" s="3439">
        <v>25</v>
      </c>
      <c r="N5" s="3021">
        <v>40</v>
      </c>
      <c r="O5" s="3021">
        <v>50</v>
      </c>
      <c r="P5" s="3021">
        <v>40</v>
      </c>
      <c r="Q5" s="3021">
        <v>15</v>
      </c>
      <c r="R5" s="3021">
        <v>315</v>
      </c>
    </row>
    <row r="6" spans="1:18">
      <c r="A6" s="3022">
        <v>50</v>
      </c>
      <c r="B6" s="3019">
        <v>50028</v>
      </c>
      <c r="C6" s="3021">
        <f>ROUNDDOWN(MIN((B6-B3)/365,A6),2)</f>
        <v>13.98</v>
      </c>
      <c r="D6" s="3023">
        <f>IF(ISERROR(ROUND(POWER(1+E6,A6-C6)*(POWER(1+E6,C6)-1)/(POWER(1+E6,A6)-1),3)),0,ROUND(POWER(1+E6,A6-C6)*(POWER(1+E6,C6)-1)/(POWER(1+E6,A6)-1),4))</f>
        <v>0.49120000000000003</v>
      </c>
      <c r="E6" s="3024">
        <v>0.04</v>
      </c>
      <c r="F6" s="3017"/>
      <c r="I6" s="3439" t="s">
        <v>2585</v>
      </c>
      <c r="J6" s="3439">
        <v>60</v>
      </c>
      <c r="K6" s="3439">
        <v>50</v>
      </c>
      <c r="L6" s="3439">
        <v>10</v>
      </c>
      <c r="M6" s="3439">
        <v>20</v>
      </c>
      <c r="N6" s="3021">
        <v>35</v>
      </c>
      <c r="O6" s="3021">
        <v>40</v>
      </c>
      <c r="P6" s="3021">
        <v>30</v>
      </c>
      <c r="Q6" s="3021">
        <v>10</v>
      </c>
      <c r="R6" s="3021">
        <v>255</v>
      </c>
    </row>
    <row r="7" spans="1:18">
      <c r="A7" s="3022">
        <v>70</v>
      </c>
      <c r="B7" s="3019">
        <v>57333</v>
      </c>
      <c r="C7" s="3021">
        <f>ROUNDDOWN(MIN((B7-B3)/365,A7),2)</f>
        <v>34</v>
      </c>
      <c r="D7" s="3023">
        <f>IF(ISERROR(ROUND(POWER(1+E7,A7-C7)*(POWER(1+E7,C7)-1)/(POWER(1+E7,A7)-1),3)),0,ROUND(POWER(1+E7,A7-C7)*(POWER(1+E7,C7)-1)/(POWER(1+E7,A7)-1),4))</f>
        <v>0.78700000000000003</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1"/>
      <c r="C3" s="2372" t="s">
        <v>2170</v>
      </c>
      <c r="D3" s="2371">
        <v>44922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491"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492"/>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4"/>
    </row>
    <row r="13" spans="1:30">
      <c r="A13" s="3423" t="s">
        <v>3340</v>
      </c>
      <c r="B13" s="2405" t="s">
        <v>2189</v>
      </c>
      <c r="C13" s="856"/>
      <c r="D13" s="856"/>
      <c r="E13" s="856">
        <v>57334</v>
      </c>
      <c r="F13" s="856"/>
      <c r="G13" s="856"/>
      <c r="H13" s="856"/>
      <c r="I13" s="856"/>
      <c r="J13" s="3060"/>
      <c r="K13" s="2611"/>
      <c r="L13" s="2611"/>
      <c r="M13" s="2437"/>
      <c r="N13" s="2448"/>
      <c r="O13" s="2437"/>
      <c r="P13" s="2437"/>
      <c r="Q13" s="2437"/>
      <c r="AD13" s="1744"/>
    </row>
    <row r="14" spans="1:30">
      <c r="A14" s="1080"/>
      <c r="B14" s="2405" t="s">
        <v>2190</v>
      </c>
      <c r="C14" s="2406"/>
      <c r="D14" s="2406"/>
      <c r="E14" s="2406">
        <v>50</v>
      </c>
      <c r="F14" s="2406"/>
      <c r="G14" s="2406"/>
      <c r="H14" s="2406"/>
      <c r="I14" s="2406"/>
      <c r="J14" s="3061"/>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2192</v>
      </c>
      <c r="B16" s="3498"/>
      <c r="C16" s="3499"/>
      <c r="D16" s="3500"/>
      <c r="E16" s="2411" t="s">
        <v>2193</v>
      </c>
      <c r="F16" s="3501"/>
      <c r="G16" s="3502"/>
      <c r="H16" s="3502"/>
      <c r="I16" s="3503"/>
      <c r="J16" s="2437"/>
      <c r="K16" s="2615"/>
      <c r="L16" s="2449"/>
      <c r="M16" s="2449"/>
      <c r="N16" s="2507"/>
      <c r="O16" s="2449"/>
      <c r="P16" s="2507"/>
      <c r="Q16" s="2437"/>
      <c r="R16" s="2437"/>
    </row>
    <row r="17" spans="1:28">
      <c r="A17" s="313" t="s">
        <v>2194</v>
      </c>
      <c r="B17" s="302" t="s">
        <v>2195</v>
      </c>
      <c r="C17" s="8">
        <f>'数据-汇总表'!E3</f>
        <v>139.51</v>
      </c>
      <c r="D17" s="2320" t="s">
        <v>2196</v>
      </c>
      <c r="E17" s="3504" t="s">
        <v>2197</v>
      </c>
      <c r="F17" s="3505"/>
      <c r="G17" s="3505"/>
      <c r="H17" s="3505"/>
      <c r="I17" s="3506"/>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07" t="s">
        <v>2201</v>
      </c>
      <c r="F18" s="3508"/>
      <c r="G18" s="3508"/>
      <c r="H18" s="3508"/>
      <c r="I18" s="3509"/>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494" t="s">
        <v>2205</v>
      </c>
      <c r="C20" s="3495"/>
      <c r="D20" s="3496" t="s">
        <v>2206</v>
      </c>
      <c r="E20" s="3497"/>
      <c r="F20" s="2645" t="s">
        <v>1056</v>
      </c>
      <c r="G20" s="2662"/>
      <c r="H20" s="2662"/>
      <c r="I20" s="2662"/>
      <c r="J20" s="2437"/>
      <c r="K20" s="349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4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4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1"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1"/>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2"/>
      <c r="B30" s="302" t="s">
        <v>2217</v>
      </c>
      <c r="C30" s="3513"/>
      <c r="D30" s="3514"/>
      <c r="E30" s="2662"/>
      <c r="F30" s="2662"/>
      <c r="G30" s="2662"/>
      <c r="H30" s="2662"/>
      <c r="I30" s="2662"/>
      <c r="J30" s="2437"/>
      <c r="K30" s="2614"/>
      <c r="L30" s="2611"/>
      <c r="M30" s="2611"/>
      <c r="N30" s="2437"/>
      <c r="O30" s="2448"/>
      <c r="P30" s="2437"/>
      <c r="Q30" s="2437"/>
      <c r="R30" s="2437"/>
      <c r="S30" s="2437"/>
      <c r="T30" s="2437"/>
      <c r="U30" s="2437"/>
      <c r="V30" s="2437"/>
    </row>
    <row r="31" spans="1:28">
      <c r="A31" s="3515"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16"/>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1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0" t="s">
        <v>2227</v>
      </c>
      <c r="T34" s="2426" t="str">
        <f>NUMBERSTRING(7-K34,1)&amp;"通"</f>
        <v>七通</v>
      </c>
      <c r="U34" s="2437"/>
      <c r="V34" s="2437"/>
    </row>
    <row r="35" spans="1:30">
      <c r="A35" s="2427"/>
      <c r="B35" s="3517" t="s">
        <v>2228</v>
      </c>
      <c r="C35" s="3517"/>
      <c r="D35" s="3517"/>
      <c r="E35" s="351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139.51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139.51</v>
      </c>
      <c r="H5" s="13">
        <f t="shared" ref="H5:AT5" si="0">SUM(H13:H656)</f>
        <v>139.51</v>
      </c>
      <c r="I5" s="13">
        <f t="shared" si="0"/>
        <v>139.51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139.51</v>
      </c>
      <c r="BA5" s="15">
        <f t="shared" si="1"/>
        <v>139.51</v>
      </c>
      <c r="BB5" s="15">
        <f t="shared" si="1"/>
        <v>139.51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139.51</v>
      </c>
      <c r="H13" s="17">
        <f>SUMIF(I$12:AB$12,"总值",I13:AB13)</f>
        <v>139.51</v>
      </c>
      <c r="I13" s="1625">
        <v>139.51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139.51</v>
      </c>
      <c r="BA13" s="13">
        <f>SUM(BB13:BK13)</f>
        <v>139.51</v>
      </c>
      <c r="BB13" s="13">
        <f>IF($D13="是",I13-J13,0)</f>
        <v>139.51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27" t="s">
        <v>1131</v>
      </c>
      <c r="B2" s="3527"/>
      <c r="C2" s="3527"/>
      <c r="D2" s="796" t="s">
        <v>1107</v>
      </c>
      <c r="E2" s="1638" t="s">
        <v>1108</v>
      </c>
      <c r="F2" s="2657"/>
      <c r="G2" s="2648"/>
      <c r="H2" s="2649"/>
      <c r="I2" s="2323" t="s">
        <v>1132</v>
      </c>
      <c r="J2" s="2657"/>
      <c r="K2" s="2657"/>
      <c r="L2" s="2657"/>
      <c r="M2" s="2657"/>
      <c r="N2" s="2659"/>
      <c r="O2" s="2657"/>
      <c r="P2" s="2657"/>
    </row>
    <row r="3" spans="1:16" ht="15.75" thickBot="1">
      <c r="A3" s="3528" t="s">
        <v>1105</v>
      </c>
      <c r="B3" s="3528"/>
      <c r="C3" s="3528"/>
      <c r="D3" s="43">
        <f>'数据-基础表'!AY6</f>
        <v>0</v>
      </c>
      <c r="E3" s="43">
        <f>'数据-基础表'!AZ5</f>
        <v>139.51</v>
      </c>
      <c r="F3" s="2657"/>
      <c r="G3" s="1144"/>
      <c r="H3" s="1025" t="s">
        <v>1106</v>
      </c>
      <c r="I3" s="855" t="e">
        <f>ROUND('数据-基础表'!B3/'数据-基础表'!A3,2)</f>
        <v>#DIV/0!</v>
      </c>
      <c r="J3" s="2657"/>
      <c r="K3" s="2657"/>
      <c r="L3" s="2657"/>
      <c r="M3" s="2657"/>
      <c r="N3" s="2659"/>
      <c r="O3" s="2657"/>
      <c r="P3" s="2657"/>
    </row>
    <row r="4" spans="1:16" ht="15">
      <c r="A4" s="3529"/>
      <c r="B4" s="3530"/>
      <c r="C4" s="3531"/>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32" t="s">
        <v>1110</v>
      </c>
      <c r="C5" s="3532"/>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3"/>
      <c r="B6" s="3532" t="s">
        <v>1111</v>
      </c>
      <c r="C6" s="3532"/>
      <c r="D6" s="45">
        <f>ROUND($D$3*E6/$E$3,2)</f>
        <v>0</v>
      </c>
      <c r="E6" s="46">
        <f>E3-E5</f>
        <v>139.51</v>
      </c>
      <c r="F6" s="2657"/>
      <c r="G6" s="2651" t="s">
        <v>1112</v>
      </c>
      <c r="H6" s="1145" t="s">
        <v>1113</v>
      </c>
      <c r="I6" s="2652" t="e">
        <f>ROUND(F31/D31,2)</f>
        <v>#DIV/0!</v>
      </c>
      <c r="J6" s="2657"/>
      <c r="K6" s="2657"/>
      <c r="L6" s="2657"/>
      <c r="M6" s="2657"/>
      <c r="N6" s="2657"/>
      <c r="O6" s="2657"/>
      <c r="P6" s="2657"/>
    </row>
    <row r="7" spans="1:16" ht="15.75" thickBot="1">
      <c r="A7" s="3524"/>
      <c r="B7" s="3525"/>
      <c r="C7" s="3526"/>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139.51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139.51</v>
      </c>
      <c r="F16" s="2657"/>
      <c r="G16" s="2658"/>
      <c r="H16" s="1647" t="s">
        <v>1135</v>
      </c>
      <c r="I16" s="1648"/>
      <c r="J16" s="1138"/>
      <c r="K16" s="3521" t="s">
        <v>1135</v>
      </c>
      <c r="L16" s="3522"/>
      <c r="M16" s="3522"/>
      <c r="N16" s="3522"/>
      <c r="O16" s="3522"/>
      <c r="P16" s="3523"/>
    </row>
    <row r="17" spans="1:19" ht="15">
      <c r="A17" s="1649" t="s">
        <v>1136</v>
      </c>
      <c r="B17" s="1650" t="s">
        <v>1137</v>
      </c>
      <c r="C17" s="1651" t="s">
        <v>1138</v>
      </c>
      <c r="D17" s="1652" t="s">
        <v>1126</v>
      </c>
      <c r="E17" s="1653" t="s">
        <v>1127</v>
      </c>
      <c r="F17" s="1654"/>
      <c r="G17" s="1655"/>
      <c r="H17" s="1656" t="s">
        <v>1139</v>
      </c>
      <c r="I17" s="1657" t="s">
        <v>1124</v>
      </c>
      <c r="J17" s="1138"/>
      <c r="K17" s="3518" t="s">
        <v>1140</v>
      </c>
      <c r="L17" s="3519"/>
      <c r="M17" s="3520"/>
      <c r="N17" s="3518" t="s">
        <v>1141</v>
      </c>
      <c r="O17" s="3519"/>
      <c r="P17" s="352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7">
        <v>2108</v>
      </c>
      <c r="D19" s="45">
        <f>ROUND($D$3*E19/$E$3,2)</f>
        <v>0</v>
      </c>
      <c r="E19" s="53">
        <f t="shared" ref="E19:E26" si="1">SUM(F19:G19)</f>
        <v>139.51</v>
      </c>
      <c r="F19" s="2793">
        <f>'数据-基础表'!I13</f>
        <v>139.51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139.51</v>
      </c>
    </row>
    <row r="20" spans="1:19">
      <c r="A20" s="1669"/>
      <c r="B20" s="47" t="s">
        <v>1153</v>
      </c>
      <c r="C20" s="3417"/>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7"/>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8"/>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8"/>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8"/>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8"/>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139.51</v>
      </c>
      <c r="F27" s="1139">
        <f>IF(SUM(F19:F26)=E8,SUM(F19:F26),"地上面积有误")</f>
        <v>139.51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139.51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139.51</v>
      </c>
      <c r="F31" s="677">
        <f>F27+F30</f>
        <v>139.51</v>
      </c>
      <c r="G31" s="678">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2108</v>
      </c>
      <c r="B6" s="1712" t="str">
        <f>IF(A6=0,"","经营性")</f>
        <v>经营性</v>
      </c>
      <c r="C6" s="1713" t="s">
        <v>21</v>
      </c>
      <c r="D6" s="858">
        <f>SUMIF(项目基本情况!C$12:I$12,C6,项目基本情况!C$14:I$14)</f>
        <v>50</v>
      </c>
      <c r="E6" s="857">
        <f>IF(B6="","",SUMIF(项目基本情况!C$12:H$12,C6,项目基本情况!C$13:H$13))</f>
        <v>57334</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29">
        <f>SUMIF('数据-汇总表'!C$19:C$33,A6,'数据-汇总表'!E$19:E$33)</f>
        <v>139.51</v>
      </c>
      <c r="L6" s="733">
        <v>3500</v>
      </c>
      <c r="M6" s="67">
        <f t="shared" ref="M6:M14" si="0">ROUND(K6*L6/10000,0)</f>
        <v>49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8">
        <v>7</v>
      </c>
      <c r="V6" s="70">
        <v>2.5000000000000001E-2</v>
      </c>
      <c r="W6" s="70">
        <v>0.1</v>
      </c>
      <c r="X6" s="1039"/>
      <c r="Y6" s="71">
        <f>N6</f>
        <v>0.81</v>
      </c>
      <c r="Z6" s="72"/>
      <c r="AA6" s="66"/>
      <c r="AB6" s="66"/>
      <c r="AC6" s="1039"/>
      <c r="AD6" s="73"/>
      <c r="AE6" s="1040">
        <f ca="1">IF(AN6="",0,SUMIF(INDIRECT("'"&amp;AN6&amp;"'"&amp;"!E:E"),$AE$5,INDIRECT("'"&amp;AN6&amp;"'"&amp;"!F:F")))</f>
        <v>34</v>
      </c>
      <c r="AF6" s="1347"/>
      <c r="AG6" s="138">
        <f>IF(AF6="",0,AE6-AF6)</f>
        <v>0</v>
      </c>
      <c r="AH6" s="74"/>
      <c r="AI6" s="76">
        <v>365</v>
      </c>
      <c r="AJ6" s="77"/>
      <c r="AK6" s="78">
        <v>0.01</v>
      </c>
      <c r="AL6" s="79">
        <v>1E-3</v>
      </c>
      <c r="AM6" s="80">
        <v>0.01</v>
      </c>
      <c r="AN6" s="1714" t="s">
        <v>3381</v>
      </c>
      <c r="AO6" s="52">
        <f ca="1">SUMIF(INDIRECT("'"&amp;AN6&amp;"'"&amp;"!A:A"),"总价",INDIRECT("'"&amp;AN6&amp;"'"&amp;"!B:B"))</f>
        <v>534.50049999999999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8"/>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9"/>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8"/>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8"/>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8"/>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8"/>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0"/>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0.88700000000000001</v>
      </c>
      <c r="H16" s="90">
        <f>ROUND(SUMPRODUCT(H6:H13,K6:K13)/SUMPRODUCT((H6:H13&gt;0)*(K6:K13)),3)</f>
        <v>0.05</v>
      </c>
      <c r="I16" s="91"/>
      <c r="J16" s="91"/>
      <c r="K16" s="92">
        <f>SUM(K6:K15)</f>
        <v>139.51</v>
      </c>
      <c r="L16" s="93">
        <f>ROUND(M16*10000/SUM(K6:K14),0)</f>
        <v>3512</v>
      </c>
      <c r="M16" s="93">
        <f>SUM(M6:M14)</f>
        <v>49</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v>2008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f>ROUND(1-(2022-N19)/60,2)</f>
        <v>0.77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v>0.85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f>ROUND((N20+N21)/2,2)</f>
        <v>0.81</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3382</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33" t="s">
        <v>2285</v>
      </c>
      <c r="B1" s="3534"/>
      <c r="C1" s="3534"/>
      <c r="D1" s="3534"/>
      <c r="E1" s="3534"/>
      <c r="F1" s="3534"/>
      <c r="G1" s="353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2"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44922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1"/>
      <c r="F10" s="3445" t="s">
        <v>3368</v>
      </c>
      <c r="G10" s="3442"/>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5" sqref="L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2" t="str">
        <f>项目基本情况!S2</f>
        <v>北京市房地产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3" t="s">
        <v>1265</v>
      </c>
      <c r="B4" s="1754" t="s">
        <v>1266</v>
      </c>
      <c r="C4" s="1755" t="s">
        <v>3408</v>
      </c>
      <c r="D4" s="1755" t="s">
        <v>3381</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605">
        <v>25</v>
      </c>
      <c r="C5" s="3608"/>
      <c r="D5" s="3596"/>
      <c r="E5" s="131" t="s">
        <v>1269</v>
      </c>
      <c r="F5" s="1756"/>
      <c r="G5" s="1756"/>
      <c r="H5" s="1756"/>
      <c r="I5" s="1372"/>
    </row>
    <row r="6" spans="1:12" ht="12.75">
      <c r="A6" s="3550"/>
      <c r="B6" s="3605"/>
      <c r="C6" s="3610"/>
      <c r="D6" s="3596"/>
      <c r="E6" s="131" t="s">
        <v>1270</v>
      </c>
      <c r="F6" s="1756"/>
      <c r="G6" s="1756"/>
      <c r="H6" s="1756"/>
      <c r="I6" s="1372"/>
    </row>
    <row r="7" spans="1:12" ht="12.75">
      <c r="A7" s="3550"/>
      <c r="B7" s="3605"/>
      <c r="C7" s="3609"/>
      <c r="D7" s="3596"/>
      <c r="E7" s="131" t="s">
        <v>1271</v>
      </c>
      <c r="F7" s="1756"/>
      <c r="G7" s="1756"/>
      <c r="H7" s="1756"/>
      <c r="I7" s="1372"/>
    </row>
    <row r="8" spans="1:12" ht="12.75">
      <c r="A8" s="3550" t="s">
        <v>1272</v>
      </c>
      <c r="B8" s="3605">
        <v>15</v>
      </c>
      <c r="C8" s="3608"/>
      <c r="D8" s="3596"/>
      <c r="E8" s="131" t="s">
        <v>1273</v>
      </c>
      <c r="F8" s="1756"/>
      <c r="G8" s="1756"/>
      <c r="H8" s="1756"/>
      <c r="I8" s="1372"/>
    </row>
    <row r="9" spans="1:12" ht="12.75">
      <c r="A9" s="3550"/>
      <c r="B9" s="3605"/>
      <c r="C9" s="3609"/>
      <c r="D9" s="3596"/>
      <c r="E9" s="131" t="s">
        <v>1274</v>
      </c>
      <c r="F9" s="1756"/>
      <c r="G9" s="1756"/>
      <c r="H9" s="1756"/>
      <c r="I9" s="1372"/>
    </row>
    <row r="10" spans="1:12" ht="12.75">
      <c r="A10" s="3550" t="s">
        <v>1275</v>
      </c>
      <c r="B10" s="3605">
        <v>15</v>
      </c>
      <c r="C10" s="3608"/>
      <c r="D10" s="3596"/>
      <c r="E10" s="131" t="s">
        <v>1276</v>
      </c>
      <c r="F10" s="1756"/>
      <c r="G10" s="1756"/>
      <c r="H10" s="1756"/>
      <c r="I10" s="1372"/>
    </row>
    <row r="11" spans="1:12" ht="12.75">
      <c r="A11" s="3550"/>
      <c r="B11" s="3605"/>
      <c r="C11" s="3609"/>
      <c r="D11" s="3596"/>
      <c r="E11" s="131" t="s">
        <v>1277</v>
      </c>
      <c r="F11" s="1756"/>
      <c r="G11" s="1756"/>
      <c r="H11" s="1756"/>
      <c r="I11" s="1372"/>
    </row>
    <row r="12" spans="1:12" ht="12.75">
      <c r="A12" s="3550" t="s">
        <v>1278</v>
      </c>
      <c r="B12" s="3605">
        <v>15</v>
      </c>
      <c r="C12" s="3608"/>
      <c r="D12" s="3596"/>
      <c r="E12" s="131" t="s">
        <v>1279</v>
      </c>
      <c r="F12" s="1756"/>
      <c r="G12" s="1756"/>
      <c r="H12" s="1756"/>
      <c r="I12" s="1372"/>
    </row>
    <row r="13" spans="1:12" ht="12.75">
      <c r="A13" s="3550"/>
      <c r="B13" s="3605"/>
      <c r="C13" s="3609"/>
      <c r="D13" s="3596"/>
      <c r="E13" s="131" t="s">
        <v>1280</v>
      </c>
      <c r="F13" s="1756"/>
      <c r="G13" s="1756"/>
      <c r="H13" s="1756"/>
      <c r="I13" s="1372"/>
    </row>
    <row r="14" spans="1:12" ht="12.75">
      <c r="A14" s="3550" t="s">
        <v>1281</v>
      </c>
      <c r="B14" s="3605">
        <v>30</v>
      </c>
      <c r="C14" s="3608">
        <v>5</v>
      </c>
      <c r="D14" s="3596">
        <v>5</v>
      </c>
      <c r="E14" s="131" t="s">
        <v>1282</v>
      </c>
      <c r="F14" s="1756"/>
      <c r="G14" s="1756"/>
      <c r="H14" s="1756"/>
      <c r="I14" s="1372"/>
    </row>
    <row r="15" spans="1:12" ht="12.75">
      <c r="A15" s="3550"/>
      <c r="B15" s="3605"/>
      <c r="C15" s="3610"/>
      <c r="D15" s="3596"/>
      <c r="E15" s="131" t="s">
        <v>1283</v>
      </c>
      <c r="F15" s="1756"/>
      <c r="G15" s="1756"/>
      <c r="H15" s="1756"/>
      <c r="I15" s="1372"/>
    </row>
    <row r="16" spans="1:12" ht="12.75">
      <c r="A16" s="3550"/>
      <c r="B16" s="3605"/>
      <c r="C16" s="3609"/>
      <c r="D16" s="359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27" t="s">
        <v>2130</v>
      </c>
      <c r="F18" s="3628"/>
      <c r="G18" s="3628"/>
      <c r="H18" s="3628"/>
      <c r="I18" s="3628"/>
      <c r="K18" s="302" t="s">
        <v>1289</v>
      </c>
      <c r="L18" s="302">
        <f>IF(C1="",'数据-汇总表'!E3,SUMIF(项目类型,C1,'数据-汇总表'!E17:E26)+SUMIF(项目类型,C1,'数据-汇总表'!I17:I26))</f>
        <v>139.51</v>
      </c>
      <c r="M18" s="302">
        <f>IF(C1="",'数据-汇总表'!E3,SUMIF(项目类型,C1,'数据-汇总表'!E17:E26))</f>
        <v>139.51</v>
      </c>
    </row>
    <row r="19" spans="1:36" ht="15">
      <c r="A19" s="1760" t="s">
        <v>1290</v>
      </c>
      <c r="B19" s="1761" t="s">
        <v>1291</v>
      </c>
      <c r="C19" s="134">
        <f ca="1">SUMIF(INDIRECT("'"&amp;C4&amp;"'"&amp;"!A:A"),结果表!B19,INDIRECT("'"&amp;C4&amp;"'"&amp;"!B:B"))</f>
        <v>668.05759999999998</v>
      </c>
      <c r="D19" s="135">
        <f ca="1">SUMIF(INDIRECT("'"&amp;D4&amp;"'"&amp;"!A:A"),结果表!B19,INDIRECT("'"&amp;D4&amp;"'"&amp;"!B:B"))</f>
        <v>534.50049999999999</v>
      </c>
      <c r="E19" s="1760" t="s">
        <v>1292</v>
      </c>
      <c r="F19" s="1761" t="s">
        <v>1291</v>
      </c>
      <c r="G19" s="136">
        <f ca="1">ROUND(C19*$C$18+D19*$D$18,0)</f>
        <v>601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47886</v>
      </c>
      <c r="D20" s="138">
        <f ca="1">SUMIF(INDIRECT("'"&amp;D4&amp;"'"&amp;"!A:A"),结果表!B20,INDIRECT("'"&amp;D4&amp;"'"&amp;"!B:B"))</f>
        <v>38313</v>
      </c>
      <c r="E20" s="1763"/>
      <c r="F20" s="1025" t="s">
        <v>1295</v>
      </c>
      <c r="G20" s="139">
        <f ca="1">ROUND(C20*$C$18+D20*$D$18,0)</f>
        <v>43100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0.24987273164384316</v>
      </c>
      <c r="E22" s="129"/>
      <c r="F22" s="129"/>
      <c r="G22" s="129"/>
      <c r="H22" s="129"/>
      <c r="I22" s="129"/>
    </row>
    <row r="23" spans="1:36" ht="13.5" thickBot="1">
      <c r="A23" s="1746"/>
      <c r="B23" s="1746"/>
      <c r="C23" s="1746"/>
      <c r="D23" s="1746"/>
      <c r="E23" s="129"/>
      <c r="F23" s="129"/>
      <c r="G23" s="129"/>
      <c r="H23" s="129"/>
      <c r="I23" s="129"/>
    </row>
    <row r="24" spans="1:36" ht="14.25">
      <c r="A24" s="3620" t="s">
        <v>1299</v>
      </c>
      <c r="B24" s="1761" t="s">
        <v>1291</v>
      </c>
      <c r="C24" s="136">
        <f>IF(B30=0,0,D30)</f>
        <v>0</v>
      </c>
      <c r="D24" s="1768"/>
      <c r="E24" s="129"/>
      <c r="F24" s="129"/>
      <c r="G24" s="129"/>
      <c r="H24" s="129"/>
      <c r="I24" s="129"/>
    </row>
    <row r="25" spans="1:36" ht="14.25">
      <c r="A25" s="362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43100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7" t="s">
        <v>1312</v>
      </c>
      <c r="B36" s="1786" t="s">
        <v>1313</v>
      </c>
      <c r="C36" s="145"/>
      <c r="D36" s="1787"/>
      <c r="E36" s="1788"/>
      <c r="F36" s="1789"/>
      <c r="G36" s="129"/>
      <c r="H36" s="129"/>
      <c r="I36" s="129"/>
    </row>
    <row r="37" spans="1:15" ht="15.75" thickBot="1">
      <c r="A37" s="3598"/>
      <c r="B37" s="1673" t="s">
        <v>1314</v>
      </c>
      <c r="C37" s="147"/>
      <c r="D37" s="1138"/>
      <c r="E37" s="1138"/>
      <c r="F37" s="1789"/>
      <c r="G37" s="129"/>
      <c r="H37" s="129"/>
      <c r="I37" s="129"/>
    </row>
    <row r="38" spans="1:15" ht="15.75" thickBot="1">
      <c r="A38" s="3599"/>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17" t="s">
        <v>1326</v>
      </c>
      <c r="B45" s="3618"/>
      <c r="C45" s="3619"/>
      <c r="D45" s="155" t="e">
        <f ca="1">ROUND(H101*F45,0)</f>
        <v>#REF!</v>
      </c>
      <c r="E45" s="156" t="s">
        <v>1327</v>
      </c>
      <c r="F45" s="157">
        <v>1</v>
      </c>
      <c r="G45" s="158" t="s">
        <v>1328</v>
      </c>
      <c r="H45" s="129"/>
      <c r="I45" s="129"/>
      <c r="J45" s="3537" t="s">
        <v>1329</v>
      </c>
      <c r="K45" s="3537"/>
      <c r="L45" s="3537"/>
      <c r="M45" s="3537"/>
      <c r="N45" s="3537"/>
      <c r="O45" s="3537"/>
    </row>
    <row r="46" spans="1:15" ht="14.25" customHeight="1">
      <c r="A46" s="3614" t="s">
        <v>1330</v>
      </c>
      <c r="B46" s="3615"/>
      <c r="C46" s="3615"/>
      <c r="D46" s="3615"/>
      <c r="E46" s="3615"/>
      <c r="F46" s="3615"/>
      <c r="G46" s="3616"/>
      <c r="H46" s="1805"/>
      <c r="I46" s="159"/>
      <c r="J46" s="2521">
        <v>1</v>
      </c>
      <c r="K46" s="3538" t="s">
        <v>1331</v>
      </c>
      <c r="L46" s="3538"/>
      <c r="M46" s="3539"/>
      <c r="N46" s="3539"/>
      <c r="O46" s="3539"/>
    </row>
    <row r="47" spans="1:15" ht="12" customHeight="1">
      <c r="A47" s="160" t="s">
        <v>1332</v>
      </c>
      <c r="B47" s="161"/>
      <c r="C47" s="162"/>
      <c r="D47" s="1086" t="s">
        <v>1333</v>
      </c>
      <c r="E47" s="302" t="s">
        <v>1334</v>
      </c>
      <c r="F47" s="163" t="s">
        <v>1335</v>
      </c>
      <c r="G47" s="2544" t="s">
        <v>1336</v>
      </c>
      <c r="H47" s="2545"/>
      <c r="I47" s="159"/>
      <c r="J47" s="2521">
        <v>2</v>
      </c>
      <c r="K47" s="3538" t="s">
        <v>1337</v>
      </c>
      <c r="L47" s="3538"/>
      <c r="M47" s="3540">
        <f>'数据-取费表'!B2</f>
        <v>44922</v>
      </c>
      <c r="N47" s="3540"/>
      <c r="O47" s="3540"/>
    </row>
    <row r="48" spans="1:15" ht="25.5">
      <c r="A48" s="3600" t="s">
        <v>1338</v>
      </c>
      <c r="B48" s="3601"/>
      <c r="C48" s="360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38" t="s">
        <v>1340</v>
      </c>
      <c r="L48" s="3538"/>
      <c r="M48" s="3541" t="e">
        <f ca="1">H101</f>
        <v>#REF!</v>
      </c>
      <c r="N48" s="3541"/>
      <c r="O48" s="3541"/>
    </row>
    <row r="49" spans="1:35" ht="25.5" customHeight="1">
      <c r="A49" s="2331" t="s">
        <v>1341</v>
      </c>
      <c r="B49" s="3586" t="s">
        <v>1342</v>
      </c>
      <c r="C49" s="3586"/>
      <c r="D49" s="1589">
        <v>0</v>
      </c>
      <c r="E49" s="324" t="s">
        <v>1343</v>
      </c>
      <c r="F49" s="2422" t="s">
        <v>28</v>
      </c>
      <c r="G49" s="3569"/>
      <c r="H49" s="2308" t="s">
        <v>2133</v>
      </c>
      <c r="I49" s="2309"/>
      <c r="J49" s="2521">
        <v>4</v>
      </c>
      <c r="K49" s="3538" t="str">
        <f>IF(项目基本情况!E8="房地产抵押价值","房地产抵押价值","抵押担保权已注销时的房地产抵押价值")</f>
        <v>房地产抵押价值</v>
      </c>
      <c r="L49" s="3538"/>
      <c r="M49" s="3541" t="str">
        <f ca="1">IF(项目基本情况!E8="房地产抵押价值",H107,H109)</f>
        <v>——</v>
      </c>
      <c r="N49" s="3541"/>
      <c r="O49" s="3541"/>
    </row>
    <row r="50" spans="1:35" ht="25.5" customHeight="1">
      <c r="A50" s="2549"/>
      <c r="B50" s="3586" t="s">
        <v>1344</v>
      </c>
      <c r="C50" s="3586"/>
      <c r="D50" s="2550"/>
      <c r="E50" s="332"/>
      <c r="F50" s="2422"/>
      <c r="G50" s="3570"/>
      <c r="H50" s="2310" t="s">
        <v>2134</v>
      </c>
      <c r="I50" s="2309"/>
      <c r="J50" s="3537" t="s">
        <v>1345</v>
      </c>
      <c r="K50" s="3537"/>
      <c r="L50" s="3537"/>
      <c r="M50" s="3537"/>
      <c r="N50" s="3537"/>
      <c r="O50" s="3537"/>
    </row>
    <row r="51" spans="1:35" ht="20.45" customHeight="1">
      <c r="A51" s="2551"/>
      <c r="B51" s="3586" t="s">
        <v>1346</v>
      </c>
      <c r="C51" s="3586"/>
      <c r="D51" s="1086"/>
      <c r="E51" s="327"/>
      <c r="F51" s="2422"/>
      <c r="G51" s="3571"/>
      <c r="H51" s="2310" t="s">
        <v>2135</v>
      </c>
      <c r="I51" s="2309"/>
      <c r="J51" s="2522" t="s">
        <v>1347</v>
      </c>
      <c r="K51" s="3538" t="s">
        <v>1348</v>
      </c>
      <c r="L51" s="3538"/>
      <c r="M51" s="2522" t="s">
        <v>1349</v>
      </c>
      <c r="N51" s="2522" t="s">
        <v>1350</v>
      </c>
      <c r="O51" s="2522" t="s">
        <v>1351</v>
      </c>
    </row>
    <row r="52" spans="1:35" ht="24" customHeight="1">
      <c r="A52" s="2333" t="s">
        <v>1352</v>
      </c>
      <c r="B52" s="3586" t="s">
        <v>1353</v>
      </c>
      <c r="C52" s="3586"/>
      <c r="D52" s="1086" t="e">
        <f ca="1">ROUND(D45*'数据-取费表'!B41/(1+'数据-取费表'!C42),0)</f>
        <v>#REF!</v>
      </c>
      <c r="E52" s="2332" t="s">
        <v>1354</v>
      </c>
      <c r="F52" s="2552">
        <f>'数据-取费表'!B41</f>
        <v>5.6000000000000001E-2</v>
      </c>
      <c r="G52" s="2553"/>
      <c r="H52" s="2542"/>
      <c r="I52" s="1806"/>
      <c r="J52" s="2521">
        <v>1</v>
      </c>
      <c r="K52" s="3563" t="s">
        <v>1355</v>
      </c>
      <c r="L52" s="3563"/>
      <c r="M52" s="2523" t="b">
        <f>D48</f>
        <v>0</v>
      </c>
      <c r="N52" s="2521" t="str">
        <f>E48</f>
        <v>销售额×税（费）率</v>
      </c>
      <c r="O52" s="2524">
        <f>F48</f>
        <v>5.6000000000000001E-2</v>
      </c>
    </row>
    <row r="53" spans="1:35" ht="12" customHeight="1">
      <c r="A53" s="2333" t="s">
        <v>1356</v>
      </c>
      <c r="B53" s="3587" t="s">
        <v>2290</v>
      </c>
      <c r="C53" s="3588"/>
      <c r="D53" s="1086" t="e">
        <f ca="1">ROUND(D45*'数据-取费表'!B41/(1+'数据-取费表'!C42),0)</f>
        <v>#REF!</v>
      </c>
      <c r="E53" s="2332" t="s">
        <v>1354</v>
      </c>
      <c r="F53" s="2552">
        <f>'数据-取费表'!B41</f>
        <v>5.6000000000000001E-2</v>
      </c>
      <c r="G53" s="2553"/>
      <c r="H53" s="2542"/>
      <c r="I53" s="1806"/>
      <c r="J53" s="2521">
        <v>2</v>
      </c>
      <c r="K53" s="3563" t="s">
        <v>1357</v>
      </c>
      <c r="L53" s="3563"/>
      <c r="M53" s="2523" t="e">
        <f t="shared" ref="M53:O54" ca="1" si="0">D55</f>
        <v>#REF!</v>
      </c>
      <c r="N53" s="2521" t="str">
        <f t="shared" si="0"/>
        <v>销售额×税（费）率</v>
      </c>
      <c r="O53" s="2524" t="str">
        <f t="shared" si="0"/>
        <v>免征</v>
      </c>
    </row>
    <row r="54" spans="1:35" ht="12" customHeight="1">
      <c r="A54" s="2333" t="s">
        <v>1358</v>
      </c>
      <c r="B54" s="3587" t="s">
        <v>2291</v>
      </c>
      <c r="C54" s="3588"/>
      <c r="D54" s="1086" t="e">
        <f ca="1">C68</f>
        <v>#REF!</v>
      </c>
      <c r="E54" s="327" t="s">
        <v>1359</v>
      </c>
      <c r="F54" s="2552">
        <f>'数据-取费表'!B41</f>
        <v>5.6000000000000001E-2</v>
      </c>
      <c r="G54" s="2553"/>
      <c r="H54" s="2554"/>
      <c r="I54" s="1806"/>
      <c r="J54" s="2521">
        <v>3</v>
      </c>
      <c r="K54" s="3563" t="s">
        <v>1360</v>
      </c>
      <c r="L54" s="3563"/>
      <c r="M54" s="2523" t="e">
        <f t="shared" ca="1" si="0"/>
        <v>#REF!</v>
      </c>
      <c r="N54" s="2521" t="str">
        <f t="shared" si="0"/>
        <v>增值额×税（费）率</v>
      </c>
      <c r="O54" s="2525" t="str">
        <f t="shared" si="0"/>
        <v>免征</v>
      </c>
    </row>
    <row r="55" spans="1:35" ht="24" customHeight="1">
      <c r="A55" s="3623" t="s">
        <v>1361</v>
      </c>
      <c r="B55" s="3601"/>
      <c r="C55" s="3601"/>
      <c r="D55" s="2322" t="e">
        <f ca="1">IF(H55="个人住宅",0,ROUND(D45*I55,0))</f>
        <v>#REF!</v>
      </c>
      <c r="E55" s="2332" t="s">
        <v>1362</v>
      </c>
      <c r="F55" s="2552" t="str">
        <f>IF(H55="正常",I55,"免征")</f>
        <v>免征</v>
      </c>
      <c r="G55" s="2553"/>
      <c r="H55" s="2548"/>
      <c r="I55" s="165">
        <f>'数据-取费表'!B49</f>
        <v>5.0000000000000001E-4</v>
      </c>
      <c r="J55" s="2521">
        <f>IF(H59="非个人房产","",4)</f>
        <v>4</v>
      </c>
      <c r="K55" s="3563" t="str">
        <f>IF(H59="非个人房产","——","个人所得税")</f>
        <v>个人所得税</v>
      </c>
      <c r="L55" s="3563"/>
      <c r="M55" s="2526" t="e">
        <f ca="1">D59</f>
        <v>#REF!</v>
      </c>
      <c r="N55" s="2038" t="str">
        <f>E59</f>
        <v>差额计税</v>
      </c>
      <c r="O55" s="2527">
        <f>F59</f>
        <v>0.01</v>
      </c>
    </row>
    <row r="56" spans="1:35" ht="24.75">
      <c r="A56" s="3623" t="s">
        <v>1363</v>
      </c>
      <c r="B56" s="3601"/>
      <c r="C56" s="3601"/>
      <c r="D56" s="2322" t="e">
        <f ca="1">IF(H56="个人住宅",D57,D58)</f>
        <v>#REF!</v>
      </c>
      <c r="E56" s="2332" t="s">
        <v>1364</v>
      </c>
      <c r="F56" s="2552" t="str">
        <f>IF(H56="正常",F58,"免征")</f>
        <v>免征</v>
      </c>
      <c r="G56" s="2555" t="s">
        <v>1365</v>
      </c>
      <c r="H56" s="2556"/>
      <c r="I56" s="1807"/>
      <c r="J56" s="2521" t="str">
        <f>IF(项目基本情况!K6="上海银行",IF(J55="",4,J55+1),"")</f>
        <v/>
      </c>
      <c r="K56" s="3544" t="str">
        <f>IF(项目基本情况!K6="上海银行","其他处置费用","")</f>
        <v/>
      </c>
      <c r="L56" s="3545"/>
      <c r="M56" s="2523" t="str">
        <f>IF(项目基本情况!K6="上海银行",M69,"")</f>
        <v/>
      </c>
      <c r="N56" s="3544" t="str">
        <f>IF(项目基本情况!K6="上海银行","包含处置中涉及的律师、诉讼、拍卖、评估等费用","")</f>
        <v/>
      </c>
      <c r="O56" s="3547"/>
    </row>
    <row r="57" spans="1:35" ht="12.75">
      <c r="A57" s="2333" t="s">
        <v>1341</v>
      </c>
      <c r="B57" s="3587" t="s">
        <v>1366</v>
      </c>
      <c r="C57" s="3588"/>
      <c r="D57" s="1589">
        <v>0</v>
      </c>
      <c r="E57" s="324" t="s">
        <v>1343</v>
      </c>
      <c r="F57" s="302"/>
      <c r="G57" s="2553"/>
      <c r="H57" s="2557"/>
      <c r="I57" s="1807"/>
      <c r="J57" s="3563">
        <f>IF(AND(J55="",J56=""),4,IF(项目基本情况!K6="上海银行",结果表!J56+1,结果表!J55+1))</f>
        <v>5</v>
      </c>
      <c r="K57" s="3563" t="s">
        <v>1367</v>
      </c>
      <c r="L57" s="2528" t="s">
        <v>1368</v>
      </c>
      <c r="M57" s="2529"/>
      <c r="N57" s="2530">
        <f ca="1">SUMIF(M52:M56,"&lt;9e307")</f>
        <v>0</v>
      </c>
      <c r="O57" s="2531"/>
      <c r="P57" s="2688" t="e">
        <f ca="1">N57/M49</f>
        <v>#VALUE!</v>
      </c>
    </row>
    <row r="58" spans="1:35" ht="24.75">
      <c r="A58" s="2333" t="s">
        <v>1352</v>
      </c>
      <c r="B58" s="3587" t="s">
        <v>1369</v>
      </c>
      <c r="C58" s="3586"/>
      <c r="D58" s="2322" t="e">
        <f ca="1">IF(H58="转让取得",C81,C97)</f>
        <v>#REF!</v>
      </c>
      <c r="E58" s="2332" t="s">
        <v>1364</v>
      </c>
      <c r="F58" s="302" t="s">
        <v>28</v>
      </c>
      <c r="G58" s="2553"/>
      <c r="H58" s="2556"/>
      <c r="I58" s="1807"/>
      <c r="J58" s="3563"/>
      <c r="K58" s="3563"/>
      <c r="L58" s="2528" t="s">
        <v>1370</v>
      </c>
      <c r="M58" s="2532"/>
      <c r="N58" s="2533" t="str">
        <f ca="1">NUMBERSTRING(INT(N57*10000),2)&amp;"元整"</f>
        <v>零元整</v>
      </c>
      <c r="O58" s="2534"/>
    </row>
    <row r="59" spans="1:35" ht="24.75" thickBot="1">
      <c r="A59" s="3567" t="s">
        <v>1371</v>
      </c>
      <c r="B59" s="3568"/>
      <c r="C59" s="356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5">
        <f>J57+1</f>
        <v>6</v>
      </c>
      <c r="K59" s="3563" t="s">
        <v>1372</v>
      </c>
      <c r="L59" s="2521" t="s">
        <v>1368</v>
      </c>
      <c r="M59" s="2535"/>
      <c r="N59" s="2536" t="e">
        <f ca="1">M49-N57</f>
        <v>#VALUE!</v>
      </c>
      <c r="O59" s="2537"/>
    </row>
    <row r="60" spans="1:35" ht="12" customHeight="1">
      <c r="A60" s="1808"/>
      <c r="B60" s="1746"/>
      <c r="C60" s="1746"/>
      <c r="D60" s="1746"/>
      <c r="E60" s="1577"/>
      <c r="F60" s="1807"/>
      <c r="G60" s="1807"/>
      <c r="H60" s="1809"/>
      <c r="I60" s="129"/>
      <c r="J60" s="3566"/>
      <c r="K60" s="3563"/>
      <c r="L60" s="2528" t="s">
        <v>1370</v>
      </c>
      <c r="M60" s="2532"/>
      <c r="N60" s="2533" t="e">
        <f ca="1">NUMBERSTRING(INT(N59*10000),2)&amp;"元整"</f>
        <v>#VALUE!</v>
      </c>
      <c r="O60" s="2534"/>
    </row>
    <row r="61" spans="1:35" ht="13.5" thickBot="1">
      <c r="A61" s="3622" t="s">
        <v>1373</v>
      </c>
      <c r="B61" s="3622"/>
      <c r="C61" s="3622"/>
      <c r="D61" s="3622"/>
      <c r="E61" s="3622"/>
      <c r="F61" s="1807"/>
      <c r="G61" s="1807"/>
      <c r="H61" s="1809"/>
      <c r="I61" s="129"/>
      <c r="J61" s="2521">
        <f>J59+1</f>
        <v>7</v>
      </c>
      <c r="K61" s="3563" t="s">
        <v>1374</v>
      </c>
      <c r="L61" s="3563"/>
      <c r="M61" s="2538"/>
      <c r="N61" s="2539" t="e">
        <f ca="1">ROUND(N59*10000/'数据-汇总表'!E3,0)</f>
        <v>#VALUE!</v>
      </c>
      <c r="O61" s="2540"/>
    </row>
    <row r="62" spans="1:35" ht="12.75">
      <c r="A62" s="3582" t="s">
        <v>1375</v>
      </c>
      <c r="B62" s="3583"/>
      <c r="C62" s="2019"/>
      <c r="D62" s="2019" t="s">
        <v>1376</v>
      </c>
      <c r="E62" s="166" t="s">
        <v>1377</v>
      </c>
      <c r="F62" s="1807"/>
      <c r="G62" s="1807"/>
      <c r="H62" s="1809"/>
      <c r="I62" s="129"/>
    </row>
    <row r="63" spans="1:35" ht="12.75">
      <c r="A63" s="173" t="s">
        <v>330</v>
      </c>
      <c r="B63" s="167" t="s">
        <v>1378</v>
      </c>
      <c r="C63" s="2562" t="e">
        <f ca="1">ROUND((C64+C65)/(1+'数据-取费表'!C42),0)</f>
        <v>#REF!</v>
      </c>
      <c r="D63" s="167"/>
      <c r="E63" s="168"/>
      <c r="F63" s="1807"/>
      <c r="G63" s="1807"/>
      <c r="H63" s="1809"/>
      <c r="I63" s="129"/>
      <c r="J63" s="3546" t="s">
        <v>1379</v>
      </c>
      <c r="K63" s="1331" t="s">
        <v>1380</v>
      </c>
      <c r="L63" s="1331" t="e">
        <f ca="1">IF(M49&gt;10000,M49*0.5%,IF(AND(M49&gt;1000,M49&lt;=10000),M49*1%,IF(AND(M49&gt;100,M49&lt;=1000),M49*3%,IF(AND(M49&gt;10,M49&lt;=100),M49*5%,M49*8%))))</f>
        <v>#VALUE!</v>
      </c>
      <c r="M63" s="302" t="e">
        <f ca="1">ROUND(L63,1)</f>
        <v>#VALUE!</v>
      </c>
      <c r="N63" s="2541"/>
      <c r="Z63" s="1751"/>
      <c r="AI63" s="1752"/>
    </row>
    <row r="64" spans="1:35" ht="14.25" customHeight="1">
      <c r="A64" s="169" t="s">
        <v>325</v>
      </c>
      <c r="B64" s="170" t="s">
        <v>1381</v>
      </c>
      <c r="C64" s="2563" t="e">
        <f ca="1">D45</f>
        <v>#REF!</v>
      </c>
      <c r="D64" s="170" t="s">
        <v>26</v>
      </c>
      <c r="E64" s="172"/>
      <c r="F64" s="1807"/>
      <c r="G64" s="1807"/>
      <c r="H64" s="1809"/>
      <c r="I64" s="129"/>
      <c r="J64" s="35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1"/>
      <c r="AI64" s="1752"/>
    </row>
    <row r="65" spans="1:35" ht="14.25" customHeight="1">
      <c r="A65" s="169" t="s">
        <v>326</v>
      </c>
      <c r="B65" s="170" t="s">
        <v>1384</v>
      </c>
      <c r="C65" s="2564"/>
      <c r="D65" s="170"/>
      <c r="E65" s="172"/>
      <c r="F65" s="1807"/>
      <c r="G65" s="1807"/>
      <c r="H65" s="1809"/>
      <c r="I65" s="129"/>
      <c r="J65" s="3546"/>
      <c r="K65" s="1331" t="s">
        <v>1385</v>
      </c>
      <c r="L65" s="1331" t="e">
        <f ca="1">IF(M49&gt;1000,M49*0.1%,IF(AND(M49&gt;500,M49&lt;=1000),M49*0.5%,IF(AND(M49&gt;50,M49&lt;=500),M49*1%,IF(AND(M49&gt;1,M49&lt;=50),M49*1.5%))))</f>
        <v>#VALUE!</v>
      </c>
      <c r="M65" s="302" t="e">
        <f t="shared" ca="1" si="1"/>
        <v>#VALUE!</v>
      </c>
      <c r="N65" s="2542" t="s">
        <v>1383</v>
      </c>
      <c r="Z65" s="1751"/>
      <c r="AI65" s="1752"/>
    </row>
    <row r="66" spans="1:35" ht="14.25" customHeight="1">
      <c r="A66" s="173" t="s">
        <v>327</v>
      </c>
      <c r="B66" s="174" t="s">
        <v>1386</v>
      </c>
      <c r="C66" s="2565"/>
      <c r="D66" s="174" t="s">
        <v>26</v>
      </c>
      <c r="E66" s="1337" t="s">
        <v>671</v>
      </c>
      <c r="F66" s="1807"/>
      <c r="G66" s="1807"/>
      <c r="H66" s="1809"/>
      <c r="I66" s="129"/>
      <c r="J66" s="3546"/>
      <c r="K66" s="1331" t="s">
        <v>1387</v>
      </c>
      <c r="L66" s="1331" t="e">
        <f ca="1">M49*0.5%</f>
        <v>#VALUE!</v>
      </c>
      <c r="M66" s="302" t="e">
        <f ca="1">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5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1"/>
      <c r="AI67" s="1752"/>
    </row>
    <row r="68" spans="1:35" ht="14.25" customHeight="1" thickBot="1">
      <c r="A68" s="176" t="s">
        <v>329</v>
      </c>
      <c r="B68" s="177" t="s">
        <v>1391</v>
      </c>
      <c r="C68" s="2567" t="e">
        <f ca="1">IF(C67&lt;=0,0,ROUND(C67*D68,0))</f>
        <v>#REF!</v>
      </c>
      <c r="D68" s="2568">
        <f>'数据-取费表'!B41</f>
        <v>5.6000000000000001E-2</v>
      </c>
      <c r="E68" s="178"/>
      <c r="F68" s="1807"/>
      <c r="G68" s="1807"/>
      <c r="H68" s="1809"/>
      <c r="I68" s="129"/>
      <c r="J68" s="3546"/>
      <c r="K68" s="1331" t="s">
        <v>1392</v>
      </c>
      <c r="L68" s="1331" t="e">
        <f ca="1">IF(M49&gt;10000,M49*0.5%,IF(AND(M49&gt;5000,M49&lt;=10000),M49*1%,IF(AND(M49&gt;1000,M49&lt;=5000),M49*2%,IF(AND(M49&gt;200,M49&lt;=1000),M49*3%,M49*5%))))</f>
        <v>#VALUE!</v>
      </c>
      <c r="M68" s="302" t="e">
        <f ca="1">ROUND(L68,1)</f>
        <v>#VALUE!</v>
      </c>
      <c r="N68" s="2541"/>
      <c r="Z68" s="1751"/>
      <c r="AI68" s="1752"/>
    </row>
    <row r="69" spans="1:35" s="1771" customFormat="1" ht="16.5" customHeight="1">
      <c r="A69" s="1810"/>
      <c r="B69" s="1811"/>
      <c r="C69" s="1812"/>
      <c r="D69" s="1813"/>
      <c r="E69" s="1814"/>
      <c r="F69" s="1577"/>
      <c r="G69" s="1577"/>
      <c r="H69" s="1576"/>
      <c r="I69" s="1746"/>
      <c r="J69" s="3546"/>
      <c r="K69" s="1331" t="s">
        <v>1393</v>
      </c>
      <c r="L69" s="1331"/>
      <c r="M69" s="302" t="e">
        <f ca="1">ROUND(SUM(M63:M68),0)</f>
        <v>#VALUE!</v>
      </c>
      <c r="N69" s="2543"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0" t="s">
        <v>1394</v>
      </c>
      <c r="B70" s="3591"/>
      <c r="C70" s="3591"/>
      <c r="D70" s="3591"/>
      <c r="E70" s="3591"/>
      <c r="F70" s="3591"/>
      <c r="G70" s="3591"/>
      <c r="H70" s="359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2" t="s">
        <v>1375</v>
      </c>
      <c r="B71" s="3583"/>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t="e">
        <f ca="1">ROUND(D45/(1+'数据-取费表'!C42),0)</f>
        <v>#REF!</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t="e">
        <f ca="1">C74+C78</f>
        <v>#REF!</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7" t="s">
        <v>1402</v>
      </c>
      <c r="F76" s="3586"/>
      <c r="G76" s="3586"/>
      <c r="H76" s="358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6.000000000000001E-3</v>
      </c>
      <c r="E78" s="3579" t="s">
        <v>1406</v>
      </c>
      <c r="F78" s="3580"/>
      <c r="G78" s="3580"/>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t="e">
        <f ca="1">C72-C73</f>
        <v>#REF!</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0" t="s">
        <v>1410</v>
      </c>
      <c r="B83" s="3591"/>
      <c r="C83" s="3591"/>
      <c r="D83" s="3591"/>
      <c r="E83" s="3591"/>
      <c r="F83" s="3591"/>
      <c r="G83" s="3591"/>
      <c r="H83" s="359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2" t="s">
        <v>1375</v>
      </c>
      <c r="B84" s="3583"/>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t="e">
        <f ca="1">ROUND(D45/(1+'数据-取费表'!C42),0)</f>
        <v>#REF!</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t="e">
        <f ca="1">IF(H88="仅含出让金",C87+C90+C91+C92+C93+C94,C87+C91+C92+C93+C94)</f>
        <v>#REF!</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48" t="s">
        <v>2128</v>
      </c>
      <c r="H90" s="3549"/>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79" t="s">
        <v>1419</v>
      </c>
      <c r="F91" s="3580"/>
      <c r="G91" s="358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79" t="s">
        <v>1422</v>
      </c>
      <c r="F92" s="3580"/>
      <c r="G92" s="3580"/>
      <c r="H92" s="3581"/>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6.000000000000001E-3</v>
      </c>
      <c r="E93" s="3579" t="s">
        <v>1406</v>
      </c>
      <c r="F93" s="3580"/>
      <c r="G93" s="3580"/>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24" t="s">
        <v>1426</v>
      </c>
      <c r="F94" s="3625"/>
      <c r="G94" s="3625"/>
      <c r="H94" s="362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t="e">
        <f ca="1">ROUND(C85-C86,0)</f>
        <v>#REF!</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29" t="s">
        <v>1428</v>
      </c>
      <c r="B100" s="3530"/>
      <c r="C100" s="3530"/>
      <c r="D100" s="3564"/>
      <c r="E100" s="3530" t="s">
        <v>1429</v>
      </c>
      <c r="F100" s="3530"/>
      <c r="G100" s="3530"/>
      <c r="H100" s="3564"/>
      <c r="I100" s="129"/>
    </row>
    <row r="101" spans="1:35" ht="18.75" customHeight="1">
      <c r="A101" s="3572" t="s">
        <v>1430</v>
      </c>
      <c r="B101" s="3573"/>
      <c r="C101" s="2583" t="str">
        <f>C4</f>
        <v>比较法-办公</v>
      </c>
      <c r="D101" s="2584" t="str">
        <f>D4</f>
        <v>收益法 (元)</v>
      </c>
      <c r="E101" s="3542" t="s">
        <v>1431</v>
      </c>
      <c r="F101" s="3543"/>
      <c r="G101" s="1826" t="s">
        <v>1432</v>
      </c>
      <c r="H101" s="2593" t="e">
        <f ca="1">H118</f>
        <v>#REF!</v>
      </c>
      <c r="I101" s="129"/>
    </row>
    <row r="102" spans="1:35" ht="18.75" customHeight="1">
      <c r="A102" s="3574" t="s">
        <v>1433</v>
      </c>
      <c r="B102" s="2582" t="s">
        <v>1432</v>
      </c>
      <c r="C102" s="2583">
        <f ca="1">IF(D32="楼面单价",ROUND(C19,0),C19)</f>
        <v>668.05759999999998</v>
      </c>
      <c r="D102" s="2584">
        <f ca="1">IF(D32="楼面单价",ROUND(D19,0),D19)</f>
        <v>534.50049999999999</v>
      </c>
      <c r="E102" s="3542"/>
      <c r="F102" s="3543"/>
      <c r="G102" s="1826" t="s">
        <v>1434</v>
      </c>
      <c r="H102" s="2553" t="e">
        <f ca="1">I118</f>
        <v>#REF!</v>
      </c>
      <c r="I102" s="129"/>
    </row>
    <row r="103" spans="1:35" ht="42.75" customHeight="1">
      <c r="A103" s="3574"/>
      <c r="B103" s="2582" t="s">
        <v>1434</v>
      </c>
      <c r="C103" s="2585">
        <f ca="1">C20</f>
        <v>47886</v>
      </c>
      <c r="D103" s="2586">
        <f ca="1">D20</f>
        <v>38313</v>
      </c>
      <c r="E103" s="3535" t="s">
        <v>1435</v>
      </c>
      <c r="F103" s="3536"/>
      <c r="G103" s="1827" t="s">
        <v>1436</v>
      </c>
      <c r="H103" s="2593">
        <f>IF(D36="正常操作",H104+H105+H106,H105+H106)</f>
        <v>0</v>
      </c>
      <c r="I103" s="129"/>
    </row>
    <row r="104" spans="1:35" ht="18.75" customHeight="1">
      <c r="A104" s="3574"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584"/>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75" t="str">
        <f>IF(项目基本情况!E8="已注销","——","3.房地产抵押价值")</f>
        <v>3.房地产抵押价值</v>
      </c>
      <c r="F107" s="3543"/>
      <c r="G107" s="1826" t="s">
        <v>1432</v>
      </c>
      <c r="H107" s="2593" t="e">
        <f ca="1">IF(E107="——","——",H101-H103)</f>
        <v>#REF!</v>
      </c>
      <c r="I107" s="129"/>
    </row>
    <row r="108" spans="1:35" ht="18.75" customHeight="1">
      <c r="A108" s="129"/>
      <c r="B108" s="129"/>
      <c r="C108" s="129"/>
      <c r="D108" s="129"/>
      <c r="E108" s="3575"/>
      <c r="F108" s="3543"/>
      <c r="G108" s="1826" t="s">
        <v>1434</v>
      </c>
      <c r="H108" s="2553">
        <f ca="1">IF(H107=H101,H102,ROUND(H107*10000/'数据-汇总表'!E3,0))</f>
        <v>0</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6" t="s">
        <v>1432</v>
      </c>
      <c r="H109" s="2596" t="str">
        <f>IF(E109="——","——",H101-H105-H106)</f>
        <v>——</v>
      </c>
      <c r="I109" s="129"/>
    </row>
    <row r="110" spans="1:35" ht="18.75" customHeight="1">
      <c r="A110" s="129"/>
      <c r="B110" s="129"/>
      <c r="C110" s="129"/>
      <c r="D110" s="129"/>
      <c r="E110" s="3575"/>
      <c r="F110" s="3543"/>
      <c r="G110" s="1826" t="s">
        <v>1434</v>
      </c>
      <c r="H110" s="2553"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6" t="s">
        <v>1432</v>
      </c>
      <c r="H111" s="2593" t="str">
        <f>IF(E111="——","——",N59)</f>
        <v>——</v>
      </c>
      <c r="I111" s="129"/>
    </row>
    <row r="112" spans="1:35" ht="18.75" customHeight="1" thickBot="1">
      <c r="A112" s="129"/>
      <c r="B112" s="129"/>
      <c r="C112" s="129"/>
      <c r="D112" s="129"/>
      <c r="E112" s="3577"/>
      <c r="F112" s="3578"/>
      <c r="G112" s="1829" t="s">
        <v>1434</v>
      </c>
      <c r="H112" s="2597" t="str">
        <f>IF(E111="——","——",N61)</f>
        <v>——</v>
      </c>
      <c r="I112" s="129"/>
    </row>
    <row r="113" spans="1:27" ht="18.75" customHeight="1">
      <c r="A113" s="129"/>
      <c r="B113" s="129"/>
      <c r="C113" s="129"/>
      <c r="D113" s="129"/>
      <c r="E113" s="3585" t="s">
        <v>1440</v>
      </c>
      <c r="F113" s="3585"/>
      <c r="G113" s="3585"/>
      <c r="H113" s="3585"/>
      <c r="I113" s="129"/>
    </row>
    <row r="114" spans="1:27" ht="3.75" customHeight="1">
      <c r="A114" s="1746"/>
      <c r="B114" s="1746"/>
      <c r="C114" s="1746"/>
      <c r="D114" s="1746"/>
      <c r="E114" s="1808"/>
      <c r="F114" s="1808"/>
      <c r="G114" s="1808"/>
      <c r="H114" s="1808"/>
      <c r="I114" s="1746"/>
    </row>
    <row r="115" spans="1:27" ht="18.75" customHeight="1">
      <c r="A115" s="3593" t="s">
        <v>1442</v>
      </c>
      <c r="B115" s="3594"/>
      <c r="C115" s="3594"/>
      <c r="D115" s="3594"/>
      <c r="E115" s="3594"/>
      <c r="F115" s="3594"/>
      <c r="G115" s="3594"/>
      <c r="H115" s="3594"/>
      <c r="I115" s="3595"/>
    </row>
    <row r="116" spans="1:27" ht="27" customHeight="1">
      <c r="A116" s="3550" t="s">
        <v>1443</v>
      </c>
      <c r="B116" s="3554" t="s">
        <v>1444</v>
      </c>
      <c r="C116" s="3554" t="s">
        <v>1445</v>
      </c>
      <c r="D116" s="3560" t="s">
        <v>1446</v>
      </c>
      <c r="E116" s="3561"/>
      <c r="F116" s="3592" t="s">
        <v>1447</v>
      </c>
      <c r="G116" s="3592"/>
      <c r="H116" s="3550" t="s">
        <v>1448</v>
      </c>
      <c r="I116" s="3550"/>
    </row>
    <row r="117" spans="1:27" ht="18.75" customHeight="1">
      <c r="A117" s="3550"/>
      <c r="B117" s="3555"/>
      <c r="C117" s="3555"/>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139.51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50" t="s">
        <v>1452</v>
      </c>
      <c r="B119" s="3550"/>
      <c r="C119" s="3550"/>
      <c r="D119" s="3556" t="e">
        <f ca="1">NUMBERSTRING(INT(D118*10000),2)&amp;"元整"</f>
        <v>#REF!</v>
      </c>
      <c r="E119" s="3557"/>
      <c r="F119" s="3556" t="e">
        <f ca="1">NUMBERSTRING(INT(F118*10000),2)&amp;"元整"</f>
        <v>#REF!</v>
      </c>
      <c r="G119" s="3557"/>
      <c r="H119" s="3556" t="e">
        <f ca="1">NUMBERSTRING(INT(H118*10000),2)&amp;"元整"</f>
        <v>#REF!</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6" t="s">
        <v>1452</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房地产抵押价值</v>
      </c>
      <c r="B122" s="3562"/>
      <c r="C122" s="3562"/>
      <c r="D122" s="3551" t="e">
        <f ca="1">H107</f>
        <v>#REF!</v>
      </c>
      <c r="E122" s="3552"/>
      <c r="F122" s="3552"/>
      <c r="G122" s="3552"/>
      <c r="H122" s="3552"/>
      <c r="I122" s="3553"/>
      <c r="AA122" s="725"/>
    </row>
    <row r="123" spans="1:27" ht="18.75" customHeight="1">
      <c r="A123" s="3550" t="s">
        <v>1452</v>
      </c>
      <c r="B123" s="3550"/>
      <c r="C123" s="3550"/>
      <c r="D123" s="3556" t="e">
        <f ca="1">NUMBERSTRING(INT(D122*10000),2)&amp;"元整"</f>
        <v>#REF!</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1452</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t="str">
        <f>H111</f>
        <v>——</v>
      </c>
      <c r="E126" s="3552"/>
      <c r="F126" s="3552"/>
      <c r="G126" s="3552"/>
      <c r="H126" s="3552"/>
      <c r="I126" s="3553"/>
      <c r="AA126" s="725"/>
    </row>
    <row r="127" spans="1:27" ht="18.75" customHeight="1">
      <c r="A127" s="3550" t="s">
        <v>1452</v>
      </c>
      <c r="B127" s="3550"/>
      <c r="C127" s="3550"/>
      <c r="D127" s="3556" t="e">
        <f>NUMBERSTRING(INT(D126*10000),2)&amp;"元整"</f>
        <v>#VALUE!</v>
      </c>
      <c r="E127" s="3558"/>
      <c r="F127" s="3558"/>
      <c r="G127" s="3558"/>
      <c r="H127" s="3558"/>
      <c r="I127" s="3557"/>
      <c r="AA127" s="725"/>
    </row>
    <row r="128" spans="1:27" ht="21.75" customHeight="1">
      <c r="A128" s="3559" t="s">
        <v>1453</v>
      </c>
      <c r="B128" s="3559"/>
      <c r="C128" s="3559"/>
      <c r="D128" s="3559"/>
      <c r="E128" s="3559"/>
      <c r="F128" s="3559"/>
      <c r="G128" s="3559"/>
      <c r="H128" s="3559"/>
      <c r="I128" s="355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139.51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139.51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139.51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8.0000000000000004E-4</v>
      </c>
      <c r="D44" s="238"/>
      <c r="E44" s="238"/>
      <c r="F44" s="239"/>
      <c r="G44" s="3631"/>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70</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6" t="str">
        <f>项目基本情况!B1</f>
        <v>北京市房地产抵押价值预评估</v>
      </c>
      <c r="C37" s="3446"/>
      <c r="D37" s="3446"/>
      <c r="E37" s="3446"/>
      <c r="F37" s="3446"/>
      <c r="G37" s="3446"/>
      <c r="H37" s="3446"/>
      <c r="I37" s="344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4">
        <f ca="1">ROUND(IF(D2="——",C52/10000,C52/10000-E2),4)</f>
        <v>65.013099999999994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27902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27902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27902</v>
      </c>
      <c r="D10" s="845">
        <f ca="1">IF(B1="",'数据-汇总表'!E6,IF(INDIRECT("'数据-取费表'!c"&amp;$G$1)="住宅",INDIRECT("'数据-取费表'!s"&amp;$G$1),INDIRECT("'数据-取费表'!k"&amp;$G$1)+INDIRECT("'数据-取费表'!s"&amp;$G$1)))</f>
        <v>139.51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27902</v>
      </c>
      <c r="D19" s="849">
        <f ca="1">D9+D10</f>
        <v>139.51</v>
      </c>
      <c r="E19" s="211">
        <f>'数据-取费表'!B31</f>
        <v>200</v>
      </c>
      <c r="F19" s="231"/>
      <c r="G19" s="1855"/>
    </row>
    <row r="20" spans="1:7" s="214" customFormat="1" ht="13.5" customHeight="1">
      <c r="A20" s="255" t="s">
        <v>1574</v>
      </c>
      <c r="B20" s="210" t="s">
        <v>1575</v>
      </c>
      <c r="C20" s="232">
        <f ca="1">ROUND((C5+C19)*F20,0)</f>
        <v>1116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4774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2364</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2364</v>
      </c>
      <c r="D24" s="238"/>
      <c r="E24" s="238"/>
      <c r="F24" s="239"/>
      <c r="G24" s="240" t="s">
        <v>1586</v>
      </c>
    </row>
    <row r="25" spans="1:7" s="214" customFormat="1" ht="24">
      <c r="A25" s="780" t="s">
        <v>1476</v>
      </c>
      <c r="B25" s="215" t="s">
        <v>1587</v>
      </c>
      <c r="C25" s="1127">
        <f ca="1">ROUND(IF('数据-取费表'!B22&lt;=1,C20*F22*'数据-取费表'!B22/2,C20*(POWER((1+F22),'数据-取费表'!B22/2)-1)),0)</f>
        <v>46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8538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8538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76099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538160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488285</v>
      </c>
      <c r="D34" s="217"/>
      <c r="E34" s="220"/>
      <c r="F34" s="257"/>
      <c r="G34" s="219"/>
    </row>
    <row r="35" spans="1:7" ht="13.5" customHeight="1">
      <c r="A35" s="780" t="s">
        <v>351</v>
      </c>
      <c r="B35" s="215" t="s">
        <v>1527</v>
      </c>
      <c r="C35" s="220">
        <f ca="1">ROUND(C34*F35,0)</f>
        <v>14649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27902</v>
      </c>
      <c r="D37" s="217">
        <f ca="1">D19</f>
        <v>139.51</v>
      </c>
      <c r="E37" s="249">
        <f>'数据-取费表'!B35</f>
        <v>200</v>
      </c>
      <c r="F37" s="259"/>
      <c r="G37" s="261"/>
    </row>
    <row r="38" spans="1:7" ht="13.5" customHeight="1">
      <c r="A38" s="780" t="s">
        <v>354</v>
      </c>
      <c r="B38" s="215" t="s">
        <v>1533</v>
      </c>
      <c r="C38" s="220">
        <f ca="1">ROUND(C34*F38,0)</f>
        <v>7324</v>
      </c>
      <c r="D38" s="220"/>
      <c r="E38" s="220"/>
      <c r="F38" s="259">
        <f>'数据-取费表'!B36</f>
        <v>1.4999999999999999E-2</v>
      </c>
      <c r="G38" s="219" t="s">
        <v>1528</v>
      </c>
    </row>
    <row r="39" spans="1:7" s="214" customFormat="1" ht="13.5" customHeight="1">
      <c r="A39" s="255" t="s">
        <v>1534</v>
      </c>
      <c r="B39" s="210" t="s">
        <v>1535</v>
      </c>
      <c r="C39" s="232">
        <f ca="1">ROUND(C33*F20,0)</f>
        <v>10763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22781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22334</v>
      </c>
      <c r="D42" s="238"/>
      <c r="E42" s="238"/>
      <c r="F42" s="239"/>
      <c r="G42" s="3629" t="s">
        <v>1591</v>
      </c>
    </row>
    <row r="43" spans="1:7" ht="13.5" customHeight="1">
      <c r="A43" s="780" t="s">
        <v>347</v>
      </c>
      <c r="B43" s="215" t="s">
        <v>1545</v>
      </c>
      <c r="C43" s="238">
        <f ca="1">ROUND(IF('数据-取费表'!B22&lt;=1,C39*F22*'数据-取费表'!B20/2,C39*(POWER((1+F22),'数据-取费表'!B20/2)-1)),0)</f>
        <v>447</v>
      </c>
      <c r="D43" s="238"/>
      <c r="E43" s="238"/>
      <c r="F43" s="239"/>
      <c r="G43" s="3630"/>
    </row>
    <row r="44" spans="1:7" ht="13.5" customHeight="1">
      <c r="A44" s="780" t="s">
        <v>348</v>
      </c>
      <c r="B44" s="215" t="s">
        <v>1546</v>
      </c>
      <c r="C44" s="238">
        <f ca="1">ROUND(IF('数据-取费表'!B22&lt;=1,C40*F22*'数据-取费表'!B20/2,C40*(POWER((1+F22),'数据-取费表'!B20/2)-1)),4)</f>
        <v>8.0000000000000004E-4</v>
      </c>
      <c r="D44" s="238"/>
      <c r="E44" s="238"/>
      <c r="F44" s="239"/>
      <c r="G44" s="3631"/>
    </row>
    <row r="45" spans="1:7" s="214" customFormat="1" ht="13.5" customHeight="1">
      <c r="A45" s="255" t="s">
        <v>1547</v>
      </c>
      <c r="B45" s="244" t="s">
        <v>1513</v>
      </c>
      <c r="C45" s="245">
        <f ca="1">C46</f>
        <v>82338</v>
      </c>
      <c r="D45" s="235">
        <f ca="1">C47</f>
        <v>3.0000000000000001E-3</v>
      </c>
      <c r="E45" s="236" t="s">
        <v>1539</v>
      </c>
      <c r="F45" s="246">
        <f ca="1">F27</f>
        <v>0.15</v>
      </c>
      <c r="G45" s="247" t="s">
        <v>1548</v>
      </c>
    </row>
    <row r="46" spans="1:7" s="214" customFormat="1" ht="13.5" customHeight="1">
      <c r="A46" s="780" t="s">
        <v>346</v>
      </c>
      <c r="B46" s="248" t="s">
        <v>1549</v>
      </c>
      <c r="C46" s="249">
        <f ca="1">ROUND((C33+C39)*F27,0)</f>
        <v>82338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708681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574032</v>
      </c>
      <c r="D51" s="232"/>
      <c r="E51" s="232"/>
      <c r="F51" s="264"/>
      <c r="G51" s="234" t="s">
        <v>1560</v>
      </c>
    </row>
    <row r="52" spans="1:7" s="208" customFormat="1" ht="16.5" thickBot="1">
      <c r="A52" s="265" t="s">
        <v>1561</v>
      </c>
      <c r="B52" s="266"/>
      <c r="C52" s="267">
        <f ca="1">C31+C51</f>
        <v>650131</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-215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139.51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139.51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139.51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34" t="s">
        <v>694</v>
      </c>
      <c r="C6" s="1073">
        <f ca="1">ROUND(F6*F8*F7*(1-F9)/10000,0)</f>
        <v>0</v>
      </c>
      <c r="D6" s="155" t="s">
        <v>2108</v>
      </c>
      <c r="E6" s="302" t="s">
        <v>696</v>
      </c>
      <c r="F6" s="303">
        <f ca="1">INDIRECT("'数据-取费表'!u"&amp;$G$1)</f>
        <v>0</v>
      </c>
      <c r="G6" s="1383"/>
      <c r="H6" s="1068" t="s">
        <v>398</v>
      </c>
      <c r="I6" s="3634" t="s">
        <v>694</v>
      </c>
      <c r="J6" s="301">
        <f ca="1">ROUND(M6*M8*M7*(1-M9)/10000,0)</f>
        <v>0</v>
      </c>
      <c r="K6" s="155" t="s">
        <v>2107</v>
      </c>
      <c r="L6" s="302" t="s">
        <v>696</v>
      </c>
      <c r="M6" s="303">
        <f ca="1">INDIRECT("'数据-取费表'!z"&amp;$G$1)</f>
        <v>0</v>
      </c>
    </row>
    <row r="7" spans="1:37" ht="18" customHeight="1">
      <c r="A7" s="1072"/>
      <c r="B7" s="3635"/>
      <c r="C7" s="1074"/>
      <c r="D7" s="307"/>
      <c r="E7" s="1075" t="s">
        <v>697</v>
      </c>
      <c r="F7" s="303">
        <f ca="1">IF(INDIRECT("'数据-取费表'!ah"&amp;$G$1)="",INDIRECT("'数据-取费表'!k"&amp;$G$1),INDIRECT("'数据-取费表'!ah"&amp;$G$1))</f>
        <v>0</v>
      </c>
      <c r="G7" s="1383"/>
      <c r="H7" s="304"/>
      <c r="I7" s="3635"/>
      <c r="J7" s="306"/>
      <c r="K7" s="307"/>
      <c r="L7" s="302" t="s">
        <v>697</v>
      </c>
      <c r="M7" s="303">
        <f ca="1">F7</f>
        <v>0</v>
      </c>
    </row>
    <row r="8" spans="1:37" ht="18" customHeight="1">
      <c r="A8" s="304"/>
      <c r="B8" s="3635"/>
      <c r="C8" s="306"/>
      <c r="D8" s="307"/>
      <c r="E8" s="302" t="s">
        <v>698</v>
      </c>
      <c r="F8" s="303">
        <f ca="1">INDIRECT("'数据-取费表'!ai"&amp;$G$1)</f>
        <v>0</v>
      </c>
      <c r="G8" s="1383"/>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3"/>
      <c r="H9" s="304"/>
      <c r="I9" s="363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0</v>
      </c>
      <c r="K53" s="3632" t="s">
        <v>837</v>
      </c>
      <c r="L53" s="3633"/>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625" style="357" customWidth="1"/>
    <col min="6" max="6" width="12.25" style="357" customWidth="1"/>
    <col min="7" max="7" width="15.3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2108</v>
      </c>
      <c r="E1" s="3433" t="s">
        <v>3383</v>
      </c>
      <c r="F1" s="1878" t="s">
        <v>3384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668.05759999999998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47886</v>
      </c>
      <c r="C3" s="354" t="s">
        <v>1768</v>
      </c>
      <c r="D3" s="353">
        <f>IF(D1="",'数据-汇总表'!E3,SUMIF('数据-汇总表'!$C19:$C33,D1,'数据-汇总表'!$E19:$E33))</f>
        <v>139.51</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710" t="s">
        <v>1775</v>
      </c>
      <c r="Q4" s="3711"/>
      <c r="R4" s="3705" t="s">
        <v>1771</v>
      </c>
      <c r="S4" s="3706"/>
      <c r="T4" s="3705" t="s">
        <v>1772</v>
      </c>
      <c r="U4" s="3706"/>
      <c r="V4" s="3714" t="s">
        <v>1773</v>
      </c>
      <c r="W4" s="3714"/>
      <c r="X4" s="1957"/>
      <c r="Y4" s="3705" t="s">
        <v>1775</v>
      </c>
      <c r="Z4" s="3706"/>
      <c r="AA4" s="3704" t="s">
        <v>1771</v>
      </c>
      <c r="AB4" s="3704" t="s">
        <v>1772</v>
      </c>
      <c r="AC4" s="3707" t="s">
        <v>1773</v>
      </c>
    </row>
    <row r="5" spans="1:29" ht="15">
      <c r="A5" s="358"/>
      <c r="B5" s="359"/>
      <c r="C5" s="3669" t="s">
        <v>1673</v>
      </c>
      <c r="D5" s="3670"/>
      <c r="E5" s="3667" t="str">
        <f>Sheet1!C154</f>
        <v>中电信息大厦</v>
      </c>
      <c r="F5" s="3668"/>
      <c r="G5" s="3669" t="str">
        <f>Sheet1!C155</f>
        <v>数码大厦</v>
      </c>
      <c r="H5" s="3670"/>
      <c r="I5" s="3669" t="str">
        <f>Sheet1!C156</f>
        <v>天作国际大厦</v>
      </c>
      <c r="J5" s="3670"/>
      <c r="K5" s="559"/>
      <c r="L5" s="2713"/>
      <c r="M5" s="2714"/>
      <c r="N5" s="2714"/>
      <c r="O5" s="2714"/>
      <c r="P5" s="3712"/>
      <c r="Q5" s="3683"/>
      <c r="R5" s="3665"/>
      <c r="S5" s="3666"/>
      <c r="T5" s="3665"/>
      <c r="U5" s="3666"/>
      <c r="V5" s="3688"/>
      <c r="W5" s="3688"/>
      <c r="X5" s="1354"/>
      <c r="Y5" s="3665"/>
      <c r="Z5" s="3666"/>
      <c r="AA5" s="3659"/>
      <c r="AB5" s="3659"/>
      <c r="AC5" s="3708"/>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713"/>
      <c r="Q6" s="3685"/>
      <c r="R6" s="3665"/>
      <c r="S6" s="3666"/>
      <c r="T6" s="3686"/>
      <c r="U6" s="3687"/>
      <c r="V6" s="3688"/>
      <c r="W6" s="3688"/>
      <c r="X6" s="1354"/>
      <c r="Y6" s="3686"/>
      <c r="Z6" s="3687"/>
      <c r="AA6" s="3660"/>
      <c r="AB6" s="3660"/>
      <c r="AC6" s="3709"/>
    </row>
    <row r="7" spans="1:29" s="108" customFormat="1" ht="15.75" thickBot="1">
      <c r="A7" s="362" t="s">
        <v>1679</v>
      </c>
      <c r="B7" s="363"/>
      <c r="C7" s="364">
        <f>'数据-取费表'!B2</f>
        <v>44922</v>
      </c>
      <c r="D7" s="365">
        <v>100</v>
      </c>
      <c r="E7" s="366">
        <f>C7</f>
        <v>44922</v>
      </c>
      <c r="F7" s="367">
        <f>SUMIF(59:59,YEAR(E7)&amp;"-"&amp;MONTH(E7),60:60)</f>
        <v>100</v>
      </c>
      <c r="G7" s="366">
        <f>C7</f>
        <v>44922</v>
      </c>
      <c r="H7" s="365">
        <f>SUMIF(59:59,YEAR(G7)&amp;"-"&amp;MONTH(G7),60:60)</f>
        <v>100</v>
      </c>
      <c r="I7" s="366">
        <f>C7</f>
        <v>44922</v>
      </c>
      <c r="J7" s="365">
        <f>SUMIF(59:59,YEAR(I7)&amp;"-"&amp;MONTH(I7),60:60)</f>
        <v>100</v>
      </c>
      <c r="K7" s="560"/>
      <c r="L7" s="2715"/>
      <c r="M7" s="2716"/>
      <c r="N7" s="2716"/>
      <c r="O7" s="2716"/>
      <c r="P7" s="3715" t="s">
        <v>1680</v>
      </c>
      <c r="Q7" s="3689"/>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8">
        <f>D7/J7</f>
        <v>1</v>
      </c>
    </row>
    <row r="8" spans="1:29" s="108" customFormat="1" ht="15.75" thickBot="1">
      <c r="A8" s="362" t="s">
        <v>1681</v>
      </c>
      <c r="B8" s="363"/>
      <c r="C8" s="3786" t="s">
        <v>3390</v>
      </c>
      <c r="D8" s="365">
        <v>100</v>
      </c>
      <c r="E8" s="3786" t="s">
        <v>3390</v>
      </c>
      <c r="F8" s="367">
        <f>SUMIF(62:62,E8,63:63)-SUMIF(62:62,C8,63:63)+100</f>
        <v>100</v>
      </c>
      <c r="G8" s="3786" t="s">
        <v>3391</v>
      </c>
      <c r="H8" s="365">
        <f>SUMIF(62:62,G8,63:63)-SUMIF(62:62,C8,63:63)+100</f>
        <v>100</v>
      </c>
      <c r="I8" s="3786" t="s">
        <v>3391</v>
      </c>
      <c r="J8" s="365">
        <f>SUMIF(62:62,I8,63:63)-SUMIF(62:62,C8,63:63)+100</f>
        <v>100</v>
      </c>
      <c r="K8" s="560"/>
      <c r="L8" s="2715"/>
      <c r="M8" s="2716"/>
      <c r="N8" s="2716"/>
      <c r="O8" s="2716"/>
      <c r="P8" s="3715"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8">
        <f t="shared" ref="AC8:AC47" si="5">D8/J8</f>
        <v>1</v>
      </c>
    </row>
    <row r="9" spans="1:29" s="108" customFormat="1" ht="15">
      <c r="A9" s="369" t="s">
        <v>1684</v>
      </c>
      <c r="B9" s="63" t="s">
        <v>1685</v>
      </c>
      <c r="C9" s="3787" t="s">
        <v>3392</v>
      </c>
      <c r="D9" s="126">
        <v>100</v>
      </c>
      <c r="E9" s="3788" t="s">
        <v>3392</v>
      </c>
      <c r="F9" s="126">
        <f>SUMIF(64:64,E9,65:65)-SUMIF(64:64,C9,65:65)+100</f>
        <v>100</v>
      </c>
      <c r="G9" s="3789" t="s">
        <v>3392</v>
      </c>
      <c r="H9" s="126">
        <f>SUMIF(64:64,G9,65:65)-SUMIF(64:64,C9,65:65)+100</f>
        <v>100</v>
      </c>
      <c r="I9" s="3789" t="s">
        <v>3393</v>
      </c>
      <c r="J9" s="126">
        <f>SUMIF(64:64,I9,65:65)-SUMIF(64:64,C9,65:65)+100</f>
        <v>100</v>
      </c>
      <c r="K9" s="560"/>
      <c r="L9" s="2715"/>
      <c r="M9" s="2716"/>
      <c r="N9" s="2716"/>
      <c r="O9" s="2716"/>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1958">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7"/>
      <c r="M10" s="2718"/>
      <c r="N10" s="2718"/>
      <c r="O10" s="2718"/>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5"/>
      <c r="Q11" s="1342"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5"/>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5"/>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5"/>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2" t="s">
        <v>1691</v>
      </c>
      <c r="Q15" s="1351" t="str">
        <f t="shared" si="6"/>
        <v>办公集聚程度</v>
      </c>
      <c r="R15" s="705" t="s">
        <v>14</v>
      </c>
      <c r="S15" s="706">
        <f t="shared" si="0"/>
        <v>100</v>
      </c>
      <c r="T15" s="705" t="s">
        <v>14</v>
      </c>
      <c r="U15" s="706">
        <f t="shared" si="1"/>
        <v>100</v>
      </c>
      <c r="V15" s="705" t="s">
        <v>14</v>
      </c>
      <c r="W15" s="706">
        <f t="shared" si="2"/>
        <v>100</v>
      </c>
      <c r="X15" s="1354"/>
      <c r="Y15" s="3695" t="s">
        <v>1691</v>
      </c>
      <c r="Z15" s="1355" t="str">
        <f t="shared" si="7"/>
        <v>办公集聚程度</v>
      </c>
      <c r="AA15" s="1352">
        <f t="shared" si="3"/>
        <v>1</v>
      </c>
      <c r="AB15" s="1352">
        <f t="shared" si="4"/>
        <v>1</v>
      </c>
      <c r="AC15" s="1961">
        <f t="shared" si="5"/>
        <v>1</v>
      </c>
    </row>
    <row r="16" spans="1:29" ht="15">
      <c r="A16" s="379"/>
      <c r="B16" s="578"/>
      <c r="C16" s="3790" t="s">
        <v>3394</v>
      </c>
      <c r="D16" s="399"/>
      <c r="E16" s="3791" t="s">
        <v>3395</v>
      </c>
      <c r="F16" s="399"/>
      <c r="G16" s="3790" t="s">
        <v>3396</v>
      </c>
      <c r="H16" s="401"/>
      <c r="I16" s="3791" t="s">
        <v>3395</v>
      </c>
      <c r="J16" s="399"/>
      <c r="K16" s="564"/>
      <c r="L16" s="2720"/>
      <c r="M16" s="2714"/>
      <c r="N16" s="2714"/>
      <c r="O16" s="2714"/>
      <c r="P16" s="3703"/>
      <c r="Q16" s="1351"/>
      <c r="R16" s="705"/>
      <c r="S16" s="706"/>
      <c r="T16" s="705"/>
      <c r="U16" s="706"/>
      <c r="V16" s="705"/>
      <c r="W16" s="706"/>
      <c r="X16" s="1354"/>
      <c r="Y16" s="369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3"/>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961">
        <f t="shared" si="5"/>
        <v>1</v>
      </c>
    </row>
    <row r="18" spans="1:29" ht="15">
      <c r="A18" s="379"/>
      <c r="B18" s="580"/>
      <c r="C18" s="3792" t="s">
        <v>3394</v>
      </c>
      <c r="D18" s="401"/>
      <c r="E18" s="3793" t="s">
        <v>3394</v>
      </c>
      <c r="F18" s="401"/>
      <c r="G18" s="3794" t="s">
        <v>3394</v>
      </c>
      <c r="H18" s="399"/>
      <c r="I18" s="3794" t="s">
        <v>3394</v>
      </c>
      <c r="J18" s="399"/>
      <c r="K18" s="564"/>
      <c r="L18" s="2720"/>
      <c r="M18" s="2714"/>
      <c r="N18" s="2714"/>
      <c r="O18" s="2714"/>
      <c r="P18" s="3703"/>
      <c r="Q18" s="1351"/>
      <c r="R18" s="705"/>
      <c r="S18" s="706"/>
      <c r="T18" s="705"/>
      <c r="U18" s="706"/>
      <c r="V18" s="705"/>
      <c r="W18" s="706"/>
      <c r="X18" s="1354"/>
      <c r="Y18" s="369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3"/>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961">
        <f t="shared" si="5"/>
        <v>1</v>
      </c>
    </row>
    <row r="20" spans="1:29" ht="15">
      <c r="A20" s="379"/>
      <c r="B20" s="580"/>
      <c r="C20" s="3790" t="s">
        <v>3395</v>
      </c>
      <c r="D20" s="399"/>
      <c r="E20" s="3795" t="s">
        <v>3394</v>
      </c>
      <c r="F20" s="399"/>
      <c r="G20" s="3796" t="s">
        <v>3394</v>
      </c>
      <c r="H20" s="399"/>
      <c r="I20" s="3796" t="s">
        <v>3394</v>
      </c>
      <c r="J20" s="399"/>
      <c r="K20" s="564"/>
      <c r="L20" s="2720"/>
      <c r="M20" s="2714"/>
      <c r="N20" s="2714"/>
      <c r="O20" s="2714"/>
      <c r="P20" s="3703"/>
      <c r="Q20" s="1351"/>
      <c r="R20" s="705"/>
      <c r="S20" s="706"/>
      <c r="T20" s="705"/>
      <c r="U20" s="706"/>
      <c r="V20" s="705"/>
      <c r="W20" s="706"/>
      <c r="X20" s="1354"/>
      <c r="Y20" s="369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1"/>
      <c r="C22" s="3792" t="s">
        <v>3397</v>
      </c>
      <c r="D22" s="399"/>
      <c r="E22" s="3791" t="s">
        <v>3398</v>
      </c>
      <c r="F22" s="399"/>
      <c r="G22" s="3790" t="s">
        <v>3398</v>
      </c>
      <c r="H22" s="399"/>
      <c r="I22" s="3790" t="s">
        <v>3397</v>
      </c>
      <c r="J22" s="399"/>
      <c r="K22" s="1129"/>
      <c r="L22" s="2720"/>
      <c r="M22" s="2714"/>
      <c r="N22" s="2714"/>
      <c r="O22" s="2714"/>
      <c r="P22" s="3703"/>
      <c r="Q22" s="1351"/>
      <c r="R22" s="705"/>
      <c r="S22" s="706"/>
      <c r="T22" s="705"/>
      <c r="U22" s="706"/>
      <c r="V22" s="705"/>
      <c r="W22" s="706"/>
      <c r="X22" s="1354"/>
      <c r="Y22" s="369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3"/>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961">
        <f t="shared" si="5"/>
        <v>1</v>
      </c>
    </row>
    <row r="24" spans="1:29" ht="15">
      <c r="A24" s="379"/>
      <c r="B24" s="581"/>
      <c r="C24" s="3790" t="s">
        <v>3394</v>
      </c>
      <c r="D24" s="399"/>
      <c r="E24" s="3795" t="s">
        <v>3394</v>
      </c>
      <c r="F24" s="399"/>
      <c r="G24" s="3796" t="s">
        <v>3394</v>
      </c>
      <c r="H24" s="399"/>
      <c r="I24" s="3796" t="s">
        <v>3394</v>
      </c>
      <c r="J24" s="399"/>
      <c r="K24" s="564"/>
      <c r="L24" s="2720"/>
      <c r="M24" s="2714"/>
      <c r="N24" s="2714"/>
      <c r="O24" s="2714"/>
      <c r="P24" s="3703"/>
      <c r="Q24" s="1351"/>
      <c r="R24" s="705"/>
      <c r="S24" s="706"/>
      <c r="T24" s="705"/>
      <c r="U24" s="706"/>
      <c r="V24" s="705"/>
      <c r="W24" s="706"/>
      <c r="X24" s="1354"/>
      <c r="Y24" s="369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102</v>
      </c>
      <c r="I25" s="385"/>
      <c r="J25" s="386">
        <f>SUMIF(87:87,I26,88:88)-SUMIF(87:87,C26,88:88)+100</f>
        <v>100</v>
      </c>
      <c r="K25" s="563">
        <v>2</v>
      </c>
      <c r="L25" s="2720"/>
      <c r="M25" s="2714"/>
      <c r="N25" s="2714"/>
      <c r="O25" s="2714"/>
      <c r="P25" s="3703"/>
      <c r="Q25" s="1351" t="str">
        <f>B25</f>
        <v>毗邻道路的类型与等级</v>
      </c>
      <c r="R25" s="705" t="s">
        <v>14</v>
      </c>
      <c r="S25" s="706">
        <f>F25</f>
        <v>100</v>
      </c>
      <c r="T25" s="705" t="s">
        <v>14</v>
      </c>
      <c r="U25" s="706">
        <f>H25</f>
        <v>102</v>
      </c>
      <c r="V25" s="705" t="s">
        <v>14</v>
      </c>
      <c r="W25" s="706">
        <f>J25</f>
        <v>100</v>
      </c>
      <c r="X25" s="1354"/>
      <c r="Y25" s="3696"/>
      <c r="Z25" s="1355" t="str">
        <f>Q25</f>
        <v>毗邻道路的类型与等级</v>
      </c>
      <c r="AA25" s="1352">
        <f t="shared" si="3"/>
        <v>1</v>
      </c>
      <c r="AB25" s="1352">
        <f t="shared" si="4"/>
        <v>0.98039215686274506</v>
      </c>
      <c r="AC25" s="1961">
        <f t="shared" si="5"/>
        <v>1</v>
      </c>
    </row>
    <row r="26" spans="1:29" ht="15">
      <c r="A26" s="358"/>
      <c r="B26" s="580"/>
      <c r="C26" s="3797" t="s">
        <v>3399</v>
      </c>
      <c r="D26" s="386"/>
      <c r="E26" s="3798" t="s">
        <v>3399</v>
      </c>
      <c r="F26" s="386"/>
      <c r="G26" s="3797" t="s">
        <v>3400</v>
      </c>
      <c r="H26" s="386"/>
      <c r="I26" s="3798" t="s">
        <v>3399</v>
      </c>
      <c r="J26" s="386"/>
      <c r="K26" s="564"/>
      <c r="L26" s="2720"/>
      <c r="M26" s="2714"/>
      <c r="N26" s="2714"/>
      <c r="O26" s="2714"/>
      <c r="P26" s="3703"/>
      <c r="Q26" s="1351"/>
      <c r="R26" s="705"/>
      <c r="S26" s="706"/>
      <c r="T26" s="705"/>
      <c r="U26" s="706"/>
      <c r="V26" s="705"/>
      <c r="W26" s="706"/>
      <c r="X26" s="1354"/>
      <c r="Y26" s="3696"/>
      <c r="Z26" s="1355"/>
      <c r="AA26" s="1352">
        <v>1</v>
      </c>
      <c r="AB26" s="1352">
        <v>1</v>
      </c>
      <c r="AC26" s="1961">
        <v>1</v>
      </c>
    </row>
    <row r="27" spans="1:29" ht="15">
      <c r="A27" s="379"/>
      <c r="B27" s="580" t="s">
        <v>1783</v>
      </c>
      <c r="C27" s="3797" t="s">
        <v>3402</v>
      </c>
      <c r="D27" s="386">
        <v>100</v>
      </c>
      <c r="E27" s="3798" t="s">
        <v>3402</v>
      </c>
      <c r="F27" s="386">
        <f>SUMIF(89:89,E27,90:90)-SUMIF(89:89,C27,90:90)+100</f>
        <v>100</v>
      </c>
      <c r="G27" s="3797" t="s">
        <v>3402</v>
      </c>
      <c r="H27" s="386">
        <f>SUMIF(89:89,G27,90:90)-SUMIF(89:89,C27,90:90)+100</f>
        <v>100</v>
      </c>
      <c r="I27" s="3798" t="s">
        <v>3402</v>
      </c>
      <c r="J27" s="386">
        <f>SUMIF(89:89,I27,90:90)-SUMIF(89:89,C27,90:90)+100</f>
        <v>100</v>
      </c>
      <c r="K27" s="561"/>
      <c r="L27" s="2720"/>
      <c r="M27" s="2714"/>
      <c r="N27" s="2714"/>
      <c r="O27" s="2714"/>
      <c r="P27" s="3703"/>
      <c r="Q27" s="1351" t="str">
        <f t="shared" ref="Q27:Q47" si="11">B27</f>
        <v>楼层</v>
      </c>
      <c r="R27" s="705" t="s">
        <v>14</v>
      </c>
      <c r="S27" s="706">
        <f>F27</f>
        <v>100</v>
      </c>
      <c r="T27" s="705" t="s">
        <v>14</v>
      </c>
      <c r="U27" s="706">
        <f>H27</f>
        <v>100</v>
      </c>
      <c r="V27" s="705" t="s">
        <v>14</v>
      </c>
      <c r="W27" s="706">
        <f>J27</f>
        <v>100</v>
      </c>
      <c r="X27" s="1354"/>
      <c r="Y27" s="3696"/>
      <c r="Z27" s="1355" t="str">
        <f>Q27</f>
        <v>楼层</v>
      </c>
      <c r="AA27" s="1352">
        <f t="shared" si="3"/>
        <v>1</v>
      </c>
      <c r="AB27" s="1352">
        <f t="shared" si="4"/>
        <v>1</v>
      </c>
      <c r="AC27" s="1961">
        <f t="shared" si="5"/>
        <v>1</v>
      </c>
    </row>
    <row r="28" spans="1:29" s="108" customFormat="1" ht="15">
      <c r="A28" s="382"/>
      <c r="B28" s="579" t="s">
        <v>1816</v>
      </c>
      <c r="C28" s="1963"/>
      <c r="D28" s="413">
        <v>100</v>
      </c>
      <c r="E28" s="1955"/>
      <c r="F28" s="413">
        <f>SUMIF(91:91,E28,92:92)-SUMIF(91:91,C28,92:92)+100</f>
        <v>100</v>
      </c>
      <c r="G28" s="1963"/>
      <c r="H28" s="413">
        <f>SUMIF(91:91,G28,92:92)-SUMIF(91:91,C28,92:92)+100</f>
        <v>100</v>
      </c>
      <c r="I28" s="1955"/>
      <c r="J28" s="413">
        <f>SUMIF(91:91,I28,92:92)-SUMIF(91:91,C28,92:92)+100</f>
        <v>100</v>
      </c>
      <c r="K28" s="561"/>
      <c r="L28" s="2715"/>
      <c r="M28" s="2716"/>
      <c r="N28" s="2716"/>
      <c r="O28" s="2716"/>
      <c r="P28" s="3703"/>
      <c r="Q28" s="1342" t="str">
        <f t="shared" si="11"/>
        <v>朝向</v>
      </c>
      <c r="R28" s="701" t="s">
        <v>14</v>
      </c>
      <c r="S28" s="702">
        <f>F28</f>
        <v>100</v>
      </c>
      <c r="T28" s="701" t="s">
        <v>14</v>
      </c>
      <c r="U28" s="702">
        <f>H28</f>
        <v>100</v>
      </c>
      <c r="V28" s="701" t="s">
        <v>14</v>
      </c>
      <c r="W28" s="702">
        <f>J28</f>
        <v>100</v>
      </c>
      <c r="X28" s="703"/>
      <c r="Y28" s="3696"/>
      <c r="Z28" s="52" t="str">
        <f>Q28</f>
        <v>朝向</v>
      </c>
      <c r="AA28" s="1352">
        <f>D28/F28</f>
        <v>1</v>
      </c>
      <c r="AB28" s="1352">
        <f>D28/H28</f>
        <v>1</v>
      </c>
      <c r="AC28" s="1961">
        <f>D28/J28</f>
        <v>1</v>
      </c>
    </row>
    <row r="29" spans="1:29" ht="15">
      <c r="A29" s="379"/>
      <c r="B29" s="1964">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3"/>
      <c r="Q29" s="1351">
        <f t="shared" si="11"/>
        <v>111</v>
      </c>
      <c r="R29" s="705" t="s">
        <v>14</v>
      </c>
      <c r="S29" s="706">
        <f t="shared" ref="S29:S47" si="12">F29</f>
        <v>100</v>
      </c>
      <c r="T29" s="705" t="s">
        <v>14</v>
      </c>
      <c r="U29" s="706">
        <f t="shared" ref="U29:U47" si="13">H29</f>
        <v>100</v>
      </c>
      <c r="V29" s="705" t="s">
        <v>14</v>
      </c>
      <c r="W29" s="706">
        <f t="shared" ref="W29:W47" si="14">J29</f>
        <v>100</v>
      </c>
      <c r="X29" s="1354"/>
      <c r="Y29" s="3696"/>
      <c r="Z29" s="1355">
        <f t="shared" ref="Z29:Z47" si="15">Q29</f>
        <v>111</v>
      </c>
      <c r="AA29" s="1352">
        <f t="shared" si="3"/>
        <v>1</v>
      </c>
      <c r="AB29" s="1352">
        <f t="shared" si="4"/>
        <v>1</v>
      </c>
      <c r="AC29" s="1961">
        <f t="shared" si="5"/>
        <v>1</v>
      </c>
    </row>
    <row r="30" spans="1:29" ht="15">
      <c r="A30" s="379"/>
      <c r="B30" s="1964">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3"/>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961">
        <f t="shared" si="5"/>
        <v>1</v>
      </c>
    </row>
    <row r="31" spans="1:29" ht="15">
      <c r="A31" s="379"/>
      <c r="B31" s="1964">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3"/>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3"/>
      <c r="Q32" s="1351">
        <f t="shared" si="11"/>
        <v>111</v>
      </c>
      <c r="R32" s="705" t="s">
        <v>14</v>
      </c>
      <c r="S32" s="706">
        <f t="shared" si="12"/>
        <v>100</v>
      </c>
      <c r="T32" s="705" t="s">
        <v>14</v>
      </c>
      <c r="U32" s="706">
        <f t="shared" si="13"/>
        <v>100</v>
      </c>
      <c r="V32" s="705" t="s">
        <v>14</v>
      </c>
      <c r="W32" s="706">
        <f t="shared" si="14"/>
        <v>100</v>
      </c>
      <c r="X32" s="1354"/>
      <c r="Y32" s="3696"/>
      <c r="Z32" s="1355">
        <f t="shared" si="15"/>
        <v>111</v>
      </c>
      <c r="AA32" s="1352">
        <f t="shared" si="3"/>
        <v>1</v>
      </c>
      <c r="AB32" s="1352">
        <f t="shared" si="4"/>
        <v>1</v>
      </c>
      <c r="AC32" s="1961">
        <f t="shared" si="5"/>
        <v>1</v>
      </c>
    </row>
    <row r="33" spans="1:29" ht="15">
      <c r="A33" s="391" t="s">
        <v>1694</v>
      </c>
      <c r="B33" s="63" t="s">
        <v>1817</v>
      </c>
      <c r="C33" s="3800" t="s">
        <v>3401</v>
      </c>
      <c r="D33" s="418">
        <v>100</v>
      </c>
      <c r="E33" s="3800" t="s">
        <v>3401</v>
      </c>
      <c r="F33" s="412">
        <f>SUMIF(101:101,E33,102:102)-SUMIF(101:101,C33,102:102)+100</f>
        <v>100</v>
      </c>
      <c r="G33" s="3800" t="s">
        <v>3401</v>
      </c>
      <c r="H33" s="386">
        <f>SUMIF(101:101,G33,102:102)-SUMIF(101:101,C33,102:102)+100</f>
        <v>100</v>
      </c>
      <c r="I33" s="3800" t="s">
        <v>3401</v>
      </c>
      <c r="J33" s="418">
        <f>SUMIF(101:101,I33,102:102)-SUMIF(101:101,C33,102:102)+100</f>
        <v>100</v>
      </c>
      <c r="K33" s="561"/>
      <c r="L33" s="2720"/>
      <c r="M33" s="2714"/>
      <c r="N33" s="2714"/>
      <c r="O33" s="2714"/>
      <c r="P33" s="3697" t="s">
        <v>1696</v>
      </c>
      <c r="Q33" s="1351" t="str">
        <f t="shared" si="11"/>
        <v>建筑类型</v>
      </c>
      <c r="R33" s="705" t="s">
        <v>14</v>
      </c>
      <c r="S33" s="706">
        <f t="shared" si="12"/>
        <v>100</v>
      </c>
      <c r="T33" s="705" t="s">
        <v>14</v>
      </c>
      <c r="U33" s="706">
        <f t="shared" si="13"/>
        <v>100</v>
      </c>
      <c r="V33" s="705" t="s">
        <v>14</v>
      </c>
      <c r="W33" s="706">
        <f t="shared" si="14"/>
        <v>100</v>
      </c>
      <c r="X33" s="1354"/>
      <c r="Y33" s="3700" t="s">
        <v>1696</v>
      </c>
      <c r="Z33" s="1355" t="str">
        <f t="shared" si="15"/>
        <v>建筑类型</v>
      </c>
      <c r="AA33" s="1352">
        <f t="shared" si="3"/>
        <v>1</v>
      </c>
      <c r="AB33" s="1352">
        <f t="shared" si="4"/>
        <v>1</v>
      </c>
      <c r="AC33" s="1961">
        <f t="shared" si="5"/>
        <v>1</v>
      </c>
    </row>
    <row r="34" spans="1:29" s="422" customFormat="1" ht="15">
      <c r="A34" s="419"/>
      <c r="B34" s="375" t="s">
        <v>1697</v>
      </c>
      <c r="C34" s="420">
        <f>D3</f>
        <v>139.51</v>
      </c>
      <c r="D34" s="127">
        <v>100</v>
      </c>
      <c r="E34" s="381">
        <f>Sheet1!D154</f>
        <v>206.7</v>
      </c>
      <c r="F34" s="376">
        <f>LOOKUP(E34,104:104,105:105)-LOOKUP(C34,104:104,105:105)+100</f>
        <v>98</v>
      </c>
      <c r="G34" s="380">
        <f>Sheet1!D155</f>
        <v>105.82</v>
      </c>
      <c r="H34" s="127">
        <f>LOOKUP(G34,104:104,105:105)-LOOKUP(C34,104:104,105:105)+100</f>
        <v>100</v>
      </c>
      <c r="I34" s="380">
        <f>Sheet1!D156</f>
        <v>48.68</v>
      </c>
      <c r="J34" s="127">
        <f>LOOKUP(I34,104:104,105:105)-LOOKUP(C34,104:104,105:105)+100</f>
        <v>98</v>
      </c>
      <c r="K34" s="562"/>
      <c r="L34" s="2719"/>
      <c r="M34" s="2721"/>
      <c r="N34" s="2721"/>
      <c r="O34" s="2721"/>
      <c r="P34" s="3698"/>
      <c r="Q34" s="707" t="str">
        <f t="shared" si="11"/>
        <v>项目建筑规模</v>
      </c>
      <c r="R34" s="708" t="s">
        <v>14</v>
      </c>
      <c r="S34" s="709">
        <f t="shared" si="12"/>
        <v>98</v>
      </c>
      <c r="T34" s="708" t="s">
        <v>14</v>
      </c>
      <c r="U34" s="709">
        <f t="shared" si="13"/>
        <v>100</v>
      </c>
      <c r="V34" s="708" t="s">
        <v>14</v>
      </c>
      <c r="W34" s="709">
        <f t="shared" si="14"/>
        <v>98</v>
      </c>
      <c r="X34" s="710"/>
      <c r="Y34" s="3700"/>
      <c r="Z34" s="711" t="str">
        <f t="shared" si="15"/>
        <v>项目建筑规模</v>
      </c>
      <c r="AA34" s="1352">
        <f t="shared" si="3"/>
        <v>1.0204081632653061</v>
      </c>
      <c r="AB34" s="1352">
        <f t="shared" si="4"/>
        <v>1</v>
      </c>
      <c r="AC34" s="1961">
        <f t="shared" si="5"/>
        <v>1.0204081632653061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8"/>
      <c r="Q35" s="1351" t="str">
        <f t="shared" si="11"/>
        <v>建筑结构</v>
      </c>
      <c r="R35" s="705" t="s">
        <v>14</v>
      </c>
      <c r="S35" s="706">
        <f t="shared" si="12"/>
        <v>100</v>
      </c>
      <c r="T35" s="705" t="s">
        <v>14</v>
      </c>
      <c r="U35" s="706">
        <f t="shared" si="13"/>
        <v>100</v>
      </c>
      <c r="V35" s="705" t="s">
        <v>14</v>
      </c>
      <c r="W35" s="706">
        <f t="shared" si="14"/>
        <v>100</v>
      </c>
      <c r="X35" s="1354"/>
      <c r="Y35" s="370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8"/>
      <c r="Q36" s="1351" t="str">
        <f t="shared" si="11"/>
        <v>公共部分装修</v>
      </c>
      <c r="R36" s="705" t="s">
        <v>14</v>
      </c>
      <c r="S36" s="706">
        <f t="shared" si="12"/>
        <v>100</v>
      </c>
      <c r="T36" s="705" t="s">
        <v>14</v>
      </c>
      <c r="U36" s="706">
        <f t="shared" si="13"/>
        <v>100</v>
      </c>
      <c r="V36" s="705" t="s">
        <v>14</v>
      </c>
      <c r="W36" s="706">
        <f t="shared" si="14"/>
        <v>100</v>
      </c>
      <c r="X36" s="1354"/>
      <c r="Y36" s="3700"/>
      <c r="Z36" s="1355" t="str">
        <f t="shared" si="15"/>
        <v>公共部分装修</v>
      </c>
      <c r="AA36" s="1352">
        <f t="shared" si="3"/>
        <v>1</v>
      </c>
      <c r="AB36" s="1352">
        <f t="shared" si="4"/>
        <v>1</v>
      </c>
      <c r="AC36" s="1961">
        <f t="shared" si="5"/>
        <v>1</v>
      </c>
    </row>
    <row r="37" spans="1:29" ht="15">
      <c r="A37" s="423"/>
      <c r="B37" s="375" t="s">
        <v>1786</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c r="L37" s="2720"/>
      <c r="M37" s="2714"/>
      <c r="N37" s="2714"/>
      <c r="O37" s="2714"/>
      <c r="P37" s="3698"/>
      <c r="Q37" s="1351" t="str">
        <f t="shared" si="11"/>
        <v>成新度</v>
      </c>
      <c r="R37" s="705" t="s">
        <v>14</v>
      </c>
      <c r="S37" s="706">
        <f t="shared" si="12"/>
        <v>100</v>
      </c>
      <c r="T37" s="705" t="s">
        <v>14</v>
      </c>
      <c r="U37" s="706">
        <f t="shared" si="13"/>
        <v>100</v>
      </c>
      <c r="V37" s="705" t="s">
        <v>14</v>
      </c>
      <c r="W37" s="706">
        <f t="shared" si="14"/>
        <v>100</v>
      </c>
      <c r="X37" s="1354"/>
      <c r="Y37" s="3700"/>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2"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8" t="s">
        <v>1696</v>
      </c>
      <c r="Q39" s="1351" t="str">
        <f t="shared" si="11"/>
        <v>物业管理</v>
      </c>
      <c r="R39" s="705" t="s">
        <v>14</v>
      </c>
      <c r="S39" s="706">
        <f t="shared" si="12"/>
        <v>100</v>
      </c>
      <c r="T39" s="705" t="s">
        <v>14</v>
      </c>
      <c r="U39" s="706">
        <f t="shared" si="13"/>
        <v>100</v>
      </c>
      <c r="V39" s="705" t="s">
        <v>14</v>
      </c>
      <c r="W39" s="706">
        <f t="shared" si="14"/>
        <v>100</v>
      </c>
      <c r="X39" s="1354"/>
      <c r="Y39" s="370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8"/>
      <c r="Q40" s="1351" t="str">
        <f t="shared" si="11"/>
        <v>市政基础设施</v>
      </c>
      <c r="R40" s="705" t="s">
        <v>14</v>
      </c>
      <c r="S40" s="706">
        <f t="shared" si="12"/>
        <v>100</v>
      </c>
      <c r="T40" s="705" t="s">
        <v>14</v>
      </c>
      <c r="U40" s="706">
        <f t="shared" si="13"/>
        <v>100</v>
      </c>
      <c r="V40" s="705" t="s">
        <v>14</v>
      </c>
      <c r="W40" s="706">
        <f t="shared" si="14"/>
        <v>100</v>
      </c>
      <c r="X40" s="1354"/>
      <c r="Y40" s="370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8"/>
      <c r="Q41" s="1351" t="str">
        <f t="shared" si="11"/>
        <v>层高</v>
      </c>
      <c r="R41" s="705" t="s">
        <v>14</v>
      </c>
      <c r="S41" s="706">
        <f t="shared" si="12"/>
        <v>100</v>
      </c>
      <c r="T41" s="705" t="s">
        <v>14</v>
      </c>
      <c r="U41" s="706">
        <f t="shared" si="13"/>
        <v>100</v>
      </c>
      <c r="V41" s="705" t="s">
        <v>14</v>
      </c>
      <c r="W41" s="706">
        <f t="shared" si="14"/>
        <v>100</v>
      </c>
      <c r="X41" s="1354"/>
      <c r="Y41" s="370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2">
        <f t="shared" si="3"/>
        <v>1</v>
      </c>
      <c r="AB42" s="1352">
        <f t="shared" si="4"/>
        <v>1</v>
      </c>
      <c r="AC42" s="1961">
        <f t="shared" si="5"/>
        <v>1</v>
      </c>
    </row>
    <row r="43" spans="1:29" ht="15">
      <c r="A43" s="423"/>
      <c r="B43" s="375" t="s">
        <v>1792</v>
      </c>
      <c r="C43" s="3801" t="s">
        <v>3403</v>
      </c>
      <c r="D43" s="386">
        <v>100</v>
      </c>
      <c r="E43" s="3801" t="s">
        <v>3404</v>
      </c>
      <c r="F43" s="412">
        <f>SUMIF(123:123,E43,124:124)-SUMIF(123:123,C43,124:124)+100</f>
        <v>100</v>
      </c>
      <c r="G43" s="3801" t="s">
        <v>3403</v>
      </c>
      <c r="H43" s="386">
        <f>SUMIF(123:123,G43,124:124)-SUMIF(123:123,C43,124:124)+100</f>
        <v>100</v>
      </c>
      <c r="I43" s="3801" t="s">
        <v>3403</v>
      </c>
      <c r="J43" s="386">
        <f>SUMIF(123:123,I43,124:124)-SUMIF(123:123,C43,124:124)+100</f>
        <v>100</v>
      </c>
      <c r="K43" s="561"/>
      <c r="L43" s="2720"/>
      <c r="M43" s="2714"/>
      <c r="N43" s="2714"/>
      <c r="O43" s="2714"/>
      <c r="P43" s="3698"/>
      <c r="Q43" s="1351" t="str">
        <f t="shared" si="11"/>
        <v>内部装修</v>
      </c>
      <c r="R43" s="705" t="s">
        <v>14</v>
      </c>
      <c r="S43" s="706">
        <f t="shared" si="12"/>
        <v>100</v>
      </c>
      <c r="T43" s="705" t="s">
        <v>14</v>
      </c>
      <c r="U43" s="706">
        <f t="shared" si="13"/>
        <v>100</v>
      </c>
      <c r="V43" s="705" t="s">
        <v>14</v>
      </c>
      <c r="W43" s="706">
        <f t="shared" si="14"/>
        <v>100</v>
      </c>
      <c r="X43" s="1354"/>
      <c r="Y43" s="370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8"/>
      <c r="Q44" s="1351" t="str">
        <f t="shared" si="11"/>
        <v>内部装修维护情况</v>
      </c>
      <c r="R44" s="705" t="s">
        <v>14</v>
      </c>
      <c r="S44" s="706">
        <f t="shared" si="12"/>
        <v>100</v>
      </c>
      <c r="T44" s="705" t="s">
        <v>14</v>
      </c>
      <c r="U44" s="706">
        <f t="shared" si="13"/>
        <v>100</v>
      </c>
      <c r="V44" s="705" t="s">
        <v>14</v>
      </c>
      <c r="W44" s="706">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2">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1">
        <f t="shared" si="11"/>
        <v>111</v>
      </c>
      <c r="R46" s="705" t="s">
        <v>14</v>
      </c>
      <c r="S46" s="706">
        <f t="shared" si="12"/>
        <v>100</v>
      </c>
      <c r="T46" s="705" t="s">
        <v>14</v>
      </c>
      <c r="U46" s="706">
        <f t="shared" si="13"/>
        <v>100</v>
      </c>
      <c r="V46" s="705" t="s">
        <v>14</v>
      </c>
      <c r="W46" s="706">
        <f t="shared" si="14"/>
        <v>100</v>
      </c>
      <c r="X46" s="1354"/>
      <c r="Y46" s="370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1">
        <f t="shared" si="11"/>
        <v>111</v>
      </c>
      <c r="R47" s="705" t="s">
        <v>14</v>
      </c>
      <c r="S47" s="706">
        <f t="shared" si="12"/>
        <v>100</v>
      </c>
      <c r="T47" s="705" t="s">
        <v>14</v>
      </c>
      <c r="U47" s="706">
        <f t="shared" si="13"/>
        <v>100</v>
      </c>
      <c r="V47" s="705" t="s">
        <v>14</v>
      </c>
      <c r="W47" s="706">
        <f t="shared" si="14"/>
        <v>100</v>
      </c>
      <c r="X47" s="1354"/>
      <c r="Y47" s="3701"/>
      <c r="Z47" s="1355">
        <f t="shared" si="15"/>
        <v>111</v>
      </c>
      <c r="AA47" s="1352">
        <f t="shared" si="3"/>
        <v>1</v>
      </c>
      <c r="AB47" s="1352">
        <f t="shared" si="4"/>
        <v>1</v>
      </c>
      <c r="AC47" s="1961">
        <f t="shared" si="5"/>
        <v>1</v>
      </c>
    </row>
    <row r="48" spans="1:29" ht="15">
      <c r="A48" s="430" t="s">
        <v>1708</v>
      </c>
      <c r="B48" s="431"/>
      <c r="C48" s="1153" t="s">
        <v>0</v>
      </c>
      <c r="D48" s="1154"/>
      <c r="E48" s="1155">
        <f>Sheet1!F154</f>
        <v>48380</v>
      </c>
      <c r="F48" s="1156"/>
      <c r="G48" s="1157">
        <f>Sheet1!F155</f>
        <v>47000</v>
      </c>
      <c r="H48" s="1158"/>
      <c r="I48" s="1155">
        <f>Sheet1!F156</f>
        <v>47248</v>
      </c>
      <c r="J48" s="436"/>
      <c r="K48" s="714"/>
      <c r="L48" s="2722"/>
      <c r="M48" s="2714"/>
      <c r="N48" s="2714"/>
      <c r="O48" s="2714"/>
      <c r="P48" s="3675" t="str">
        <f>A48</f>
        <v>成交单价（元/平方米）</v>
      </c>
      <c r="Q48" s="3693"/>
      <c r="R48" s="3694">
        <f>E48</f>
        <v>48380</v>
      </c>
      <c r="S48" s="3694"/>
      <c r="T48" s="3694">
        <f>G48</f>
        <v>47000</v>
      </c>
      <c r="U48" s="3694"/>
      <c r="V48" s="3694">
        <f>I48</f>
        <v>47248</v>
      </c>
      <c r="W48" s="3694"/>
      <c r="X48" s="397"/>
      <c r="Y48" s="712"/>
      <c r="Z48" s="397"/>
      <c r="AA48" s="397"/>
      <c r="AB48" s="397"/>
      <c r="AC48" s="578"/>
    </row>
    <row r="49" spans="1:29" ht="15.75" thickBot="1">
      <c r="A49" s="437" t="s">
        <v>1793</v>
      </c>
      <c r="B49" s="438"/>
      <c r="C49" s="1159">
        <f>R50</f>
        <v>47886</v>
      </c>
      <c r="D49" s="2315" t="s">
        <v>2137</v>
      </c>
      <c r="E49" s="1160">
        <f>R49</f>
        <v>49367</v>
      </c>
      <c r="F49" s="2316"/>
      <c r="G49" s="1159">
        <f>T49</f>
        <v>46078</v>
      </c>
      <c r="H49" s="2316"/>
      <c r="I49" s="1160">
        <f>V49</f>
        <v>48212</v>
      </c>
      <c r="J49" s="2316"/>
      <c r="K49" s="2318">
        <f>F49+H49+J49</f>
        <v>0</v>
      </c>
      <c r="L49" s="2722"/>
      <c r="M49" s="2714"/>
      <c r="N49" s="2714"/>
      <c r="O49" s="2714"/>
      <c r="P49" s="3675" t="str">
        <f>A49</f>
        <v>比较价值（元/平方米）</v>
      </c>
      <c r="Q49" s="3693"/>
      <c r="R49" s="3694">
        <f>IF(F1="售价",ROUND(PRODUCT(R48,AA7:AA47),0),ROUND(PRODUCT(R48,AA7:AA47),1))</f>
        <v>49367</v>
      </c>
      <c r="S49" s="3694"/>
      <c r="T49" s="3694">
        <f>IF(F1="售价",ROUND(PRODUCT(T48,AB7:AB47),0),ROUND(PRODUCT(T48,AB7:AB47),1))</f>
        <v>46078</v>
      </c>
      <c r="U49" s="3694"/>
      <c r="V49" s="3694">
        <f>IF(F1="售价",ROUND(PRODUCT(V48,AC7:AC47),0),ROUND(PRODUCT(V48,AC7:AC47),1))</f>
        <v>48212</v>
      </c>
      <c r="W49" s="3694"/>
      <c r="X49" s="397"/>
      <c r="Y49" s="397"/>
      <c r="Z49" s="397"/>
      <c r="AA49" s="397"/>
      <c r="AB49" s="397"/>
      <c r="AC49" s="578"/>
    </row>
    <row r="50" spans="1:29" ht="15.75" thickBot="1">
      <c r="A50" s="441" t="s">
        <v>1794</v>
      </c>
      <c r="B50" s="442"/>
      <c r="C50" s="1162">
        <f>R50</f>
        <v>47886</v>
      </c>
      <c r="D50" s="1162"/>
      <c r="E50" s="1162"/>
      <c r="F50" s="1162"/>
      <c r="G50" s="1162"/>
      <c r="H50" s="1162"/>
      <c r="I50" s="1162"/>
      <c r="J50" s="443"/>
      <c r="K50" s="715"/>
      <c r="L50" s="2722"/>
      <c r="M50" s="2714"/>
      <c r="N50" s="2714"/>
      <c r="O50" s="2714"/>
      <c r="P50" s="3716" t="str">
        <f>A50</f>
        <v>估价对象XX用房的比较价值（楼面单价，元/平方米）</v>
      </c>
      <c r="Q50" s="3717"/>
      <c r="R50" s="3718">
        <f>IF(F1="售价",ROUND(IF(D49="简单平均",AVERAGE(R49:V49),R49*F49+T49*H49+V49*J49),0),ROUND(IF(D49="简单平均",AVERAGE(R49:V49),R49*F49+T49*H49+V49*J49),1))</f>
        <v>47886</v>
      </c>
      <c r="S50" s="3718"/>
      <c r="T50" s="3718"/>
      <c r="U50" s="3718"/>
      <c r="V50" s="3718"/>
      <c r="W50" s="371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2.0400992145514607E-2</v>
      </c>
      <c r="F53" s="449" t="str">
        <f>IF(OR(E53&gt;=0.3,E53&lt;=-0.3),"超过30%","")</f>
        <v/>
      </c>
      <c r="G53" s="448">
        <f>IF(G48&lt;G49,G49/G48-1,G48/G49-1)</f>
        <v>2.0009549025565398E-2</v>
      </c>
      <c r="H53" s="449" t="str">
        <f>IF(OR(G53&gt;=0.3,G53&lt;=-0.3),"超过30%","")</f>
        <v/>
      </c>
      <c r="I53" s="448">
        <f>IF(I48&lt;I49,I49/I48-1,I48/I49-1)</f>
        <v>2.0402980020318262E-2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7.1378966100959174E-2</v>
      </c>
      <c r="F54" s="449" t="str">
        <f>IF(OR(E54&gt;=0.2,E54&lt;=-0.2),"超过20%","")</f>
        <v/>
      </c>
      <c r="G54" s="448">
        <f>IF(G49&lt;I49,I49/G49-1,G49/I49-1)</f>
        <v>4.6312773991926681E-2</v>
      </c>
      <c r="H54" s="449" t="str">
        <f>IF(OR(G54&gt;=0.2,G54&lt;=-0.2),"超过20%","")</f>
        <v/>
      </c>
      <c r="I54" s="448">
        <f>IF(I49&lt;E49,E49/I49-1,I49/E49-1)</f>
        <v>2.3956691280179188E-2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2.9361702127659539E-2</v>
      </c>
      <c r="F55" s="449" t="str">
        <f>IF(OR(E55&gt;=0.3,E55&lt;=-0.3),"超过30%","")</f>
        <v/>
      </c>
      <c r="G55" s="448">
        <f>IF(G48&lt;I48,I48/G48-1,G48/I48-1)</f>
        <v>5.2765957446807565E-3</v>
      </c>
      <c r="H55" s="449" t="str">
        <f>IF(OR(G55&gt;=0.3,G55&lt;=-0.3),"超过30%","")</f>
        <v/>
      </c>
      <c r="I55" s="448">
        <f>IF(I48&lt;E48,E48/I48-1,I48/E48-1)</f>
        <v>2.3958686081950509E-2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2022-12</v>
      </c>
      <c r="D59" s="1184">
        <f>EDATE(C59,-1)</f>
        <v>44866</v>
      </c>
      <c r="E59" s="1184">
        <f>EDATE(D59,-1)</f>
        <v>44835</v>
      </c>
      <c r="F59" s="1184">
        <f t="shared" ref="F59:O59" si="16">EDATE(E59,-1)</f>
        <v>44805</v>
      </c>
      <c r="G59" s="1184">
        <f t="shared" si="16"/>
        <v>44774</v>
      </c>
      <c r="H59" s="1184">
        <f t="shared" si="16"/>
        <v>44743</v>
      </c>
      <c r="I59" s="1184">
        <f t="shared" si="16"/>
        <v>44713</v>
      </c>
      <c r="J59" s="1184">
        <f t="shared" si="16"/>
        <v>44682</v>
      </c>
      <c r="K59" s="1184">
        <f t="shared" si="16"/>
        <v>44652</v>
      </c>
      <c r="L59" s="1184">
        <f t="shared" si="16"/>
        <v>44621</v>
      </c>
      <c r="M59" s="1184">
        <f t="shared" si="16"/>
        <v>44593</v>
      </c>
      <c r="N59" s="1184">
        <f t="shared" si="16"/>
        <v>44562</v>
      </c>
      <c r="O59" s="1184">
        <f t="shared" si="16"/>
        <v>44531</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799" t="s">
        <v>3400</v>
      </c>
      <c r="D87" s="3799" t="s">
        <v>3399</v>
      </c>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200</v>
      </c>
      <c r="F104" s="544">
        <v>300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1" sqref="A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v>2108</v>
      </c>
      <c r="D1" s="1361" t="s">
        <v>43</v>
      </c>
      <c r="E1" s="1362" t="s">
        <v>678</v>
      </c>
      <c r="F1" s="1061">
        <f ca="1">J53</f>
        <v>34</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5">
        <f ca="1">ROUND(D2/10000,4)</f>
        <v>534.50049999999999</v>
      </c>
      <c r="C2" s="1386" t="s">
        <v>879</v>
      </c>
      <c r="D2" s="1470">
        <f ca="1">C40+J29+L46</f>
        <v>5345005</v>
      </c>
      <c r="E2" s="1387" t="s">
        <v>880</v>
      </c>
      <c r="F2" s="1388"/>
      <c r="G2" s="2704"/>
      <c r="H2" s="2693"/>
      <c r="I2" s="2693"/>
      <c r="J2" s="2693"/>
      <c r="K2" s="2694"/>
      <c r="L2" s="2693"/>
      <c r="M2" s="2693"/>
    </row>
    <row r="3" spans="1:37" ht="18" customHeight="1" thickBot="1">
      <c r="A3" s="1389" t="s">
        <v>881</v>
      </c>
      <c r="B3" s="1390">
        <f ca="1">IF(ISERROR(D2/F43),0,ROUND(D2/F43,0))</f>
        <v>38313</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321204</v>
      </c>
      <c r="D5" s="1363" t="s">
        <v>889</v>
      </c>
      <c r="E5" s="1070"/>
      <c r="F5" s="1071"/>
      <c r="G5" s="1383"/>
      <c r="H5" s="299">
        <v>1</v>
      </c>
      <c r="I5" s="300" t="s">
        <v>888</v>
      </c>
      <c r="J5" s="1069">
        <f ca="1">J6+J10+J12</f>
        <v>0</v>
      </c>
      <c r="K5" s="1363" t="s">
        <v>889</v>
      </c>
      <c r="L5" s="1070"/>
      <c r="M5" s="1071"/>
    </row>
    <row r="6" spans="1:37" ht="18" customHeight="1">
      <c r="A6" s="1068" t="s">
        <v>398</v>
      </c>
      <c r="B6" s="3634" t="s">
        <v>694</v>
      </c>
      <c r="C6" s="1073">
        <f ca="1">ROUND(F6*F8*F7*(1-F9),0)</f>
        <v>320803</v>
      </c>
      <c r="D6" s="155" t="s">
        <v>2105</v>
      </c>
      <c r="E6" s="302" t="s">
        <v>696</v>
      </c>
      <c r="F6" s="303">
        <f ca="1">INDIRECT("'数据-取费表'!u"&amp;$G$1)</f>
        <v>7</v>
      </c>
      <c r="G6" s="1383"/>
      <c r="H6" s="1068" t="s">
        <v>398</v>
      </c>
      <c r="I6" s="3634" t="s">
        <v>694</v>
      </c>
      <c r="J6" s="301">
        <f ca="1">ROUND(M6*M8*M7*(1-M9),0)</f>
        <v>0</v>
      </c>
      <c r="K6" s="1375" t="s">
        <v>2106</v>
      </c>
      <c r="L6" s="302" t="s">
        <v>696</v>
      </c>
      <c r="M6" s="303">
        <f ca="1">INDIRECT("'数据-取费表'!z"&amp;$G$1)</f>
        <v>0</v>
      </c>
    </row>
    <row r="7" spans="1:37" ht="18" customHeight="1">
      <c r="A7" s="1072"/>
      <c r="B7" s="3635"/>
      <c r="C7" s="1074"/>
      <c r="D7" s="307"/>
      <c r="E7" s="1075" t="s">
        <v>697</v>
      </c>
      <c r="F7" s="303">
        <f ca="1">IF(INDIRECT("'数据-取费表'!ah"&amp;$G$1)="",INDIRECT("'数据-取费表'!k"&amp;$G$1),INDIRECT("'数据-取费表'!ah"&amp;$G$1))</f>
        <v>139.51</v>
      </c>
      <c r="G7" s="1383"/>
      <c r="H7" s="304"/>
      <c r="I7" s="3635"/>
      <c r="J7" s="306"/>
      <c r="K7" s="307"/>
      <c r="L7" s="302" t="s">
        <v>697</v>
      </c>
      <c r="M7" s="303">
        <f ca="1">F7</f>
        <v>139.51</v>
      </c>
    </row>
    <row r="8" spans="1:37" ht="18" customHeight="1">
      <c r="A8" s="304"/>
      <c r="B8" s="3635"/>
      <c r="C8" s="306"/>
      <c r="D8" s="307"/>
      <c r="E8" s="302" t="s">
        <v>698</v>
      </c>
      <c r="F8" s="303">
        <f ca="1">INDIRECT("'数据-取费表'!ai"&amp;$G$1)</f>
        <v>365</v>
      </c>
      <c r="G8" s="1383"/>
      <c r="H8" s="304"/>
      <c r="I8" s="3635"/>
      <c r="J8" s="306"/>
      <c r="K8" s="307"/>
      <c r="L8" s="302" t="s">
        <v>698</v>
      </c>
      <c r="M8" s="303">
        <f ca="1">INDIRECT("'数据-取费表'!ai"&amp;$G$1)</f>
        <v>365</v>
      </c>
    </row>
    <row r="9" spans="1:37" ht="18" customHeight="1">
      <c r="A9" s="304"/>
      <c r="B9" s="3636"/>
      <c r="C9" s="306"/>
      <c r="D9" s="307"/>
      <c r="E9" s="302" t="s">
        <v>699</v>
      </c>
      <c r="F9" s="312">
        <f ca="1">INDIRECT("'数据-取费表'!w"&amp;$G$1)</f>
        <v>0.1</v>
      </c>
      <c r="G9" s="1383"/>
      <c r="H9" s="304"/>
      <c r="I9" s="3636"/>
      <c r="J9" s="306"/>
      <c r="K9" s="307"/>
      <c r="L9" s="313" t="s">
        <v>699</v>
      </c>
      <c r="M9" s="314">
        <f ca="1">INDIRECT("'数据-取费表'!ab"&amp;$G$1)</f>
        <v>0</v>
      </c>
    </row>
    <row r="10" spans="1:37" ht="18" customHeight="1">
      <c r="A10" s="1068" t="s">
        <v>402</v>
      </c>
      <c r="B10" s="1364" t="s">
        <v>700</v>
      </c>
      <c r="C10" s="316">
        <f ca="1">ROUND(IF(F10="押一",C6/12*F11,IF(F10="押二",C6/12*2*F11,IF(F10="押三",C6/12*3*F11,C11*F11))),0)</f>
        <v>401</v>
      </c>
      <c r="D10" s="1365" t="s">
        <v>2115</v>
      </c>
      <c r="E10" s="313" t="s">
        <v>701</v>
      </c>
      <c r="F10" s="1115" t="s">
        <v>3405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574032</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488285</v>
      </c>
      <c r="D14" s="1344" t="s">
        <v>708</v>
      </c>
      <c r="E14" s="1341"/>
      <c r="F14" s="319"/>
      <c r="G14" s="1383"/>
      <c r="H14" s="982" t="s">
        <v>398</v>
      </c>
      <c r="I14" s="302" t="s">
        <v>709</v>
      </c>
      <c r="J14" s="21">
        <f ca="1">C29</f>
        <v>708681</v>
      </c>
      <c r="K14" s="12"/>
      <c r="L14" s="807"/>
      <c r="M14" s="808"/>
    </row>
    <row r="15" spans="1:37" s="1396" customFormat="1" ht="18" customHeight="1" thickBot="1">
      <c r="A15" s="982" t="s">
        <v>399</v>
      </c>
      <c r="B15" s="302" t="s">
        <v>710</v>
      </c>
      <c r="C15" s="21">
        <f ca="1">ROUND(C14*F15,0)</f>
        <v>14649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7087</v>
      </c>
      <c r="K16" s="1086" t="s">
        <v>715</v>
      </c>
      <c r="L16" s="1087"/>
      <c r="M16" s="1071"/>
    </row>
    <row r="17" spans="1:37" s="1396" customFormat="1" ht="18" customHeight="1">
      <c r="A17" s="982" t="s">
        <v>681</v>
      </c>
      <c r="B17" s="302" t="s">
        <v>716</v>
      </c>
      <c r="C17" s="21">
        <f ca="1">ROUND(F17*(F43+INDIRECT("'数据-取费表'!S"&amp;$G$1)),0)</f>
        <v>27902</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7324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538160</v>
      </c>
      <c r="D19" s="131" t="s">
        <v>726</v>
      </c>
      <c r="E19" s="1359"/>
      <c r="F19" s="23"/>
      <c r="G19" s="1383"/>
      <c r="H19" s="982"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2" t="s">
        <v>402</v>
      </c>
      <c r="B20" s="302" t="s">
        <v>728</v>
      </c>
      <c r="C20" s="21">
        <f ca="1">ROUND(C19*F20,0)</f>
        <v>10763</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7087</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22781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-7087</v>
      </c>
      <c r="K25" s="1094" t="s">
        <v>753</v>
      </c>
      <c r="L25" s="1095"/>
      <c r="M25" s="1096"/>
    </row>
    <row r="26" spans="1:37" ht="18" customHeight="1">
      <c r="A26" s="982" t="s">
        <v>397</v>
      </c>
      <c r="B26" s="302" t="s">
        <v>754</v>
      </c>
      <c r="C26" s="21">
        <f ca="1">ROUND((C19+C20)*F26,0)</f>
        <v>82338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708681</v>
      </c>
      <c r="D29" s="1091"/>
      <c r="E29" s="1089"/>
      <c r="F29" s="1092"/>
      <c r="G29" s="1395"/>
      <c r="H29" s="334" t="s">
        <v>396</v>
      </c>
      <c r="I29" s="335" t="s">
        <v>768</v>
      </c>
      <c r="J29" s="336">
        <f ca="1">ROUND(J26/(1+F40)^F41,0)</f>
        <v>0</v>
      </c>
      <c r="K29" s="337" t="s">
        <v>769</v>
      </c>
      <c r="L29" s="338"/>
      <c r="M29" s="339">
        <f ca="1">INDIRECT("'数据-取费表'!k"&amp;$G$1)</f>
        <v>139.51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64645</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53772</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IF(项目基本情况!B11="自然人","——",ROUND(C6*F32/(1+'数据-取费表'!C42),0))</f>
        <v>17109</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36663</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7087</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574</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3212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256559</v>
      </c>
      <c r="D39" s="1094" t="s">
        <v>773</v>
      </c>
      <c r="E39" s="1095"/>
      <c r="F39" s="1096"/>
      <c r="G39" s="1383"/>
      <c r="H39" s="2698"/>
      <c r="I39" s="1397"/>
      <c r="J39" s="1398"/>
      <c r="K39" s="2702"/>
      <c r="L39" s="2698"/>
      <c r="M39" s="2698"/>
    </row>
    <row r="40" spans="1:18" ht="18" customHeight="1">
      <c r="A40" s="299" t="s">
        <v>395</v>
      </c>
      <c r="B40" s="300" t="s">
        <v>774</v>
      </c>
      <c r="C40" s="301">
        <f ca="1">ROUND(C39*(1-((1+F42)/(1+F40))^F41)/(F40-F42),0)</f>
        <v>5345005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38313</v>
      </c>
      <c r="D43" s="337" t="s">
        <v>777</v>
      </c>
      <c r="E43" s="338" t="s">
        <v>778</v>
      </c>
      <c r="F43" s="339">
        <f ca="1">INDIRECT("'数据-取费表'!k"&amp;$G$1)</f>
        <v>139.51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31" t="s">
        <v>3360</v>
      </c>
      <c r="B45" s="1399"/>
      <c r="C45" s="1471">
        <f ca="1">ROUND((C68-C40)/10000,4)</f>
        <v>-546.17359999999996</v>
      </c>
      <c r="D45" s="3432" t="s">
        <v>3361</v>
      </c>
      <c r="E45" s="1399"/>
      <c r="F45" s="1399"/>
      <c r="O45" s="1402" t="s">
        <v>808</v>
      </c>
      <c r="P45" s="1460"/>
      <c r="Q45" s="1460"/>
      <c r="R45" s="1460"/>
    </row>
    <row r="46" spans="1:18" s="1383" customFormat="1" ht="13.5" thickBot="1">
      <c r="A46" s="1403" t="s">
        <v>809</v>
      </c>
      <c r="C46" s="1404">
        <f ca="1">ROUND(C45,0)</f>
        <v>-546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3406</v>
      </c>
      <c r="K47" s="1415" t="s">
        <v>816</v>
      </c>
      <c r="L47" s="1416">
        <f ca="1">INDIRECT("'数据-取费表'!d"&amp;$G$1)</f>
        <v>50</v>
      </c>
      <c r="M47" s="1379" t="str">
        <f>IF(ISNUMBER(FIND("住宅",C1)),"住宅","非住宅")</f>
        <v>非住宅</v>
      </c>
      <c r="O47" s="1417" t="s">
        <v>403</v>
      </c>
      <c r="P47" s="1418" t="s">
        <v>817</v>
      </c>
      <c r="Q47" s="1419">
        <f ca="1">C40+J29</f>
        <v>5345005</v>
      </c>
      <c r="R47" s="1419" t="s">
        <v>818</v>
      </c>
    </row>
    <row r="48" spans="1:18" s="1383" customFormat="1" ht="28.5" thickBot="1">
      <c r="A48" s="1109" t="s">
        <v>438</v>
      </c>
      <c r="B48" s="300" t="s">
        <v>692</v>
      </c>
      <c r="C48" s="1358">
        <f ca="1">C49+C53+C55</f>
        <v>0</v>
      </c>
      <c r="D48" s="1111"/>
      <c r="E48" s="1112"/>
      <c r="F48" s="962"/>
      <c r="G48" s="722"/>
      <c r="H48" s="723"/>
      <c r="I48" s="1420" t="s">
        <v>819</v>
      </c>
      <c r="J48" s="1421" t="s">
        <v>3407</v>
      </c>
      <c r="K48" s="1422" t="s">
        <v>820</v>
      </c>
      <c r="L48" s="1423">
        <f ca="1">INDIRECT("'数据-取费表'!f"&amp;$G$1)</f>
        <v>34</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2008</v>
      </c>
      <c r="K49" s="1422" t="s">
        <v>824</v>
      </c>
      <c r="L49" s="1426"/>
      <c r="O49" s="1427" t="s">
        <v>405</v>
      </c>
      <c r="P49" s="1418" t="s">
        <v>825</v>
      </c>
      <c r="Q49" s="1419">
        <f ca="1">C29</f>
        <v>708681</v>
      </c>
      <c r="R49" s="1419" t="s">
        <v>818</v>
      </c>
    </row>
    <row r="50" spans="1:18" s="1383" customFormat="1" ht="13.5" thickBot="1">
      <c r="A50" s="976"/>
      <c r="B50" s="979"/>
      <c r="C50" s="980"/>
      <c r="D50" s="953"/>
      <c r="E50" s="1055" t="s">
        <v>697</v>
      </c>
      <c r="F50" s="1056">
        <f ca="1">F7</f>
        <v>139.51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46</v>
      </c>
      <c r="K51" s="1433" t="s">
        <v>830</v>
      </c>
      <c r="L51" s="1434">
        <f ca="1">ROUND(-PV(INDIRECT("'数据-取费表'!h"&amp;$G$1),J51,(C39-C13*C76),0),0)</f>
        <v>3868831</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34</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34</v>
      </c>
      <c r="K53" s="3632" t="s">
        <v>837</v>
      </c>
      <c r="L53" s="3633"/>
      <c r="O53" s="1417" t="s">
        <v>409</v>
      </c>
      <c r="P53" s="1418" t="s">
        <v>838</v>
      </c>
      <c r="Q53" s="1419">
        <f ca="1">Q47+Q48</f>
        <v>5345005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574032</v>
      </c>
      <c r="D56" s="1446"/>
      <c r="E56" s="1447"/>
      <c r="F56" s="1439"/>
      <c r="I56" s="1448" t="s">
        <v>842</v>
      </c>
      <c r="J56" s="1449" t="s">
        <v>3379</v>
      </c>
      <c r="K56" s="1420" t="s">
        <v>843</v>
      </c>
      <c r="L56" s="1423" t="str">
        <f ca="1">IF(L48&lt;J51,"——",L48-J51)</f>
        <v>——</v>
      </c>
      <c r="O56" s="1417" t="s">
        <v>403</v>
      </c>
      <c r="P56" s="1418" t="s">
        <v>817</v>
      </c>
      <c r="Q56" s="1419">
        <f ca="1">C40+J29</f>
        <v>5345005</v>
      </c>
      <c r="R56" s="1419" t="s">
        <v>818</v>
      </c>
    </row>
    <row r="57" spans="1:18" s="1383" customFormat="1" ht="24.75" thickBot="1">
      <c r="A57" s="1450"/>
      <c r="B57" s="950" t="s">
        <v>767</v>
      </c>
      <c r="C57" s="238">
        <f ca="1">C29</f>
        <v>708681</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7661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5345005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7087</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574</v>
      </c>
      <c r="D65" s="964" t="s">
        <v>743</v>
      </c>
      <c r="E65" s="950" t="s">
        <v>744</v>
      </c>
      <c r="F65" s="330">
        <f t="shared" ca="1" si="0"/>
        <v>1E-3</v>
      </c>
      <c r="I65" s="1461" t="s">
        <v>867</v>
      </c>
      <c r="J65" s="1462">
        <v>40</v>
      </c>
      <c r="K65" s="1462">
        <v>30</v>
      </c>
      <c r="L65" s="1462">
        <v>50</v>
      </c>
      <c r="M65" s="1464">
        <v>0.02</v>
      </c>
      <c r="O65" s="1417" t="s">
        <v>403</v>
      </c>
      <c r="P65" s="1418" t="s">
        <v>868</v>
      </c>
      <c r="Q65" s="1419">
        <f ca="1">C40+J29</f>
        <v>5345005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-7661</v>
      </c>
      <c r="D67" s="963" t="s">
        <v>753</v>
      </c>
      <c r="E67" s="968"/>
      <c r="F67" s="969"/>
      <c r="O67" s="1427" t="s">
        <v>405</v>
      </c>
      <c r="P67" s="1418" t="s">
        <v>850</v>
      </c>
      <c r="Q67" s="1465">
        <f ca="1">L51</f>
        <v>3868831</v>
      </c>
      <c r="R67" s="1419" t="s">
        <v>870</v>
      </c>
    </row>
    <row r="68" spans="1:18" s="1383" customFormat="1" ht="16.5" thickBot="1">
      <c r="A68" s="947" t="s">
        <v>395</v>
      </c>
      <c r="B68" s="948" t="s">
        <v>774</v>
      </c>
      <c r="C68" s="301">
        <f ca="1">ROUND(C67*(1-((1+F70)/(1+F68))^F69)/(F68-F70),0)</f>
        <v>-116731</v>
      </c>
      <c r="D68" s="965" t="s">
        <v>758</v>
      </c>
      <c r="E68" s="950" t="s">
        <v>759</v>
      </c>
      <c r="F68" s="312">
        <f ca="1">F40</f>
        <v>5.5E-2</v>
      </c>
      <c r="O68" s="1427" t="s">
        <v>406</v>
      </c>
      <c r="P68" s="1466" t="s">
        <v>871</v>
      </c>
      <c r="Q68" s="1419">
        <f ca="1">ROUND(Q69-Q70*Q71,0)</f>
        <v>216377</v>
      </c>
      <c r="R68" s="1419" t="s">
        <v>414</v>
      </c>
    </row>
    <row r="69" spans="1:18" s="1383" customFormat="1" ht="13.5" thickBot="1">
      <c r="A69" s="951"/>
      <c r="B69" s="952"/>
      <c r="C69" s="306"/>
      <c r="D69" s="970" t="s">
        <v>762</v>
      </c>
      <c r="E69" s="950" t="s">
        <v>763</v>
      </c>
      <c r="F69" s="333">
        <f ca="1">F41</f>
        <v>34</v>
      </c>
      <c r="O69" s="1427" t="s">
        <v>411</v>
      </c>
      <c r="P69" s="1466" t="s">
        <v>872</v>
      </c>
      <c r="Q69" s="1419">
        <f ca="1">C39</f>
        <v>256559</v>
      </c>
      <c r="R69" s="1419" t="s">
        <v>818</v>
      </c>
    </row>
    <row r="70" spans="1:18" s="1383" customFormat="1" ht="13.5" thickBot="1">
      <c r="A70" s="954"/>
      <c r="B70" s="955"/>
      <c r="C70" s="310"/>
      <c r="D70" s="966"/>
      <c r="E70" s="950" t="s">
        <v>766</v>
      </c>
      <c r="F70" s="1053"/>
      <c r="O70" s="1427" t="s">
        <v>412</v>
      </c>
      <c r="P70" s="1466" t="s">
        <v>873</v>
      </c>
      <c r="Q70" s="1419">
        <f ca="1">C13</f>
        <v>574032</v>
      </c>
      <c r="R70" s="1419" t="s">
        <v>818</v>
      </c>
    </row>
    <row r="71" spans="1:18" s="1383" customFormat="1" ht="13.5" thickBot="1">
      <c r="A71" s="971" t="s">
        <v>396</v>
      </c>
      <c r="B71" s="972" t="s">
        <v>776</v>
      </c>
      <c r="C71" s="336">
        <f ca="1">ROUND(C68/F71,0)</f>
        <v>-837</v>
      </c>
      <c r="D71" s="973" t="s">
        <v>777</v>
      </c>
      <c r="E71" s="974" t="s">
        <v>778</v>
      </c>
      <c r="F71" s="339">
        <f ca="1">F43</f>
        <v>139.51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40182</v>
      </c>
      <c r="D75" s="1383"/>
      <c r="E75" s="1383"/>
      <c r="F75" s="1383"/>
      <c r="K75" s="1401"/>
      <c r="L75" s="1383"/>
      <c r="O75" s="1417" t="s">
        <v>409</v>
      </c>
      <c r="P75" s="1418" t="s">
        <v>838</v>
      </c>
      <c r="Q75" s="1419">
        <f ca="1">Q65+Q66</f>
        <v>5345005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4" t="s">
        <v>2317</v>
      </c>
      <c r="B2" s="2841" t="e">
        <f>IF(D2="——",C40,C40+E2)</f>
        <v>#DIV/0!</v>
      </c>
      <c r="C2" s="2842" t="s">
        <v>2318</v>
      </c>
      <c r="D2" s="3443" t="s">
        <v>3369</v>
      </c>
      <c r="E2" s="3444"/>
      <c r="F2" s="2844"/>
      <c r="G2" s="2845"/>
      <c r="H2" s="2846"/>
      <c r="I2" s="2847"/>
      <c r="J2" s="3637" t="s">
        <v>2319</v>
      </c>
      <c r="K2" s="363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39" t="s">
        <v>2329</v>
      </c>
      <c r="K3" s="364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39" t="s">
        <v>2331</v>
      </c>
      <c r="K4" s="364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41" t="s">
        <v>2335</v>
      </c>
      <c r="B6" s="3642"/>
      <c r="C6" s="3643"/>
      <c r="D6" s="2868"/>
      <c r="E6" s="2869"/>
      <c r="F6" s="2870"/>
      <c r="G6" s="2871"/>
      <c r="H6" s="2846"/>
      <c r="I6" s="2847"/>
      <c r="J6" s="3644">
        <v>1</v>
      </c>
      <c r="K6" s="364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4"/>
      <c r="K7" s="3646"/>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48" t="s">
        <v>2349</v>
      </c>
      <c r="C8" s="3649"/>
      <c r="D8" s="2887" t="s">
        <v>2350</v>
      </c>
      <c r="E8" s="2888" t="s">
        <v>2351</v>
      </c>
      <c r="F8" s="2889" t="s">
        <v>2352</v>
      </c>
      <c r="G8" s="2890"/>
      <c r="H8" s="2846"/>
      <c r="I8" s="2847"/>
      <c r="J8" s="3644"/>
      <c r="K8" s="3646"/>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48" t="s">
        <v>2355</v>
      </c>
      <c r="C9" s="3649"/>
      <c r="D9" s="2887">
        <f>ROUND(D6*E9,0)</f>
        <v>0</v>
      </c>
      <c r="E9" s="2891"/>
      <c r="F9" s="2892" t="s">
        <v>2356</v>
      </c>
      <c r="G9" s="2871"/>
      <c r="H9" s="2846"/>
      <c r="I9" s="2847"/>
      <c r="J9" s="3644"/>
      <c r="K9" s="3646"/>
      <c r="L9" s="2881" t="s">
        <v>2357</v>
      </c>
      <c r="M9" s="2882"/>
      <c r="N9" s="2858"/>
      <c r="O9" s="2883"/>
      <c r="P9" s="2883"/>
      <c r="Q9" s="2884">
        <v>365</v>
      </c>
      <c r="R9" s="2885">
        <f t="shared" si="0"/>
        <v>0</v>
      </c>
      <c r="S9" s="2839"/>
      <c r="T9" s="2839"/>
      <c r="U9" s="2839"/>
      <c r="V9" s="2847"/>
    </row>
    <row r="10" spans="1:22" s="2851" customFormat="1" ht="13.15" customHeight="1">
      <c r="A10" s="2886">
        <v>2</v>
      </c>
      <c r="B10" s="3648" t="s">
        <v>2358</v>
      </c>
      <c r="C10" s="3649"/>
      <c r="D10" s="2887">
        <f>ROUND(D6*E10,0)</f>
        <v>0</v>
      </c>
      <c r="E10" s="2891"/>
      <c r="F10" s="2892" t="s">
        <v>2359</v>
      </c>
      <c r="G10" s="2871"/>
      <c r="H10" s="2846"/>
      <c r="I10" s="2847"/>
      <c r="J10" s="3644"/>
      <c r="K10" s="3646"/>
      <c r="L10" s="2881" t="s">
        <v>2360</v>
      </c>
      <c r="M10" s="2882"/>
      <c r="N10" s="2858"/>
      <c r="O10" s="2883"/>
      <c r="P10" s="2883"/>
      <c r="Q10" s="2884">
        <v>365</v>
      </c>
      <c r="R10" s="2885">
        <f t="shared" si="0"/>
        <v>0</v>
      </c>
      <c r="S10" s="2839"/>
      <c r="T10" s="2839"/>
      <c r="U10" s="2839"/>
      <c r="V10" s="2847"/>
    </row>
    <row r="11" spans="1:22" s="2851" customFormat="1" ht="13.15" customHeight="1">
      <c r="A11" s="2886">
        <v>3</v>
      </c>
      <c r="B11" s="3648" t="s">
        <v>2361</v>
      </c>
      <c r="C11" s="3649"/>
      <c r="D11" s="2887">
        <f>D12+D14+D15+D16</f>
        <v>0</v>
      </c>
      <c r="E11" s="2893" t="e">
        <f>D11/D6</f>
        <v>#DIV/0!</v>
      </c>
      <c r="F11" s="2889"/>
      <c r="G11" s="2890"/>
      <c r="H11" s="2846"/>
      <c r="I11" s="2847"/>
      <c r="J11" s="3644"/>
      <c r="K11" s="3646"/>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0" t="s">
        <v>2364</v>
      </c>
      <c r="C12" s="3651"/>
      <c r="D12" s="2895">
        <f>ROUND(D13*1.2%*(1-30%),0)</f>
        <v>0</v>
      </c>
      <c r="E12" s="2896">
        <v>1.2E-2</v>
      </c>
      <c r="F12" s="2889" t="s">
        <v>2365</v>
      </c>
      <c r="G12" s="2890"/>
      <c r="H12" s="2846"/>
      <c r="I12" s="2847"/>
      <c r="J12" s="3644"/>
      <c r="K12" s="3646"/>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4"/>
      <c r="K13" s="3646"/>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0" t="s">
        <v>2370</v>
      </c>
      <c r="C14" s="3651"/>
      <c r="D14" s="2895">
        <f>ROUND(E14*B5/10000,0)</f>
        <v>0</v>
      </c>
      <c r="E14" s="2884"/>
      <c r="F14" s="2889" t="s">
        <v>2371</v>
      </c>
      <c r="G14" s="2890"/>
      <c r="H14" s="2846"/>
      <c r="I14" s="2847"/>
      <c r="J14" s="3644"/>
      <c r="K14" s="364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0" t="s">
        <v>2374</v>
      </c>
      <c r="C15" s="3651"/>
      <c r="D15" s="2895">
        <f>ROUND(D6*E15,0)</f>
        <v>0</v>
      </c>
      <c r="E15" s="2896">
        <v>5.5E-2</v>
      </c>
      <c r="F15" s="2889" t="s">
        <v>2375</v>
      </c>
      <c r="G15" s="2871"/>
      <c r="H15" s="2846"/>
      <c r="I15" s="2847"/>
      <c r="J15" s="3644">
        <v>2</v>
      </c>
      <c r="K15" s="364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0" t="s">
        <v>2383</v>
      </c>
      <c r="C16" s="3651"/>
      <c r="D16" s="2906">
        <f>D6*E16</f>
        <v>0</v>
      </c>
      <c r="E16" s="2907"/>
      <c r="F16" s="2892" t="s">
        <v>2384</v>
      </c>
      <c r="G16" s="2871"/>
      <c r="H16" s="2846"/>
      <c r="I16" s="2847"/>
      <c r="J16" s="3644"/>
      <c r="K16" s="3646"/>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2" t="s">
        <v>2386</v>
      </c>
      <c r="C17" s="3653"/>
      <c r="D17" s="2909">
        <f>ROUND(D6*E17,0)</f>
        <v>0</v>
      </c>
      <c r="E17" s="2910"/>
      <c r="F17" s="2911" t="s">
        <v>2387</v>
      </c>
      <c r="G17" s="2871"/>
      <c r="H17" s="2846"/>
      <c r="I17" s="2847"/>
      <c r="J17" s="3644"/>
      <c r="K17" s="3646"/>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4"/>
      <c r="K18" s="3646"/>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4"/>
      <c r="K19" s="364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4"/>
      <c r="K21" s="3646"/>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4"/>
      <c r="K22" s="3646"/>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4"/>
      <c r="K23" s="3646"/>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4"/>
      <c r="K24" s="364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54">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5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37" t="s">
        <v>2319</v>
      </c>
      <c r="K32" s="363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39" t="s">
        <v>2329</v>
      </c>
      <c r="K33" s="364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39" t="s">
        <v>2331</v>
      </c>
      <c r="K34" s="364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4">
        <v>1</v>
      </c>
      <c r="K36" s="3645"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4"/>
      <c r="K40" s="3647"/>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4">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5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534.50049999999999</v>
      </c>
      <c r="C2" s="1871" t="s">
        <v>1651</v>
      </c>
      <c r="D2" s="1872" t="s">
        <v>1652</v>
      </c>
      <c r="E2" s="2605">
        <f>SUM(E6:E13)</f>
        <v>139.51</v>
      </c>
      <c r="F2" s="2705"/>
      <c r="G2" s="1488"/>
      <c r="H2" s="1488"/>
      <c r="I2" s="1488"/>
      <c r="J2" s="1488"/>
      <c r="K2" s="1488"/>
      <c r="L2" s="1488"/>
      <c r="M2" s="1488"/>
      <c r="N2" s="1488"/>
      <c r="O2" s="1488"/>
      <c r="P2" s="1488"/>
      <c r="Q2" s="1488"/>
      <c r="R2" s="1488"/>
      <c r="S2" s="1488"/>
    </row>
    <row r="3" spans="1:22" ht="15.75">
      <c r="A3" s="1869" t="s">
        <v>686</v>
      </c>
      <c r="B3" s="2599">
        <f ca="1">ROUND(B2*10000/E2,0)</f>
        <v>38313</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56" t="s">
        <v>1654</v>
      </c>
      <c r="C5" s="365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534.50049999999999</v>
      </c>
      <c r="C6" s="1871" t="s">
        <v>1651</v>
      </c>
      <c r="D6" s="2707"/>
      <c r="E6" s="2604">
        <f>IF(OR(A6=0,F6="否"),0,'数据-取费表'!K6+'数据-取费表'!S6)</f>
        <v>139.51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6"/>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7"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139.51</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3"/>
      <c r="M4" s="2714"/>
      <c r="N4" s="2714"/>
      <c r="O4" s="2714"/>
      <c r="P4" s="3680" t="s">
        <v>1672</v>
      </c>
      <c r="Q4" s="3681"/>
      <c r="R4" s="3663" t="s">
        <v>1668</v>
      </c>
      <c r="S4" s="3664"/>
      <c r="T4" s="3663" t="s">
        <v>1669</v>
      </c>
      <c r="U4" s="3664"/>
      <c r="V4" s="3688" t="s">
        <v>1670</v>
      </c>
      <c r="W4" s="3688"/>
      <c r="X4" s="1354"/>
      <c r="Y4" s="3663" t="s">
        <v>1672</v>
      </c>
      <c r="Z4" s="3664"/>
      <c r="AA4" s="3658" t="s">
        <v>1668</v>
      </c>
      <c r="AB4" s="3658" t="s">
        <v>1669</v>
      </c>
      <c r="AC4" s="3658" t="s">
        <v>1670</v>
      </c>
    </row>
    <row r="5" spans="1:29" ht="15">
      <c r="A5" s="358"/>
      <c r="B5" s="359"/>
      <c r="C5" s="3669" t="s">
        <v>1673</v>
      </c>
      <c r="D5" s="3670"/>
      <c r="E5" s="3667" t="s">
        <v>1674</v>
      </c>
      <c r="F5" s="3668"/>
      <c r="G5" s="3669" t="s">
        <v>1675</v>
      </c>
      <c r="H5" s="3670"/>
      <c r="I5" s="3669" t="s">
        <v>1676</v>
      </c>
      <c r="J5" s="3670"/>
      <c r="K5" s="1889"/>
      <c r="L5" s="2713"/>
      <c r="M5" s="2714"/>
      <c r="N5" s="2714"/>
      <c r="O5" s="2714"/>
      <c r="P5" s="3682"/>
      <c r="Q5" s="3683"/>
      <c r="R5" s="3665"/>
      <c r="S5" s="3666"/>
      <c r="T5" s="3665"/>
      <c r="U5" s="3666"/>
      <c r="V5" s="3688"/>
      <c r="W5" s="3688"/>
      <c r="X5" s="1354"/>
      <c r="Y5" s="3665"/>
      <c r="Z5" s="3666"/>
      <c r="AA5" s="3659"/>
      <c r="AB5" s="3659"/>
      <c r="AC5" s="3659"/>
    </row>
    <row r="6" spans="1:29" ht="15.75" thickBot="1">
      <c r="A6" s="360"/>
      <c r="B6" s="361"/>
      <c r="C6" s="3671" t="s">
        <v>1677</v>
      </c>
      <c r="D6" s="3672"/>
      <c r="E6" s="3673" t="s">
        <v>1677</v>
      </c>
      <c r="F6" s="3674"/>
      <c r="G6" s="3671" t="s">
        <v>1677</v>
      </c>
      <c r="H6" s="3672"/>
      <c r="I6" s="3671" t="s">
        <v>1677</v>
      </c>
      <c r="J6" s="3672"/>
      <c r="K6" s="1889" t="s">
        <v>1678</v>
      </c>
      <c r="L6" s="2713"/>
      <c r="M6" s="2714"/>
      <c r="N6" s="2714"/>
      <c r="O6" s="2714"/>
      <c r="P6" s="3684"/>
      <c r="Q6" s="3685"/>
      <c r="R6" s="3665"/>
      <c r="S6" s="3666"/>
      <c r="T6" s="3686"/>
      <c r="U6" s="3687"/>
      <c r="V6" s="3688"/>
      <c r="W6" s="3688"/>
      <c r="X6" s="1354"/>
      <c r="Y6" s="3686"/>
      <c r="Z6" s="3687"/>
      <c r="AA6" s="3660"/>
      <c r="AB6" s="3660"/>
      <c r="AC6" s="3660"/>
    </row>
    <row r="7" spans="1:29" s="108" customFormat="1" ht="15.75" thickBot="1">
      <c r="A7" s="362" t="s">
        <v>1679</v>
      </c>
      <c r="B7" s="363"/>
      <c r="C7" s="364">
        <f>'数据-取费表'!B2</f>
        <v>44922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0"/>
      <c r="L10" s="2717"/>
      <c r="M10" s="2718"/>
      <c r="N10" s="2718"/>
      <c r="O10" s="2718"/>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2"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5"/>
      <c r="Q12" s="1342">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5"/>
      <c r="Q13" s="1342">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5"/>
      <c r="Q14" s="1342">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2" t="s">
        <v>1691</v>
      </c>
      <c r="Q15" s="1351" t="str">
        <f t="shared" si="6"/>
        <v>居住社区成熟度</v>
      </c>
      <c r="R15" s="705" t="s">
        <v>18</v>
      </c>
      <c r="S15" s="706">
        <f t="shared" si="0"/>
        <v>100</v>
      </c>
      <c r="T15" s="705" t="s">
        <v>18</v>
      </c>
      <c r="U15" s="706">
        <f t="shared" si="1"/>
        <v>100</v>
      </c>
      <c r="V15" s="705" t="s">
        <v>18</v>
      </c>
      <c r="W15" s="706">
        <f t="shared" si="2"/>
        <v>100</v>
      </c>
      <c r="X15" s="1354"/>
      <c r="Y15" s="369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3"/>
      <c r="Q16" s="1351"/>
      <c r="R16" s="705"/>
      <c r="S16" s="706"/>
      <c r="T16" s="705"/>
      <c r="U16" s="706"/>
      <c r="V16" s="705"/>
      <c r="W16" s="706"/>
      <c r="X16" s="1354"/>
      <c r="Y16" s="369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3"/>
      <c r="Q17" s="1351" t="str">
        <f>B17</f>
        <v>交通便捷度</v>
      </c>
      <c r="R17" s="705" t="s">
        <v>18</v>
      </c>
      <c r="S17" s="706">
        <f>F17</f>
        <v>100</v>
      </c>
      <c r="T17" s="705" t="s">
        <v>18</v>
      </c>
      <c r="U17" s="706">
        <f>H17</f>
        <v>100</v>
      </c>
      <c r="V17" s="705" t="s">
        <v>18</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3"/>
      <c r="Q18" s="1351"/>
      <c r="R18" s="705"/>
      <c r="S18" s="706"/>
      <c r="T18" s="705"/>
      <c r="U18" s="706"/>
      <c r="V18" s="705"/>
      <c r="W18" s="706"/>
      <c r="X18" s="1354"/>
      <c r="Y18" s="369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3"/>
      <c r="Q19" s="1351" t="str">
        <f>B19</f>
        <v>公共配套设施</v>
      </c>
      <c r="R19" s="705" t="s">
        <v>18</v>
      </c>
      <c r="S19" s="706">
        <f>F19</f>
        <v>100</v>
      </c>
      <c r="T19" s="705" t="s">
        <v>18</v>
      </c>
      <c r="U19" s="706">
        <f>H19</f>
        <v>100</v>
      </c>
      <c r="V19" s="705" t="s">
        <v>18</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3"/>
      <c r="Q20" s="1351"/>
      <c r="R20" s="705"/>
      <c r="S20" s="706"/>
      <c r="T20" s="705"/>
      <c r="U20" s="706"/>
      <c r="V20" s="705"/>
      <c r="W20" s="706"/>
      <c r="X20" s="1354"/>
      <c r="Y20" s="369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3"/>
      <c r="Q22" s="1351"/>
      <c r="R22" s="705"/>
      <c r="S22" s="706"/>
      <c r="T22" s="705"/>
      <c r="U22" s="706"/>
      <c r="V22" s="705"/>
      <c r="W22" s="706"/>
      <c r="X22" s="1354"/>
      <c r="Y22" s="369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3"/>
      <c r="Q23" s="1351" t="str">
        <f>B23</f>
        <v>自然及人文环境</v>
      </c>
      <c r="R23" s="705" t="s">
        <v>18</v>
      </c>
      <c r="S23" s="706">
        <f>F23</f>
        <v>100</v>
      </c>
      <c r="T23" s="705" t="s">
        <v>18</v>
      </c>
      <c r="U23" s="706">
        <f>H23</f>
        <v>100</v>
      </c>
      <c r="V23" s="705" t="s">
        <v>18</v>
      </c>
      <c r="W23" s="706">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3"/>
      <c r="Q24" s="1351"/>
      <c r="R24" s="705"/>
      <c r="S24" s="706"/>
      <c r="T24" s="705"/>
      <c r="U24" s="706"/>
      <c r="V24" s="705"/>
      <c r="W24" s="706"/>
      <c r="X24" s="1354"/>
      <c r="Y24" s="369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3"/>
      <c r="Q26" s="1351" t="str">
        <f t="shared" si="11"/>
        <v>朝向</v>
      </c>
      <c r="R26" s="705" t="s">
        <v>18</v>
      </c>
      <c r="S26" s="706">
        <f t="shared" si="12"/>
        <v>100</v>
      </c>
      <c r="T26" s="705" t="s">
        <v>18</v>
      </c>
      <c r="U26" s="706">
        <f t="shared" si="13"/>
        <v>100</v>
      </c>
      <c r="V26" s="705" t="s">
        <v>18</v>
      </c>
      <c r="W26" s="706">
        <f t="shared" si="14"/>
        <v>100</v>
      </c>
      <c r="X26" s="1354"/>
      <c r="Y26" s="369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3"/>
      <c r="Q27" s="1342">
        <f t="shared" si="11"/>
        <v>111</v>
      </c>
      <c r="R27" s="701" t="s">
        <v>18</v>
      </c>
      <c r="S27" s="702">
        <f t="shared" si="12"/>
        <v>100</v>
      </c>
      <c r="T27" s="701" t="s">
        <v>18</v>
      </c>
      <c r="U27" s="702">
        <f t="shared" si="13"/>
        <v>100</v>
      </c>
      <c r="V27" s="701" t="s">
        <v>18</v>
      </c>
      <c r="W27" s="702">
        <f t="shared" si="14"/>
        <v>100</v>
      </c>
      <c r="X27" s="703"/>
      <c r="Y27" s="369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3"/>
      <c r="Q28" s="1351">
        <f t="shared" si="11"/>
        <v>111</v>
      </c>
      <c r="R28" s="705" t="s">
        <v>18</v>
      </c>
      <c r="S28" s="706">
        <f t="shared" si="12"/>
        <v>100</v>
      </c>
      <c r="T28" s="705" t="s">
        <v>18</v>
      </c>
      <c r="U28" s="706">
        <f t="shared" si="13"/>
        <v>100</v>
      </c>
      <c r="V28" s="705" t="s">
        <v>18</v>
      </c>
      <c r="W28" s="706">
        <f t="shared" si="14"/>
        <v>100</v>
      </c>
      <c r="X28" s="1354"/>
      <c r="Y28" s="369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3"/>
      <c r="Q29" s="1351">
        <f t="shared" si="11"/>
        <v>111</v>
      </c>
      <c r="R29" s="705" t="s">
        <v>18</v>
      </c>
      <c r="S29" s="706">
        <f t="shared" si="12"/>
        <v>100</v>
      </c>
      <c r="T29" s="705" t="s">
        <v>18</v>
      </c>
      <c r="U29" s="706">
        <f t="shared" si="13"/>
        <v>100</v>
      </c>
      <c r="V29" s="705" t="s">
        <v>18</v>
      </c>
      <c r="W29" s="706">
        <f t="shared" si="14"/>
        <v>100</v>
      </c>
      <c r="X29" s="1354"/>
      <c r="Y29" s="369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3"/>
      <c r="Q30" s="1351">
        <f t="shared" si="11"/>
        <v>111</v>
      </c>
      <c r="R30" s="705" t="s">
        <v>18</v>
      </c>
      <c r="S30" s="706">
        <f t="shared" si="12"/>
        <v>100</v>
      </c>
      <c r="T30" s="705" t="s">
        <v>18</v>
      </c>
      <c r="U30" s="706">
        <f t="shared" si="13"/>
        <v>100</v>
      </c>
      <c r="V30" s="705" t="s">
        <v>18</v>
      </c>
      <c r="W30" s="706">
        <f t="shared" si="14"/>
        <v>100</v>
      </c>
      <c r="X30" s="1354"/>
      <c r="Y30" s="369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3"/>
      <c r="Q31" s="1351">
        <f t="shared" si="11"/>
        <v>111</v>
      </c>
      <c r="R31" s="705" t="s">
        <v>18</v>
      </c>
      <c r="S31" s="706">
        <f t="shared" si="12"/>
        <v>100</v>
      </c>
      <c r="T31" s="705" t="s">
        <v>18</v>
      </c>
      <c r="U31" s="706">
        <f t="shared" si="13"/>
        <v>100</v>
      </c>
      <c r="V31" s="705" t="s">
        <v>18</v>
      </c>
      <c r="W31" s="706">
        <f t="shared" si="14"/>
        <v>100</v>
      </c>
      <c r="X31" s="1354"/>
      <c r="Y31" s="369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7" t="s">
        <v>1696</v>
      </c>
      <c r="Q32" s="1351" t="str">
        <f t="shared" si="11"/>
        <v>建筑类型</v>
      </c>
      <c r="R32" s="705" t="s">
        <v>18</v>
      </c>
      <c r="S32" s="706">
        <f t="shared" si="12"/>
        <v>100</v>
      </c>
      <c r="T32" s="705" t="s">
        <v>18</v>
      </c>
      <c r="U32" s="706">
        <f t="shared" si="13"/>
        <v>100</v>
      </c>
      <c r="V32" s="705" t="s">
        <v>18</v>
      </c>
      <c r="W32" s="706">
        <f t="shared" si="14"/>
        <v>100</v>
      </c>
      <c r="X32" s="1354"/>
      <c r="Y32" s="370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8"/>
      <c r="Q34" s="1351" t="str">
        <f t="shared" si="11"/>
        <v>建筑结构</v>
      </c>
      <c r="R34" s="705" t="s">
        <v>18</v>
      </c>
      <c r="S34" s="706">
        <f t="shared" si="12"/>
        <v>100</v>
      </c>
      <c r="T34" s="705" t="s">
        <v>18</v>
      </c>
      <c r="U34" s="706">
        <f t="shared" si="13"/>
        <v>100</v>
      </c>
      <c r="V34" s="705" t="s">
        <v>18</v>
      </c>
      <c r="W34" s="706">
        <f t="shared" si="14"/>
        <v>100</v>
      </c>
      <c r="X34" s="1354"/>
      <c r="Y34" s="370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8"/>
      <c r="Q35" s="1351" t="str">
        <f t="shared" si="11"/>
        <v>建筑品质</v>
      </c>
      <c r="R35" s="705" t="s">
        <v>18</v>
      </c>
      <c r="S35" s="706">
        <f t="shared" si="12"/>
        <v>100</v>
      </c>
      <c r="T35" s="705" t="s">
        <v>18</v>
      </c>
      <c r="U35" s="706">
        <f t="shared" si="13"/>
        <v>100</v>
      </c>
      <c r="V35" s="705" t="s">
        <v>18</v>
      </c>
      <c r="W35" s="706">
        <f t="shared" si="14"/>
        <v>100</v>
      </c>
      <c r="X35" s="1354"/>
      <c r="Y35" s="370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8"/>
      <c r="Q36" s="1351" t="str">
        <f t="shared" si="11"/>
        <v>公共部分装修</v>
      </c>
      <c r="R36" s="705" t="s">
        <v>18</v>
      </c>
      <c r="S36" s="706">
        <f t="shared" si="12"/>
        <v>100</v>
      </c>
      <c r="T36" s="705" t="s">
        <v>18</v>
      </c>
      <c r="U36" s="706">
        <f t="shared" si="13"/>
        <v>100</v>
      </c>
      <c r="V36" s="705" t="s">
        <v>18</v>
      </c>
      <c r="W36" s="706">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2"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8" t="s">
        <v>1696</v>
      </c>
      <c r="Q38" s="1351" t="str">
        <f t="shared" si="11"/>
        <v>物业管理</v>
      </c>
      <c r="R38" s="705" t="s">
        <v>18</v>
      </c>
      <c r="S38" s="706">
        <f t="shared" si="12"/>
        <v>100</v>
      </c>
      <c r="T38" s="705" t="s">
        <v>18</v>
      </c>
      <c r="U38" s="706">
        <f t="shared" si="13"/>
        <v>100</v>
      </c>
      <c r="V38" s="705" t="s">
        <v>18</v>
      </c>
      <c r="W38" s="706">
        <f t="shared" si="14"/>
        <v>100</v>
      </c>
      <c r="X38" s="1354"/>
      <c r="Y38" s="370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8"/>
      <c r="Q39" s="1351" t="str">
        <f t="shared" si="11"/>
        <v>市政基础设施</v>
      </c>
      <c r="R39" s="705" t="s">
        <v>18</v>
      </c>
      <c r="S39" s="706">
        <f t="shared" si="12"/>
        <v>100</v>
      </c>
      <c r="T39" s="705" t="s">
        <v>18</v>
      </c>
      <c r="U39" s="706">
        <f t="shared" si="13"/>
        <v>100</v>
      </c>
      <c r="V39" s="705" t="s">
        <v>18</v>
      </c>
      <c r="W39" s="706">
        <f t="shared" si="14"/>
        <v>100</v>
      </c>
      <c r="X39" s="1354"/>
      <c r="Y39" s="370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8"/>
      <c r="Q40" s="1351" t="str">
        <f t="shared" si="11"/>
        <v>房型</v>
      </c>
      <c r="R40" s="705" t="s">
        <v>18</v>
      </c>
      <c r="S40" s="706">
        <f t="shared" si="12"/>
        <v>100</v>
      </c>
      <c r="T40" s="705" t="s">
        <v>18</v>
      </c>
      <c r="U40" s="706">
        <f t="shared" si="13"/>
        <v>100</v>
      </c>
      <c r="V40" s="705" t="s">
        <v>18</v>
      </c>
      <c r="W40" s="706">
        <f t="shared" si="14"/>
        <v>100</v>
      </c>
      <c r="X40" s="1354"/>
      <c r="Y40" s="370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8"/>
      <c r="Q42" s="1351" t="str">
        <f t="shared" si="11"/>
        <v>内部装修</v>
      </c>
      <c r="R42" s="705" t="s">
        <v>18</v>
      </c>
      <c r="S42" s="706">
        <f t="shared" si="12"/>
        <v>100</v>
      </c>
      <c r="T42" s="705" t="s">
        <v>18</v>
      </c>
      <c r="U42" s="706">
        <f t="shared" si="13"/>
        <v>100</v>
      </c>
      <c r="V42" s="705" t="s">
        <v>18</v>
      </c>
      <c r="W42" s="706">
        <f t="shared" si="14"/>
        <v>100</v>
      </c>
      <c r="X42" s="1354"/>
      <c r="Y42" s="370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8"/>
      <c r="Q43" s="1351" t="str">
        <f t="shared" si="11"/>
        <v>内部装修维护情况</v>
      </c>
      <c r="R43" s="705" t="s">
        <v>18</v>
      </c>
      <c r="S43" s="706">
        <f t="shared" si="12"/>
        <v>100</v>
      </c>
      <c r="T43" s="705" t="s">
        <v>18</v>
      </c>
      <c r="U43" s="706">
        <f t="shared" si="13"/>
        <v>100</v>
      </c>
      <c r="V43" s="705" t="s">
        <v>18</v>
      </c>
      <c r="W43" s="706">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8"/>
      <c r="Q44" s="1342">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8"/>
      <c r="Q45" s="1351">
        <f t="shared" si="11"/>
        <v>111</v>
      </c>
      <c r="R45" s="705" t="s">
        <v>18</v>
      </c>
      <c r="S45" s="706">
        <f t="shared" si="12"/>
        <v>100</v>
      </c>
      <c r="T45" s="705" t="s">
        <v>18</v>
      </c>
      <c r="U45" s="706">
        <f t="shared" si="13"/>
        <v>100</v>
      </c>
      <c r="V45" s="705" t="s">
        <v>18</v>
      </c>
      <c r="W45" s="706">
        <f t="shared" si="14"/>
        <v>100</v>
      </c>
      <c r="X45" s="1354"/>
      <c r="Y45" s="370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9"/>
      <c r="Q46" s="1351">
        <f t="shared" si="11"/>
        <v>111</v>
      </c>
      <c r="R46" s="705" t="s">
        <v>17</v>
      </c>
      <c r="S46" s="706">
        <f t="shared" si="12"/>
        <v>100</v>
      </c>
      <c r="T46" s="705" t="s">
        <v>17</v>
      </c>
      <c r="U46" s="706">
        <f t="shared" si="13"/>
        <v>100</v>
      </c>
      <c r="V46" s="705" t="s">
        <v>17</v>
      </c>
      <c r="W46" s="706">
        <f t="shared" si="14"/>
        <v>100</v>
      </c>
      <c r="X46" s="1354"/>
      <c r="Y46" s="370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2"/>
      <c r="M49" s="2723"/>
      <c r="N49" s="2723"/>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2022-12</v>
      </c>
      <c r="D58" s="1184">
        <f>EDATE(C58,-1)</f>
        <v>44866</v>
      </c>
      <c r="E58" s="1184">
        <f>EDATE(D58,-1)</f>
        <v>44835</v>
      </c>
      <c r="F58" s="1184">
        <f t="shared" ref="F58:O58" si="19">EDATE(E58,-1)</f>
        <v>44805</v>
      </c>
      <c r="G58" s="1184">
        <f t="shared" si="19"/>
        <v>44774</v>
      </c>
      <c r="H58" s="1184">
        <f t="shared" si="19"/>
        <v>44743</v>
      </c>
      <c r="I58" s="1184">
        <f t="shared" si="19"/>
        <v>44713</v>
      </c>
      <c r="J58" s="1184">
        <f t="shared" si="19"/>
        <v>44682</v>
      </c>
      <c r="K58" s="1184">
        <f t="shared" si="19"/>
        <v>44652</v>
      </c>
      <c r="L58" s="1184">
        <f t="shared" si="19"/>
        <v>44621</v>
      </c>
      <c r="M58" s="1184">
        <f t="shared" si="19"/>
        <v>44593</v>
      </c>
      <c r="N58" s="1184">
        <f t="shared" si="19"/>
        <v>44562</v>
      </c>
      <c r="O58" s="1184">
        <f t="shared" si="19"/>
        <v>44531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6"/>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139.51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4"/>
      <c r="Y4" s="3663" t="s">
        <v>1775</v>
      </c>
      <c r="Z4" s="3664"/>
      <c r="AA4" s="3658" t="s">
        <v>1771</v>
      </c>
      <c r="AB4" s="3688" t="s">
        <v>1772</v>
      </c>
      <c r="AC4" s="3658" t="s">
        <v>1773</v>
      </c>
    </row>
    <row r="5" spans="1:29" ht="15">
      <c r="A5" s="358"/>
      <c r="B5" s="359"/>
      <c r="C5" s="3669" t="s">
        <v>1673</v>
      </c>
      <c r="D5" s="3670"/>
      <c r="E5" s="3667" t="s">
        <v>1674</v>
      </c>
      <c r="F5" s="3668"/>
      <c r="G5" s="3669" t="s">
        <v>1675</v>
      </c>
      <c r="H5" s="3670"/>
      <c r="I5" s="3669" t="s">
        <v>1676</v>
      </c>
      <c r="J5" s="3670"/>
      <c r="K5" s="559"/>
      <c r="L5" s="2713"/>
      <c r="M5" s="2714"/>
      <c r="N5" s="2714"/>
      <c r="O5" s="2714"/>
      <c r="P5" s="3682"/>
      <c r="Q5" s="3683"/>
      <c r="R5" s="3665"/>
      <c r="S5" s="3666"/>
      <c r="T5" s="3665"/>
      <c r="U5" s="3666"/>
      <c r="V5" s="3688"/>
      <c r="W5" s="3688"/>
      <c r="X5" s="1354"/>
      <c r="Y5" s="3665"/>
      <c r="Z5" s="3666"/>
      <c r="AA5" s="3659"/>
      <c r="AB5" s="3688"/>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4"/>
      <c r="Y6" s="3686"/>
      <c r="Z6" s="3687"/>
      <c r="AA6" s="3660"/>
      <c r="AB6" s="3688"/>
      <c r="AC6" s="3660"/>
    </row>
    <row r="7" spans="1:29" s="108" customFormat="1" ht="15.75" thickBot="1">
      <c r="A7" s="362" t="s">
        <v>1679</v>
      </c>
      <c r="B7" s="363"/>
      <c r="C7" s="364">
        <f>'数据-取费表'!B2</f>
        <v>44922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7"/>
      <c r="M10" s="2718"/>
      <c r="N10" s="2718"/>
      <c r="O10" s="2718"/>
      <c r="P10" s="3675"/>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2" t="s">
        <v>1691</v>
      </c>
      <c r="Q15" s="1351" t="str">
        <f t="shared" si="6"/>
        <v>商业繁华度</v>
      </c>
      <c r="R15" s="705" t="s">
        <v>14</v>
      </c>
      <c r="S15" s="706">
        <f t="shared" si="0"/>
        <v>100</v>
      </c>
      <c r="T15" s="705" t="s">
        <v>14</v>
      </c>
      <c r="U15" s="706">
        <f t="shared" si="1"/>
        <v>100</v>
      </c>
      <c r="V15" s="705" t="s">
        <v>14</v>
      </c>
      <c r="W15" s="706">
        <f t="shared" si="2"/>
        <v>100</v>
      </c>
      <c r="X15" s="1354"/>
      <c r="Y15" s="369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3"/>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3"/>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3"/>
      <c r="Q18" s="1351"/>
      <c r="R18" s="705"/>
      <c r="S18" s="706"/>
      <c r="T18" s="705"/>
      <c r="U18" s="706"/>
      <c r="V18" s="705"/>
      <c r="W18" s="706"/>
      <c r="X18" s="1354"/>
      <c r="Y18" s="369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3"/>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3"/>
      <c r="Q20" s="1351"/>
      <c r="R20" s="705"/>
      <c r="S20" s="706"/>
      <c r="T20" s="705"/>
      <c r="U20" s="706"/>
      <c r="V20" s="705"/>
      <c r="W20" s="706"/>
      <c r="X20" s="1354"/>
      <c r="Y20" s="369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3"/>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3"/>
      <c r="Q22" s="1351"/>
      <c r="R22" s="705"/>
      <c r="S22" s="706"/>
      <c r="T22" s="705"/>
      <c r="U22" s="706"/>
      <c r="V22" s="705"/>
      <c r="W22" s="706"/>
      <c r="X22" s="1354"/>
      <c r="Y22" s="369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3"/>
      <c r="Q23" s="1351" t="str">
        <f>B23</f>
        <v>自然及人文环境</v>
      </c>
      <c r="R23" s="705" t="s">
        <v>14</v>
      </c>
      <c r="S23" s="706">
        <f>F23</f>
        <v>100</v>
      </c>
      <c r="T23" s="705" t="s">
        <v>14</v>
      </c>
      <c r="U23" s="706">
        <f>H23</f>
        <v>100</v>
      </c>
      <c r="V23" s="705" t="s">
        <v>14</v>
      </c>
      <c r="W23" s="706">
        <f>J23</f>
        <v>100</v>
      </c>
      <c r="X23" s="1354"/>
      <c r="Y23" s="369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3"/>
      <c r="Q24" s="1351"/>
      <c r="R24" s="705"/>
      <c r="S24" s="706"/>
      <c r="T24" s="705"/>
      <c r="U24" s="706"/>
      <c r="V24" s="705"/>
      <c r="W24" s="706"/>
      <c r="X24" s="1354"/>
      <c r="Y24" s="369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3"/>
      <c r="Q25" s="1351" t="str">
        <f t="shared" ref="Q25:Q46" si="11">B25</f>
        <v>临街状况</v>
      </c>
      <c r="R25" s="705" t="s">
        <v>14</v>
      </c>
      <c r="S25" s="706">
        <f>F25</f>
        <v>100</v>
      </c>
      <c r="T25" s="705" t="s">
        <v>14</v>
      </c>
      <c r="U25" s="706">
        <f>H25</f>
        <v>100</v>
      </c>
      <c r="V25" s="705" t="s">
        <v>14</v>
      </c>
      <c r="W25" s="706">
        <f>J25</f>
        <v>100</v>
      </c>
      <c r="X25" s="1354"/>
      <c r="Y25" s="369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3"/>
      <c r="Q26" s="1351" t="str">
        <f t="shared" si="11"/>
        <v>平面位置/可视性</v>
      </c>
      <c r="R26" s="705" t="s">
        <v>14</v>
      </c>
      <c r="S26" s="706">
        <f>F26</f>
        <v>100</v>
      </c>
      <c r="T26" s="705" t="s">
        <v>14</v>
      </c>
      <c r="U26" s="706">
        <f>H26</f>
        <v>100</v>
      </c>
      <c r="V26" s="705" t="s">
        <v>14</v>
      </c>
      <c r="W26" s="706">
        <f>J26</f>
        <v>100</v>
      </c>
      <c r="X26" s="1354"/>
      <c r="Y26" s="369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3"/>
      <c r="Q27" s="1342" t="str">
        <f t="shared" si="11"/>
        <v>人流量</v>
      </c>
      <c r="R27" s="701" t="s">
        <v>14</v>
      </c>
      <c r="S27" s="702">
        <f>F27</f>
        <v>100</v>
      </c>
      <c r="T27" s="701" t="s">
        <v>14</v>
      </c>
      <c r="U27" s="702">
        <f>H27</f>
        <v>100</v>
      </c>
      <c r="V27" s="701" t="s">
        <v>14</v>
      </c>
      <c r="W27" s="702">
        <f>J27</f>
        <v>100</v>
      </c>
      <c r="X27" s="703"/>
      <c r="Y27" s="369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3"/>
      <c r="Q29" s="1351">
        <f t="shared" si="11"/>
        <v>111</v>
      </c>
      <c r="R29" s="705" t="s">
        <v>14</v>
      </c>
      <c r="S29" s="706">
        <f t="shared" si="12"/>
        <v>100</v>
      </c>
      <c r="T29" s="705" t="s">
        <v>14</v>
      </c>
      <c r="U29" s="706">
        <f t="shared" si="13"/>
        <v>100</v>
      </c>
      <c r="V29" s="705" t="s">
        <v>14</v>
      </c>
      <c r="W29" s="706">
        <f t="shared" si="14"/>
        <v>100</v>
      </c>
      <c r="X29" s="1354"/>
      <c r="Y29" s="369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3"/>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3"/>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7" t="s">
        <v>1696</v>
      </c>
      <c r="Q32" s="1351" t="str">
        <f t="shared" si="11"/>
        <v>商业类型</v>
      </c>
      <c r="R32" s="705" t="s">
        <v>14</v>
      </c>
      <c r="S32" s="706">
        <f t="shared" si="12"/>
        <v>100</v>
      </c>
      <c r="T32" s="705" t="s">
        <v>14</v>
      </c>
      <c r="U32" s="706">
        <f t="shared" si="13"/>
        <v>100</v>
      </c>
      <c r="V32" s="705" t="s">
        <v>14</v>
      </c>
      <c r="W32" s="706">
        <f t="shared" si="14"/>
        <v>100</v>
      </c>
      <c r="X32" s="1354"/>
      <c r="Y32" s="370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98"/>
      <c r="Q34" s="1351" t="str">
        <f t="shared" si="11"/>
        <v>建筑结构</v>
      </c>
      <c r="R34" s="705" t="s">
        <v>14</v>
      </c>
      <c r="S34" s="706">
        <f t="shared" si="12"/>
        <v>100</v>
      </c>
      <c r="T34" s="705" t="s">
        <v>14</v>
      </c>
      <c r="U34" s="706">
        <f t="shared" si="13"/>
        <v>100</v>
      </c>
      <c r="V34" s="705" t="s">
        <v>14</v>
      </c>
      <c r="W34" s="706">
        <f t="shared" si="14"/>
        <v>100</v>
      </c>
      <c r="X34" s="1354"/>
      <c r="Y34" s="370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8"/>
      <c r="Q35" s="1351" t="str">
        <f t="shared" si="11"/>
        <v>公共部分装修</v>
      </c>
      <c r="R35" s="705" t="s">
        <v>14</v>
      </c>
      <c r="S35" s="706">
        <f t="shared" si="12"/>
        <v>100</v>
      </c>
      <c r="T35" s="705" t="s">
        <v>14</v>
      </c>
      <c r="U35" s="706">
        <f t="shared" si="13"/>
        <v>100</v>
      </c>
      <c r="V35" s="705" t="s">
        <v>14</v>
      </c>
      <c r="W35" s="706">
        <f t="shared" si="14"/>
        <v>100</v>
      </c>
      <c r="X35" s="1354"/>
      <c r="Y35" s="370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1" t="str">
        <f t="shared" si="11"/>
        <v>成新度</v>
      </c>
      <c r="R36" s="705" t="s">
        <v>14</v>
      </c>
      <c r="S36" s="706" t="e">
        <f t="shared" si="12"/>
        <v>#N/A</v>
      </c>
      <c r="T36" s="705" t="s">
        <v>14</v>
      </c>
      <c r="U36" s="706" t="e">
        <f t="shared" si="13"/>
        <v>#N/A</v>
      </c>
      <c r="V36" s="705" t="s">
        <v>14</v>
      </c>
      <c r="W36" s="706" t="e">
        <f t="shared" si="14"/>
        <v>#N/A</v>
      </c>
      <c r="X36" s="1354"/>
      <c r="Y36" s="370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8"/>
      <c r="Q37" s="1342"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98" t="s">
        <v>1696</v>
      </c>
      <c r="Q38" s="1351" t="str">
        <f t="shared" si="11"/>
        <v>业态</v>
      </c>
      <c r="R38" s="705" t="s">
        <v>14</v>
      </c>
      <c r="S38" s="706">
        <f t="shared" si="12"/>
        <v>100</v>
      </c>
      <c r="T38" s="705" t="s">
        <v>14</v>
      </c>
      <c r="U38" s="706">
        <f t="shared" si="13"/>
        <v>100</v>
      </c>
      <c r="V38" s="705" t="s">
        <v>14</v>
      </c>
      <c r="W38" s="706">
        <f t="shared" si="14"/>
        <v>100</v>
      </c>
      <c r="X38" s="1354"/>
      <c r="Y38" s="370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98"/>
      <c r="Q39" s="1351" t="str">
        <f t="shared" si="11"/>
        <v>层高</v>
      </c>
      <c r="R39" s="705" t="s">
        <v>14</v>
      </c>
      <c r="S39" s="706">
        <f t="shared" si="12"/>
        <v>100</v>
      </c>
      <c r="T39" s="705" t="s">
        <v>14</v>
      </c>
      <c r="U39" s="706">
        <f t="shared" si="13"/>
        <v>100</v>
      </c>
      <c r="V39" s="705" t="s">
        <v>14</v>
      </c>
      <c r="W39" s="706">
        <f t="shared" si="14"/>
        <v>100</v>
      </c>
      <c r="X39" s="1354"/>
      <c r="Y39" s="370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1" t="str">
        <f t="shared" si="11"/>
        <v>单套建筑面积</v>
      </c>
      <c r="R40" s="705" t="s">
        <v>14</v>
      </c>
      <c r="S40" s="706">
        <f t="shared" si="12"/>
        <v>100</v>
      </c>
      <c r="T40" s="705" t="s">
        <v>14</v>
      </c>
      <c r="U40" s="706">
        <f t="shared" si="13"/>
        <v>100</v>
      </c>
      <c r="V40" s="705" t="s">
        <v>14</v>
      </c>
      <c r="W40" s="706">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98"/>
      <c r="Q42" s="1351" t="str">
        <f t="shared" si="11"/>
        <v>内部装修</v>
      </c>
      <c r="R42" s="705" t="s">
        <v>14</v>
      </c>
      <c r="S42" s="706">
        <f t="shared" si="12"/>
        <v>100</v>
      </c>
      <c r="T42" s="705" t="s">
        <v>14</v>
      </c>
      <c r="U42" s="706">
        <f t="shared" si="13"/>
        <v>100</v>
      </c>
      <c r="V42" s="705" t="s">
        <v>14</v>
      </c>
      <c r="W42" s="706">
        <f t="shared" si="14"/>
        <v>100</v>
      </c>
      <c r="X42" s="1354"/>
      <c r="Y42" s="370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98"/>
      <c r="Q43" s="1351" t="str">
        <f t="shared" si="11"/>
        <v>内部装修维护情况</v>
      </c>
      <c r="R43" s="705" t="s">
        <v>14</v>
      </c>
      <c r="S43" s="706">
        <f t="shared" si="12"/>
        <v>100</v>
      </c>
      <c r="T43" s="705" t="s">
        <v>14</v>
      </c>
      <c r="U43" s="706">
        <f t="shared" si="13"/>
        <v>100</v>
      </c>
      <c r="V43" s="705" t="s">
        <v>14</v>
      </c>
      <c r="W43" s="706">
        <f t="shared" si="14"/>
        <v>100</v>
      </c>
      <c r="X43" s="1354"/>
      <c r="Y43" s="370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2">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1">
        <f t="shared" si="11"/>
        <v>111</v>
      </c>
      <c r="R45" s="705" t="s">
        <v>14</v>
      </c>
      <c r="S45" s="706">
        <f t="shared" si="12"/>
        <v>100</v>
      </c>
      <c r="T45" s="705" t="s">
        <v>14</v>
      </c>
      <c r="U45" s="706">
        <f t="shared" si="13"/>
        <v>100</v>
      </c>
      <c r="V45" s="705" t="s">
        <v>14</v>
      </c>
      <c r="W45" s="706">
        <f t="shared" si="14"/>
        <v>100</v>
      </c>
      <c r="X45" s="1354"/>
      <c r="Y45" s="370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693" t="str">
        <f>A47</f>
        <v>成交单价（元/平方米）</v>
      </c>
      <c r="Q47" s="3693"/>
      <c r="R47" s="3688">
        <f>E47</f>
        <v>0</v>
      </c>
      <c r="S47" s="3688"/>
      <c r="T47" s="3688">
        <f>G47</f>
        <v>0</v>
      </c>
      <c r="U47" s="3688"/>
      <c r="V47" s="3688">
        <f>I47</f>
        <v>0</v>
      </c>
      <c r="W47" s="3688"/>
      <c r="X47" s="690"/>
      <c r="Y47" s="712"/>
      <c r="Z47" s="690"/>
      <c r="AA47" s="690"/>
      <c r="AB47" s="690"/>
      <c r="AC47" s="690"/>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2022-12</v>
      </c>
      <c r="D58" s="1184">
        <f>EDATE(C58,-1)</f>
        <v>44866</v>
      </c>
      <c r="E58" s="1184">
        <f t="shared" ref="E58:N58" si="16">EDATE(D58,-1)</f>
        <v>44835</v>
      </c>
      <c r="F58" s="1184">
        <f t="shared" si="16"/>
        <v>44805</v>
      </c>
      <c r="G58" s="1184">
        <f t="shared" si="16"/>
        <v>44774</v>
      </c>
      <c r="H58" s="1184">
        <f t="shared" si="16"/>
        <v>44743</v>
      </c>
      <c r="I58" s="1184">
        <f t="shared" si="16"/>
        <v>44713</v>
      </c>
      <c r="J58" s="1184">
        <f t="shared" si="16"/>
        <v>44682</v>
      </c>
      <c r="K58" s="1184">
        <f t="shared" si="16"/>
        <v>44652</v>
      </c>
      <c r="L58" s="1184">
        <f t="shared" si="16"/>
        <v>44621</v>
      </c>
      <c r="M58" s="1184">
        <f t="shared" si="16"/>
        <v>44593</v>
      </c>
      <c r="N58" s="1184">
        <f t="shared" si="16"/>
        <v>44562</v>
      </c>
      <c r="O58" s="1184">
        <f>EDATE(N58,-1)</f>
        <v>44531</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139.51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913"/>
      <c r="M5" s="914"/>
      <c r="N5" s="914"/>
      <c r="O5" s="914"/>
      <c r="P5" s="3682"/>
      <c r="Q5" s="3683"/>
      <c r="R5" s="3665"/>
      <c r="S5" s="3666"/>
      <c r="T5" s="3665"/>
      <c r="U5" s="3666"/>
      <c r="V5" s="3688"/>
      <c r="W5" s="3688"/>
      <c r="X5" s="1354"/>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913"/>
      <c r="M6" s="914"/>
      <c r="N6" s="914"/>
      <c r="O6" s="914"/>
      <c r="P6" s="3684"/>
      <c r="Q6" s="3685"/>
      <c r="R6" s="3665"/>
      <c r="S6" s="3666"/>
      <c r="T6" s="3686"/>
      <c r="U6" s="3687"/>
      <c r="V6" s="3688"/>
      <c r="W6" s="3688"/>
      <c r="X6" s="1354"/>
      <c r="Y6" s="3686"/>
      <c r="Z6" s="3687"/>
      <c r="AA6" s="3660"/>
      <c r="AB6" s="3660"/>
      <c r="AC6" s="3660"/>
    </row>
    <row r="7" spans="1:29" s="108" customFormat="1" ht="15.75" thickBot="1">
      <c r="A7" s="362" t="s">
        <v>1679</v>
      </c>
      <c r="B7" s="363"/>
      <c r="C7" s="364">
        <f>'数据-取费表'!B2</f>
        <v>44922</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2"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6"/>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6"/>
      <c r="Q18" s="1351"/>
      <c r="R18" s="705"/>
      <c r="S18" s="706"/>
      <c r="T18" s="705"/>
      <c r="U18" s="706"/>
      <c r="V18" s="705"/>
      <c r="W18" s="706"/>
      <c r="X18" s="1354"/>
      <c r="Y18" s="369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6"/>
      <c r="Q20" s="1351"/>
      <c r="R20" s="705"/>
      <c r="S20" s="706"/>
      <c r="T20" s="705"/>
      <c r="U20" s="706"/>
      <c r="V20" s="705"/>
      <c r="W20" s="706"/>
      <c r="X20" s="1354"/>
      <c r="Y20" s="369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6"/>
      <c r="Q22" s="1351"/>
      <c r="R22" s="705"/>
      <c r="S22" s="706"/>
      <c r="T22" s="705"/>
      <c r="U22" s="706"/>
      <c r="V22" s="705"/>
      <c r="W22" s="706"/>
      <c r="X22" s="1354"/>
      <c r="Y22" s="369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6"/>
      <c r="Q24" s="1351"/>
      <c r="R24" s="705"/>
      <c r="S24" s="706"/>
      <c r="T24" s="705"/>
      <c r="U24" s="706"/>
      <c r="V24" s="705"/>
      <c r="W24" s="706"/>
      <c r="X24" s="1354"/>
      <c r="Y24" s="369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1">
        <f>B25</f>
        <v>111</v>
      </c>
      <c r="R25" s="705" t="s">
        <v>14</v>
      </c>
      <c r="S25" s="706">
        <f>F25</f>
        <v>100</v>
      </c>
      <c r="T25" s="705" t="s">
        <v>14</v>
      </c>
      <c r="U25" s="706">
        <f>H25</f>
        <v>100</v>
      </c>
      <c r="V25" s="705" t="s">
        <v>14</v>
      </c>
      <c r="W25" s="706">
        <f>J25</f>
        <v>100</v>
      </c>
      <c r="X25" s="1354"/>
      <c r="Y25" s="369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1">
        <f t="shared" ref="Q26:Q40" si="11">B26</f>
        <v>111</v>
      </c>
      <c r="R26" s="705" t="s">
        <v>14</v>
      </c>
      <c r="S26" s="706">
        <f>F26</f>
        <v>100</v>
      </c>
      <c r="T26" s="705" t="s">
        <v>14</v>
      </c>
      <c r="U26" s="706">
        <f>H26</f>
        <v>100</v>
      </c>
      <c r="V26" s="705" t="s">
        <v>14</v>
      </c>
      <c r="W26" s="706">
        <f>J26</f>
        <v>100</v>
      </c>
      <c r="X26" s="1354"/>
      <c r="Y26" s="369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2">
        <f t="shared" si="11"/>
        <v>111</v>
      </c>
      <c r="R27" s="701" t="s">
        <v>14</v>
      </c>
      <c r="S27" s="702">
        <f>F27</f>
        <v>100</v>
      </c>
      <c r="T27" s="701" t="s">
        <v>14</v>
      </c>
      <c r="U27" s="702">
        <f>H27</f>
        <v>100</v>
      </c>
      <c r="V27" s="701" t="s">
        <v>14</v>
      </c>
      <c r="W27" s="702">
        <f>J27</f>
        <v>100</v>
      </c>
      <c r="X27" s="703"/>
      <c r="Y27" s="369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1">
        <f t="shared" si="11"/>
        <v>111</v>
      </c>
      <c r="R28" s="705" t="s">
        <v>14</v>
      </c>
      <c r="S28" s="706">
        <f t="shared" ref="S28:S40" si="12">F28</f>
        <v>100</v>
      </c>
      <c r="T28" s="705" t="s">
        <v>14</v>
      </c>
      <c r="U28" s="706">
        <f t="shared" ref="U28:U40" si="13">H28</f>
        <v>100</v>
      </c>
      <c r="V28" s="705" t="s">
        <v>14</v>
      </c>
      <c r="W28" s="706">
        <f t="shared" ref="W28:W40" si="14">J28</f>
        <v>100</v>
      </c>
      <c r="X28" s="1354"/>
      <c r="Y28" s="3696"/>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19" t="s">
        <v>1696</v>
      </c>
      <c r="Q29" s="1351" t="str">
        <f t="shared" si="11"/>
        <v>建筑类型</v>
      </c>
      <c r="R29" s="705" t="s">
        <v>14</v>
      </c>
      <c r="S29" s="706">
        <f t="shared" si="12"/>
        <v>100</v>
      </c>
      <c r="T29" s="705" t="s">
        <v>14</v>
      </c>
      <c r="U29" s="706">
        <f t="shared" si="13"/>
        <v>100</v>
      </c>
      <c r="V29" s="705" t="s">
        <v>14</v>
      </c>
      <c r="W29" s="706">
        <f t="shared" si="14"/>
        <v>100</v>
      </c>
      <c r="X29" s="1354"/>
      <c r="Y29" s="370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1" t="str">
        <f t="shared" si="11"/>
        <v>建筑结构</v>
      </c>
      <c r="R31" s="705" t="s">
        <v>14</v>
      </c>
      <c r="S31" s="706">
        <f t="shared" si="12"/>
        <v>100</v>
      </c>
      <c r="T31" s="705" t="s">
        <v>14</v>
      </c>
      <c r="U31" s="706">
        <f t="shared" si="13"/>
        <v>100</v>
      </c>
      <c r="V31" s="705" t="s">
        <v>14</v>
      </c>
      <c r="W31" s="706">
        <f t="shared" si="14"/>
        <v>100</v>
      </c>
      <c r="X31" s="1354"/>
      <c r="Y31" s="370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1" t="str">
        <f t="shared" si="11"/>
        <v>公共部分装修</v>
      </c>
      <c r="R32" s="705" t="s">
        <v>14</v>
      </c>
      <c r="S32" s="706">
        <f t="shared" si="12"/>
        <v>100</v>
      </c>
      <c r="T32" s="705" t="s">
        <v>14</v>
      </c>
      <c r="U32" s="706">
        <f t="shared" si="13"/>
        <v>100</v>
      </c>
      <c r="V32" s="705" t="s">
        <v>14</v>
      </c>
      <c r="W32" s="706">
        <f t="shared" si="14"/>
        <v>100</v>
      </c>
      <c r="X32" s="1354"/>
      <c r="Y32" s="370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1" t="str">
        <f t="shared" si="11"/>
        <v>成新度</v>
      </c>
      <c r="R33" s="705" t="s">
        <v>14</v>
      </c>
      <c r="S33" s="706" t="e">
        <f t="shared" si="12"/>
        <v>#N/A</v>
      </c>
      <c r="T33" s="705" t="s">
        <v>14</v>
      </c>
      <c r="U33" s="706" t="e">
        <f t="shared" si="13"/>
        <v>#N/A</v>
      </c>
      <c r="V33" s="705" t="s">
        <v>14</v>
      </c>
      <c r="W33" s="706"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2"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1" t="str">
        <f t="shared" si="11"/>
        <v>市政基础设施</v>
      </c>
      <c r="R35" s="705" t="s">
        <v>14</v>
      </c>
      <c r="S35" s="706">
        <f t="shared" si="12"/>
        <v>100</v>
      </c>
      <c r="T35" s="705" t="s">
        <v>14</v>
      </c>
      <c r="U35" s="706">
        <f t="shared" si="13"/>
        <v>100</v>
      </c>
      <c r="V35" s="705" t="s">
        <v>14</v>
      </c>
      <c r="W35" s="706">
        <f t="shared" si="14"/>
        <v>100</v>
      </c>
      <c r="X35" s="1354"/>
      <c r="Y35" s="370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1" t="str">
        <f t="shared" si="11"/>
        <v>内部装修</v>
      </c>
      <c r="R36" s="705" t="s">
        <v>14</v>
      </c>
      <c r="S36" s="706">
        <f t="shared" si="12"/>
        <v>100</v>
      </c>
      <c r="T36" s="705" t="s">
        <v>14</v>
      </c>
      <c r="U36" s="706">
        <f t="shared" si="13"/>
        <v>100</v>
      </c>
      <c r="V36" s="705" t="s">
        <v>14</v>
      </c>
      <c r="W36" s="706">
        <f t="shared" si="14"/>
        <v>100</v>
      </c>
      <c r="X36" s="1354"/>
      <c r="Y36" s="370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1" t="str">
        <f t="shared" si="11"/>
        <v>内部装修状况</v>
      </c>
      <c r="R37" s="705" t="s">
        <v>14</v>
      </c>
      <c r="S37" s="706">
        <f t="shared" si="12"/>
        <v>100</v>
      </c>
      <c r="T37" s="705" t="s">
        <v>14</v>
      </c>
      <c r="U37" s="706">
        <f t="shared" si="13"/>
        <v>100</v>
      </c>
      <c r="V37" s="705" t="s">
        <v>14</v>
      </c>
      <c r="W37" s="706">
        <f t="shared" si="14"/>
        <v>100</v>
      </c>
      <c r="X37" s="1354"/>
      <c r="Y37" s="370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1">
        <f t="shared" si="11"/>
        <v>111</v>
      </c>
      <c r="R39" s="705" t="s">
        <v>14</v>
      </c>
      <c r="S39" s="706">
        <f t="shared" si="12"/>
        <v>100</v>
      </c>
      <c r="T39" s="705" t="s">
        <v>14</v>
      </c>
      <c r="U39" s="706">
        <f t="shared" si="13"/>
        <v>100</v>
      </c>
      <c r="V39" s="705" t="s">
        <v>14</v>
      </c>
      <c r="W39" s="706">
        <f t="shared" si="14"/>
        <v>100</v>
      </c>
      <c r="X39" s="1354"/>
      <c r="Y39" s="370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1">
        <f t="shared" si="11"/>
        <v>111</v>
      </c>
      <c r="R40" s="705" t="s">
        <v>14</v>
      </c>
      <c r="S40" s="706">
        <f t="shared" si="12"/>
        <v>100</v>
      </c>
      <c r="T40" s="705" t="s">
        <v>14</v>
      </c>
      <c r="U40" s="706">
        <f t="shared" si="13"/>
        <v>100</v>
      </c>
      <c r="V40" s="705" t="s">
        <v>14</v>
      </c>
      <c r="W40" s="706">
        <f t="shared" si="14"/>
        <v>100</v>
      </c>
      <c r="X40" s="1354"/>
      <c r="Y40" s="370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2022-12</v>
      </c>
      <c r="D52" s="1184">
        <f>EDATE(C52,-1)</f>
        <v>44866</v>
      </c>
      <c r="E52" s="1184">
        <f t="shared" ref="E52:O52" si="16">EDATE(D52,-1)</f>
        <v>44835</v>
      </c>
      <c r="F52" s="1184">
        <f t="shared" si="16"/>
        <v>44805</v>
      </c>
      <c r="G52" s="1184">
        <f t="shared" si="16"/>
        <v>44774</v>
      </c>
      <c r="H52" s="1184">
        <f t="shared" si="16"/>
        <v>44743</v>
      </c>
      <c r="I52" s="1184">
        <f t="shared" si="16"/>
        <v>44713</v>
      </c>
      <c r="J52" s="1184">
        <f t="shared" si="16"/>
        <v>44682</v>
      </c>
      <c r="K52" s="1184">
        <f t="shared" si="16"/>
        <v>44652</v>
      </c>
      <c r="L52" s="1184">
        <f t="shared" si="16"/>
        <v>44621</v>
      </c>
      <c r="M52" s="1184">
        <f t="shared" si="16"/>
        <v>44593</v>
      </c>
      <c r="N52" s="1184">
        <f t="shared" si="16"/>
        <v>44562</v>
      </c>
      <c r="O52" s="1184">
        <f t="shared" si="16"/>
        <v>44531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估价对象为北京市房地产，为所有。根据《国有土地使用证》[]，估价对象（分摊）出让国有建设用地使用权面积为0平方米，建筑面积为139.51平方米。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估价对象为北京市房地产,属开发建设的，该项目尚在开发建设中。根据《国有土地使用证》[]，估价对象（分摊）出让国有建设用地使用权面积为0平方米，规划建筑面积为139.51平方米。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2022年12月27日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3"/>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3"/>
      <c r="M5" s="2714"/>
      <c r="N5" s="2714"/>
      <c r="O5" s="2714"/>
      <c r="P5" s="3682"/>
      <c r="Q5" s="3683"/>
      <c r="R5" s="3665"/>
      <c r="S5" s="3666"/>
      <c r="T5" s="3665"/>
      <c r="U5" s="3666"/>
      <c r="V5" s="3688"/>
      <c r="W5" s="3688"/>
      <c r="X5" s="1354"/>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4"/>
      <c r="Y6" s="3686"/>
      <c r="Z6" s="3687"/>
      <c r="AA6" s="3660"/>
      <c r="AB6" s="3660"/>
      <c r="AC6" s="3660"/>
    </row>
    <row r="7" spans="1:29" s="108" customFormat="1" ht="15.75" thickBot="1">
      <c r="A7" s="362" t="s">
        <v>1679</v>
      </c>
      <c r="B7" s="363"/>
      <c r="C7" s="364">
        <f>'数据-取费表'!B2</f>
        <v>44922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3" t="s">
        <v>1686</v>
      </c>
      <c r="Q9" s="1342"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7"/>
      <c r="M10" s="2718"/>
      <c r="N10" s="2718"/>
      <c r="O10" s="2718"/>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3"/>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6"/>
      <c r="Q15" s="1351"/>
      <c r="R15" s="705"/>
      <c r="S15" s="706"/>
      <c r="T15" s="705"/>
      <c r="U15" s="706"/>
      <c r="V15" s="705"/>
      <c r="W15" s="706"/>
      <c r="X15" s="1354"/>
      <c r="Y15" s="369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6"/>
      <c r="Q17" s="1351"/>
      <c r="R17" s="705"/>
      <c r="S17" s="706"/>
      <c r="T17" s="705"/>
      <c r="U17" s="706"/>
      <c r="V17" s="705"/>
      <c r="W17" s="706"/>
      <c r="X17" s="1354"/>
      <c r="Y17" s="369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696"/>
      <c r="Q19" s="1351"/>
      <c r="R19" s="705"/>
      <c r="S19" s="706"/>
      <c r="T19" s="705"/>
      <c r="U19" s="706"/>
      <c r="V19" s="705"/>
      <c r="W19" s="706"/>
      <c r="X19" s="1354"/>
      <c r="Y19" s="369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6"/>
      <c r="Q21" s="1351"/>
      <c r="R21" s="705"/>
      <c r="S21" s="706"/>
      <c r="T21" s="705"/>
      <c r="U21" s="706"/>
      <c r="V21" s="705"/>
      <c r="W21" s="706"/>
      <c r="X21" s="1354"/>
      <c r="Y21" s="369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1">
        <f t="shared" ref="Q24:Q36"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1" t="str">
        <f t="shared" si="11"/>
        <v>公共部分装修</v>
      </c>
      <c r="R28" s="705" t="s">
        <v>14</v>
      </c>
      <c r="S28" s="706">
        <f t="shared" si="12"/>
        <v>100</v>
      </c>
      <c r="T28" s="705" t="s">
        <v>14</v>
      </c>
      <c r="U28" s="706">
        <f t="shared" si="13"/>
        <v>100</v>
      </c>
      <c r="V28" s="705" t="s">
        <v>14</v>
      </c>
      <c r="W28" s="706">
        <f t="shared" si="14"/>
        <v>100</v>
      </c>
      <c r="X28" s="1354"/>
      <c r="Y28" s="370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1" t="str">
        <f t="shared" si="11"/>
        <v>成新率</v>
      </c>
      <c r="R29" s="705" t="s">
        <v>14</v>
      </c>
      <c r="S29" s="706" t="e">
        <f t="shared" si="12"/>
        <v>#N/A</v>
      </c>
      <c r="T29" s="705" t="s">
        <v>14</v>
      </c>
      <c r="U29" s="706" t="e">
        <f t="shared" si="13"/>
        <v>#N/A</v>
      </c>
      <c r="V29" s="705" t="s">
        <v>14</v>
      </c>
      <c r="W29" s="706" t="e">
        <f t="shared" si="14"/>
        <v>#N/A</v>
      </c>
      <c r="X29" s="1354"/>
      <c r="Y29" s="370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1" t="str">
        <f t="shared" si="11"/>
        <v>物业等级</v>
      </c>
      <c r="R30" s="705" t="s">
        <v>14</v>
      </c>
      <c r="S30" s="706">
        <f t="shared" si="12"/>
        <v>100</v>
      </c>
      <c r="T30" s="705" t="s">
        <v>14</v>
      </c>
      <c r="U30" s="706">
        <f t="shared" si="13"/>
        <v>100</v>
      </c>
      <c r="V30" s="705" t="s">
        <v>14</v>
      </c>
      <c r="W30" s="706">
        <f t="shared" si="14"/>
        <v>100</v>
      </c>
      <c r="X30" s="1354"/>
      <c r="Y30" s="370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2"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1" t="str">
        <f t="shared" si="11"/>
        <v>车位类型</v>
      </c>
      <c r="R32" s="705" t="s">
        <v>14</v>
      </c>
      <c r="S32" s="706">
        <f t="shared" si="12"/>
        <v>100</v>
      </c>
      <c r="T32" s="705" t="s">
        <v>14</v>
      </c>
      <c r="U32" s="706">
        <f t="shared" si="13"/>
        <v>100</v>
      </c>
      <c r="V32" s="705" t="s">
        <v>14</v>
      </c>
      <c r="W32" s="706">
        <f t="shared" si="14"/>
        <v>100</v>
      </c>
      <c r="X32" s="1354"/>
      <c r="Y32" s="370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1" t="str">
        <f t="shared" si="11"/>
        <v>是否直接入户</v>
      </c>
      <c r="R33" s="705" t="s">
        <v>14</v>
      </c>
      <c r="S33" s="706">
        <f t="shared" si="12"/>
        <v>100</v>
      </c>
      <c r="T33" s="705" t="s">
        <v>14</v>
      </c>
      <c r="U33" s="706">
        <f t="shared" si="13"/>
        <v>100</v>
      </c>
      <c r="V33" s="705" t="s">
        <v>14</v>
      </c>
      <c r="W33" s="706">
        <f t="shared" si="14"/>
        <v>100</v>
      </c>
      <c r="X33" s="1354"/>
      <c r="Y33" s="370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1">
        <f t="shared" si="11"/>
        <v>111</v>
      </c>
      <c r="R36" s="705" t="s">
        <v>14</v>
      </c>
      <c r="S36" s="706">
        <f t="shared" si="12"/>
        <v>100</v>
      </c>
      <c r="T36" s="705" t="s">
        <v>14</v>
      </c>
      <c r="U36" s="706">
        <f t="shared" si="13"/>
        <v>100</v>
      </c>
      <c r="V36" s="705" t="s">
        <v>14</v>
      </c>
      <c r="W36" s="706">
        <f t="shared" si="14"/>
        <v>100</v>
      </c>
      <c r="X36" s="1354"/>
      <c r="Y36" s="3700"/>
      <c r="Z36" s="1355">
        <f t="shared" si="15"/>
        <v>111</v>
      </c>
      <c r="AA36" s="1352">
        <f t="shared" si="3"/>
        <v>1</v>
      </c>
      <c r="AB36" s="1352">
        <f t="shared" si="4"/>
        <v>1</v>
      </c>
      <c r="AC36" s="1352">
        <f t="shared" si="5"/>
        <v>1</v>
      </c>
    </row>
    <row r="37" spans="1:29" ht="15">
      <c r="A37" s="430" t="s">
        <v>1844</v>
      </c>
      <c r="B37" s="1971" t="s">
        <v>3362</v>
      </c>
      <c r="C37" s="1153" t="s">
        <v>0</v>
      </c>
      <c r="D37" s="1154"/>
      <c r="E37" s="1155"/>
      <c r="F37" s="1156"/>
      <c r="G37" s="1157"/>
      <c r="H37" s="1158"/>
      <c r="I37" s="1155"/>
      <c r="J37" s="1158"/>
      <c r="K37" s="568"/>
      <c r="L37" s="2722"/>
      <c r="M37" s="2723"/>
      <c r="N37" s="2714"/>
      <c r="O37" s="2723"/>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2022-12</v>
      </c>
      <c r="D48" s="1184">
        <f>EDATE(C48,-1)</f>
        <v>44866</v>
      </c>
      <c r="E48" s="1184">
        <f t="shared" ref="E48:O48" si="16">EDATE(D48,-1)</f>
        <v>44835</v>
      </c>
      <c r="F48" s="1184">
        <f t="shared" si="16"/>
        <v>44805</v>
      </c>
      <c r="G48" s="1184">
        <f t="shared" si="16"/>
        <v>44774</v>
      </c>
      <c r="H48" s="1184">
        <f t="shared" si="16"/>
        <v>44743</v>
      </c>
      <c r="I48" s="1184">
        <f t="shared" si="16"/>
        <v>44713</v>
      </c>
      <c r="J48" s="1184">
        <f t="shared" si="16"/>
        <v>44682</v>
      </c>
      <c r="K48" s="1184">
        <f t="shared" si="16"/>
        <v>44652</v>
      </c>
      <c r="L48" s="1184">
        <f t="shared" si="16"/>
        <v>44621</v>
      </c>
      <c r="M48" s="1184">
        <f t="shared" si="16"/>
        <v>44593</v>
      </c>
      <c r="N48" s="1184">
        <f t="shared" si="16"/>
        <v>44562</v>
      </c>
      <c r="O48" s="1184">
        <f t="shared" si="16"/>
        <v>44531</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3"/>
      <c r="M5" s="2714"/>
      <c r="N5" s="2714"/>
      <c r="O5" s="2714"/>
      <c r="P5" s="3682"/>
      <c r="Q5" s="3683"/>
      <c r="R5" s="3665"/>
      <c r="S5" s="3666"/>
      <c r="T5" s="3665"/>
      <c r="U5" s="3666"/>
      <c r="V5" s="3688"/>
      <c r="W5" s="3688"/>
      <c r="X5" s="1354"/>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4"/>
      <c r="Y6" s="3686"/>
      <c r="Z6" s="3687"/>
      <c r="AA6" s="3660"/>
      <c r="AB6" s="3660"/>
      <c r="AC6" s="3660"/>
    </row>
    <row r="7" spans="1:29" s="108" customFormat="1" ht="15.75" thickBot="1">
      <c r="A7" s="362" t="s">
        <v>1679</v>
      </c>
      <c r="B7" s="363"/>
      <c r="C7" s="364">
        <f>'数据-取费表'!B2</f>
        <v>44922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3" t="s">
        <v>1686</v>
      </c>
      <c r="Q9" s="1342"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7"/>
      <c r="M10" s="2718"/>
      <c r="N10" s="2718"/>
      <c r="O10" s="2771"/>
      <c r="P10" s="3693"/>
      <c r="Q10" s="1342"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3"/>
      <c r="Q11" s="1342">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6"/>
      <c r="Q15" s="1351"/>
      <c r="R15" s="705"/>
      <c r="S15" s="706"/>
      <c r="T15" s="705"/>
      <c r="U15" s="706"/>
      <c r="V15" s="705"/>
      <c r="W15" s="706"/>
      <c r="X15" s="1354"/>
      <c r="Y15" s="369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6"/>
      <c r="Q17" s="1351"/>
      <c r="R17" s="705"/>
      <c r="S17" s="706"/>
      <c r="T17" s="705"/>
      <c r="U17" s="706"/>
      <c r="V17" s="705"/>
      <c r="W17" s="706"/>
      <c r="X17" s="1354"/>
      <c r="Y17" s="369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6"/>
      <c r="Q19" s="1351"/>
      <c r="R19" s="705"/>
      <c r="S19" s="706"/>
      <c r="T19" s="705"/>
      <c r="U19" s="706"/>
      <c r="V19" s="705"/>
      <c r="W19" s="706"/>
      <c r="X19" s="1354"/>
      <c r="Y19" s="369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6"/>
      <c r="Q21" s="1351"/>
      <c r="R21" s="705"/>
      <c r="S21" s="706"/>
      <c r="T21" s="705"/>
      <c r="U21" s="706"/>
      <c r="V21" s="705"/>
      <c r="W21" s="706"/>
      <c r="X21" s="1354"/>
      <c r="Y21" s="369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1">
        <f t="shared" ref="Q24:Q34"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1" t="str">
        <f t="shared" si="11"/>
        <v>物业等级</v>
      </c>
      <c r="R28" s="705" t="s">
        <v>14</v>
      </c>
      <c r="S28" s="706">
        <f t="shared" si="12"/>
        <v>100</v>
      </c>
      <c r="T28" s="705" t="s">
        <v>14</v>
      </c>
      <c r="U28" s="706">
        <f t="shared" si="13"/>
        <v>100</v>
      </c>
      <c r="V28" s="705" t="s">
        <v>14</v>
      </c>
      <c r="W28" s="706">
        <f t="shared" si="14"/>
        <v>100</v>
      </c>
      <c r="X28" s="1354"/>
      <c r="Y28" s="370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1" t="str">
        <f t="shared" si="11"/>
        <v>有无电梯</v>
      </c>
      <c r="R29" s="705" t="s">
        <v>14</v>
      </c>
      <c r="S29" s="706">
        <f t="shared" si="12"/>
        <v>100</v>
      </c>
      <c r="T29" s="705" t="s">
        <v>14</v>
      </c>
      <c r="U29" s="706">
        <f t="shared" si="13"/>
        <v>100</v>
      </c>
      <c r="V29" s="705" t="s">
        <v>14</v>
      </c>
      <c r="W29" s="706">
        <f t="shared" si="14"/>
        <v>100</v>
      </c>
      <c r="X29" s="1354"/>
      <c r="Y29" s="370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1" t="str">
        <f t="shared" si="11"/>
        <v>建筑面积</v>
      </c>
      <c r="R30" s="705" t="s">
        <v>14</v>
      </c>
      <c r="S30" s="706" t="e">
        <f t="shared" si="12"/>
        <v>#N/A</v>
      </c>
      <c r="T30" s="705" t="s">
        <v>14</v>
      </c>
      <c r="U30" s="706" t="e">
        <f t="shared" si="13"/>
        <v>#N/A</v>
      </c>
      <c r="V30" s="705" t="s">
        <v>14</v>
      </c>
      <c r="W30" s="706"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2"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1">
        <f t="shared" si="11"/>
        <v>111</v>
      </c>
      <c r="R32" s="705" t="s">
        <v>14</v>
      </c>
      <c r="S32" s="706">
        <f t="shared" si="12"/>
        <v>100</v>
      </c>
      <c r="T32" s="705" t="s">
        <v>14</v>
      </c>
      <c r="U32" s="706">
        <f t="shared" si="13"/>
        <v>100</v>
      </c>
      <c r="V32" s="705" t="s">
        <v>14</v>
      </c>
      <c r="W32" s="706">
        <f t="shared" si="14"/>
        <v>100</v>
      </c>
      <c r="X32" s="1354"/>
      <c r="Y32" s="370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1">
        <f t="shared" si="11"/>
        <v>111</v>
      </c>
      <c r="R33" s="705" t="s">
        <v>14</v>
      </c>
      <c r="S33" s="706">
        <f t="shared" si="12"/>
        <v>100</v>
      </c>
      <c r="T33" s="705" t="s">
        <v>14</v>
      </c>
      <c r="U33" s="706">
        <f t="shared" si="13"/>
        <v>100</v>
      </c>
      <c r="V33" s="705" t="s">
        <v>14</v>
      </c>
      <c r="W33" s="706">
        <f t="shared" si="14"/>
        <v>100</v>
      </c>
      <c r="X33" s="1354"/>
      <c r="Y33" s="3700"/>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2022-12</v>
      </c>
      <c r="D46" s="1184">
        <f>EDATE(C46,-1)</f>
        <v>44866</v>
      </c>
      <c r="E46" s="1184">
        <f t="shared" ref="E46:O46" si="16">EDATE(D46,-1)</f>
        <v>44835</v>
      </c>
      <c r="F46" s="1184">
        <f t="shared" si="16"/>
        <v>44805</v>
      </c>
      <c r="G46" s="1184">
        <f t="shared" si="16"/>
        <v>44774</v>
      </c>
      <c r="H46" s="1184">
        <f t="shared" si="16"/>
        <v>44743</v>
      </c>
      <c r="I46" s="1184">
        <f t="shared" si="16"/>
        <v>44713</v>
      </c>
      <c r="J46" s="1184">
        <f t="shared" si="16"/>
        <v>44682</v>
      </c>
      <c r="K46" s="1184">
        <f t="shared" si="16"/>
        <v>44652</v>
      </c>
      <c r="L46" s="1184">
        <f t="shared" si="16"/>
        <v>44621</v>
      </c>
      <c r="M46" s="1184">
        <f t="shared" si="16"/>
        <v>44593</v>
      </c>
      <c r="N46" s="1184">
        <f t="shared" si="16"/>
        <v>44562</v>
      </c>
      <c r="O46" s="1184">
        <f t="shared" si="16"/>
        <v>44531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30" ht="15">
      <c r="A5" s="358"/>
      <c r="B5" s="359"/>
      <c r="C5" s="3669" t="s">
        <v>1673</v>
      </c>
      <c r="D5" s="3670"/>
      <c r="E5" s="3667" t="s">
        <v>1674</v>
      </c>
      <c r="F5" s="3668"/>
      <c r="G5" s="3669" t="s">
        <v>1675</v>
      </c>
      <c r="H5" s="3670"/>
      <c r="I5" s="3669" t="s">
        <v>1676</v>
      </c>
      <c r="J5" s="3670"/>
      <c r="K5" s="559"/>
      <c r="L5" s="2713"/>
      <c r="M5" s="2714"/>
      <c r="N5" s="2714"/>
      <c r="O5" s="2714"/>
      <c r="P5" s="3682"/>
      <c r="Q5" s="3683"/>
      <c r="R5" s="3665"/>
      <c r="S5" s="3666"/>
      <c r="T5" s="3665"/>
      <c r="U5" s="3666"/>
      <c r="V5" s="3688"/>
      <c r="W5" s="3688"/>
      <c r="X5" s="1354"/>
      <c r="Y5" s="3665"/>
      <c r="Z5" s="3666"/>
      <c r="AA5" s="3659"/>
      <c r="AB5" s="3659"/>
      <c r="AC5" s="3659"/>
    </row>
    <row r="6" spans="1:30"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4"/>
      <c r="Y6" s="3686"/>
      <c r="Z6" s="3687"/>
      <c r="AA6" s="3660"/>
      <c r="AB6" s="3660"/>
      <c r="AC6" s="3660"/>
    </row>
    <row r="7" spans="1:30" s="108" customFormat="1" ht="15.75" thickBot="1">
      <c r="A7" s="362" t="s">
        <v>1679</v>
      </c>
      <c r="B7" s="363"/>
      <c r="C7" s="364">
        <f>'数据-取费表'!B2</f>
        <v>44922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93"/>
      <c r="Q10" s="1342" t="str">
        <f t="shared" si="6"/>
        <v>土地使用年限（年）</v>
      </c>
      <c r="R10" s="701" t="s">
        <v>14</v>
      </c>
      <c r="S10" s="702">
        <f t="shared" si="0"/>
        <v>113</v>
      </c>
      <c r="T10" s="701" t="s">
        <v>14</v>
      </c>
      <c r="U10" s="702">
        <f t="shared" si="1"/>
        <v>113</v>
      </c>
      <c r="V10" s="701" t="s">
        <v>14</v>
      </c>
      <c r="W10" s="702">
        <f t="shared" si="2"/>
        <v>113</v>
      </c>
      <c r="X10" s="703"/>
      <c r="Y10" s="3605"/>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3"/>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3"/>
      <c r="Q12" s="1342"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1" t="str">
        <f t="shared" si="6"/>
        <v>居住社区成熟度</v>
      </c>
      <c r="R15" s="705" t="s">
        <v>14</v>
      </c>
      <c r="S15" s="706">
        <f t="shared" si="0"/>
        <v>100</v>
      </c>
      <c r="T15" s="705" t="s">
        <v>14</v>
      </c>
      <c r="U15" s="706">
        <f t="shared" si="1"/>
        <v>100</v>
      </c>
      <c r="V15" s="705" t="s">
        <v>14</v>
      </c>
      <c r="W15" s="706">
        <f t="shared" si="2"/>
        <v>100</v>
      </c>
      <c r="X15" s="1354"/>
      <c r="Y15" s="369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1" t="str">
        <f>B17</f>
        <v>商业繁华度</v>
      </c>
      <c r="R17" s="705" t="s">
        <v>14</v>
      </c>
      <c r="S17" s="706">
        <f>F17</f>
        <v>100</v>
      </c>
      <c r="T17" s="705" t="s">
        <v>14</v>
      </c>
      <c r="U17" s="706">
        <f>H17</f>
        <v>100</v>
      </c>
      <c r="V17" s="705" t="s">
        <v>14</v>
      </c>
      <c r="W17" s="706">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1" t="str">
        <f>B19</f>
        <v>办公集聚程度</v>
      </c>
      <c r="R19" s="705" t="s">
        <v>14</v>
      </c>
      <c r="S19" s="706">
        <f>F19</f>
        <v>100</v>
      </c>
      <c r="T19" s="705" t="s">
        <v>14</v>
      </c>
      <c r="U19" s="706">
        <f>H19</f>
        <v>100</v>
      </c>
      <c r="V19" s="705" t="s">
        <v>14</v>
      </c>
      <c r="W19" s="706">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96"/>
      <c r="Q20" s="1351"/>
      <c r="R20" s="705"/>
      <c r="S20" s="706"/>
      <c r="T20" s="705"/>
      <c r="U20" s="706"/>
      <c r="V20" s="705"/>
      <c r="W20" s="706"/>
      <c r="X20" s="1354"/>
      <c r="Y20" s="369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1" t="str">
        <f>B21</f>
        <v>交通便捷度</v>
      </c>
      <c r="R21" s="705" t="s">
        <v>14</v>
      </c>
      <c r="S21" s="706">
        <f>F21</f>
        <v>100</v>
      </c>
      <c r="T21" s="705" t="s">
        <v>14</v>
      </c>
      <c r="U21" s="706">
        <f>H21</f>
        <v>100</v>
      </c>
      <c r="V21" s="705" t="s">
        <v>14</v>
      </c>
      <c r="W21" s="706">
        <f>J21</f>
        <v>100</v>
      </c>
      <c r="X21" s="1354"/>
      <c r="Y21" s="369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1" t="str">
        <f t="shared" ref="Q23:Q37" si="8">B23</f>
        <v>区域土地利用方向</v>
      </c>
      <c r="R23" s="705" t="s">
        <v>14</v>
      </c>
      <c r="S23" s="706">
        <f>F23</f>
        <v>100</v>
      </c>
      <c r="T23" s="705" t="s">
        <v>14</v>
      </c>
      <c r="U23" s="706">
        <f>H23</f>
        <v>100</v>
      </c>
      <c r="V23" s="705" t="s">
        <v>14</v>
      </c>
      <c r="W23" s="706">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696"/>
      <c r="Q24" s="1351"/>
      <c r="R24" s="705"/>
      <c r="S24" s="706"/>
      <c r="T24" s="705"/>
      <c r="U24" s="706"/>
      <c r="V24" s="705"/>
      <c r="W24" s="706"/>
      <c r="X24" s="1354"/>
      <c r="Y24" s="369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1" t="str">
        <f t="shared" si="8"/>
        <v>自然及人文环境状况</v>
      </c>
      <c r="R25" s="705" t="s">
        <v>14</v>
      </c>
      <c r="S25" s="706">
        <f>F25</f>
        <v>100</v>
      </c>
      <c r="T25" s="705" t="s">
        <v>14</v>
      </c>
      <c r="U25" s="706">
        <f>H25</f>
        <v>100</v>
      </c>
      <c r="V25" s="705" t="s">
        <v>14</v>
      </c>
      <c r="W25" s="706">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96"/>
      <c r="Q26" s="1351"/>
      <c r="R26" s="705"/>
      <c r="S26" s="706"/>
      <c r="T26" s="705"/>
      <c r="U26" s="706"/>
      <c r="V26" s="705"/>
      <c r="W26" s="706"/>
      <c r="X26" s="1354"/>
      <c r="Y26" s="369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2" t="str">
        <f t="shared" si="8"/>
        <v>公共配套设施</v>
      </c>
      <c r="R27" s="701" t="s">
        <v>14</v>
      </c>
      <c r="S27" s="702">
        <f>F27</f>
        <v>100</v>
      </c>
      <c r="T27" s="701" t="s">
        <v>14</v>
      </c>
      <c r="U27" s="702">
        <f>H27</f>
        <v>100</v>
      </c>
      <c r="V27" s="701" t="s">
        <v>14</v>
      </c>
      <c r="W27" s="702">
        <f>J27</f>
        <v>100</v>
      </c>
      <c r="X27" s="703"/>
      <c r="Y27" s="3696"/>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696"/>
      <c r="Q28" s="1342"/>
      <c r="R28" s="701"/>
      <c r="S28" s="702"/>
      <c r="T28" s="701"/>
      <c r="U28" s="702"/>
      <c r="V28" s="701"/>
      <c r="W28" s="702"/>
      <c r="X28" s="703"/>
      <c r="Y28" s="369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2"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6"/>
      <c r="Q30" s="1342"/>
      <c r="R30" s="701"/>
      <c r="S30" s="702"/>
      <c r="T30" s="701"/>
      <c r="U30" s="702"/>
      <c r="V30" s="701"/>
      <c r="W30" s="702"/>
      <c r="X30" s="703"/>
      <c r="Y30" s="369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1" t="str">
        <f t="shared" si="8"/>
        <v>毗邻道路的类型与等级</v>
      </c>
      <c r="R32" s="705" t="s">
        <v>14</v>
      </c>
      <c r="S32" s="706">
        <f t="shared" si="10"/>
        <v>100</v>
      </c>
      <c r="T32" s="705" t="s">
        <v>14</v>
      </c>
      <c r="U32" s="706">
        <f t="shared" si="11"/>
        <v>100</v>
      </c>
      <c r="V32" s="705" t="s">
        <v>14</v>
      </c>
      <c r="W32" s="706">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6"/>
      <c r="Q33" s="1351"/>
      <c r="R33" s="705"/>
      <c r="S33" s="706"/>
      <c r="T33" s="705"/>
      <c r="U33" s="706"/>
      <c r="V33" s="705"/>
      <c r="W33" s="706"/>
      <c r="X33" s="1354"/>
      <c r="Y33" s="369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1" t="str">
        <f t="shared" si="8"/>
        <v>土地级别</v>
      </c>
      <c r="R34" s="705" t="s">
        <v>14</v>
      </c>
      <c r="S34" s="706">
        <f t="shared" si="10"/>
        <v>100</v>
      </c>
      <c r="T34" s="705" t="s">
        <v>14</v>
      </c>
      <c r="U34" s="706">
        <f t="shared" si="11"/>
        <v>100</v>
      </c>
      <c r="V34" s="705" t="s">
        <v>14</v>
      </c>
      <c r="W34" s="706">
        <f t="shared" si="12"/>
        <v>100</v>
      </c>
      <c r="X34" s="1354"/>
      <c r="Y34" s="369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1">
        <f t="shared" si="8"/>
        <v>111</v>
      </c>
      <c r="R35" s="705" t="s">
        <v>14</v>
      </c>
      <c r="S35" s="706">
        <f t="shared" si="10"/>
        <v>100</v>
      </c>
      <c r="T35" s="705" t="s">
        <v>14</v>
      </c>
      <c r="U35" s="706">
        <f t="shared" si="11"/>
        <v>100</v>
      </c>
      <c r="V35" s="705" t="s">
        <v>14</v>
      </c>
      <c r="W35" s="706">
        <f t="shared" si="12"/>
        <v>100</v>
      </c>
      <c r="X35" s="1354"/>
      <c r="Y35" s="369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9" t="s">
        <v>1696</v>
      </c>
      <c r="Q36" s="1351">
        <f t="shared" si="8"/>
        <v>111</v>
      </c>
      <c r="R36" s="705" t="s">
        <v>14</v>
      </c>
      <c r="S36" s="706">
        <f t="shared" si="10"/>
        <v>100</v>
      </c>
      <c r="T36" s="705" t="s">
        <v>14</v>
      </c>
      <c r="U36" s="706">
        <f t="shared" si="11"/>
        <v>100</v>
      </c>
      <c r="V36" s="705" t="s">
        <v>14</v>
      </c>
      <c r="W36" s="706">
        <f t="shared" si="12"/>
        <v>100</v>
      </c>
      <c r="X36" s="1354"/>
      <c r="Y36" s="370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1">
        <f t="shared" si="8"/>
        <v>111</v>
      </c>
      <c r="R37" s="708" t="s">
        <v>14</v>
      </c>
      <c r="S37" s="709">
        <f t="shared" si="10"/>
        <v>100</v>
      </c>
      <c r="T37" s="708" t="s">
        <v>14</v>
      </c>
      <c r="U37" s="709">
        <f t="shared" si="11"/>
        <v>100</v>
      </c>
      <c r="V37" s="708" t="s">
        <v>14</v>
      </c>
      <c r="W37" s="709">
        <f t="shared" si="12"/>
        <v>100</v>
      </c>
      <c r="X37" s="710"/>
      <c r="Y37" s="370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1" t="str">
        <f>B38</f>
        <v>宗地面积</v>
      </c>
      <c r="R38" s="705" t="s">
        <v>14</v>
      </c>
      <c r="S38" s="706" t="e">
        <f t="shared" si="10"/>
        <v>#N/A</v>
      </c>
      <c r="T38" s="705" t="s">
        <v>14</v>
      </c>
      <c r="U38" s="706" t="e">
        <f t="shared" si="11"/>
        <v>#N/A</v>
      </c>
      <c r="V38" s="705" t="s">
        <v>14</v>
      </c>
      <c r="W38" s="706" t="e">
        <f t="shared" si="12"/>
        <v>#N/A</v>
      </c>
      <c r="X38" s="1354"/>
      <c r="Y38" s="370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0"/>
      <c r="Q39" s="1351" t="str">
        <f t="shared" ref="Q39:Q45" si="14">B39</f>
        <v>宗地形状</v>
      </c>
      <c r="R39" s="705" t="s">
        <v>14</v>
      </c>
      <c r="S39" s="706">
        <f t="shared" si="10"/>
        <v>100</v>
      </c>
      <c r="T39" s="705" t="s">
        <v>14</v>
      </c>
      <c r="U39" s="706">
        <f t="shared" si="11"/>
        <v>100</v>
      </c>
      <c r="V39" s="705" t="s">
        <v>14</v>
      </c>
      <c r="W39" s="706">
        <f t="shared" si="12"/>
        <v>100</v>
      </c>
      <c r="X39" s="1354"/>
      <c r="Y39" s="370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0"/>
      <c r="Q40" s="1351" t="str">
        <f t="shared" si="14"/>
        <v>临街宽度及深度</v>
      </c>
      <c r="R40" s="705" t="s">
        <v>14</v>
      </c>
      <c r="S40" s="706">
        <f t="shared" si="10"/>
        <v>100</v>
      </c>
      <c r="T40" s="705" t="s">
        <v>14</v>
      </c>
      <c r="U40" s="706">
        <f t="shared" si="11"/>
        <v>100</v>
      </c>
      <c r="V40" s="705" t="s">
        <v>14</v>
      </c>
      <c r="W40" s="706">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0"/>
      <c r="Q41" s="1351"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0" t="s">
        <v>1696</v>
      </c>
      <c r="Q42" s="1351" t="str">
        <f t="shared" si="14"/>
        <v>工程地质条件</v>
      </c>
      <c r="R42" s="705" t="s">
        <v>14</v>
      </c>
      <c r="S42" s="706">
        <f t="shared" si="10"/>
        <v>100</v>
      </c>
      <c r="T42" s="705" t="s">
        <v>14</v>
      </c>
      <c r="U42" s="706">
        <f t="shared" si="11"/>
        <v>100</v>
      </c>
      <c r="V42" s="705" t="s">
        <v>14</v>
      </c>
      <c r="W42" s="706">
        <f t="shared" si="12"/>
        <v>100</v>
      </c>
      <c r="X42" s="1354"/>
      <c r="Y42" s="370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1">
        <f t="shared" si="14"/>
        <v>111</v>
      </c>
      <c r="R43" s="705" t="s">
        <v>14</v>
      </c>
      <c r="S43" s="706">
        <f t="shared" si="10"/>
        <v>100</v>
      </c>
      <c r="T43" s="705" t="s">
        <v>14</v>
      </c>
      <c r="U43" s="706">
        <f t="shared" si="11"/>
        <v>100</v>
      </c>
      <c r="V43" s="705" t="s">
        <v>14</v>
      </c>
      <c r="W43" s="706">
        <f t="shared" si="12"/>
        <v>100</v>
      </c>
      <c r="X43" s="1354"/>
      <c r="Y43" s="370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1">
        <f t="shared" si="14"/>
        <v>111</v>
      </c>
      <c r="R44" s="705" t="s">
        <v>14</v>
      </c>
      <c r="S44" s="706">
        <f t="shared" si="10"/>
        <v>100</v>
      </c>
      <c r="T44" s="705" t="s">
        <v>14</v>
      </c>
      <c r="U44" s="706">
        <f t="shared" si="11"/>
        <v>100</v>
      </c>
      <c r="V44" s="705" t="s">
        <v>14</v>
      </c>
      <c r="W44" s="706">
        <f t="shared" si="12"/>
        <v>100</v>
      </c>
      <c r="X44" s="1354"/>
      <c r="Y44" s="3700"/>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1">
        <f t="shared" si="14"/>
        <v>111</v>
      </c>
      <c r="R45" s="708" t="s">
        <v>14</v>
      </c>
      <c r="S45" s="709">
        <f t="shared" si="10"/>
        <v>100</v>
      </c>
      <c r="T45" s="708" t="s">
        <v>14</v>
      </c>
      <c r="U45" s="709">
        <f t="shared" si="11"/>
        <v>100</v>
      </c>
      <c r="V45" s="708" t="s">
        <v>14</v>
      </c>
      <c r="W45" s="709">
        <f t="shared" si="12"/>
        <v>100</v>
      </c>
      <c r="X45" s="710"/>
      <c r="Y45" s="3700"/>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693" t="str">
        <f>A46</f>
        <v>成交单价</v>
      </c>
      <c r="Q46" s="3693"/>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3" t="str">
        <f>A47</f>
        <v>比较价值（元/平方米）</v>
      </c>
      <c r="Q47" s="3693"/>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0" t="str">
        <f>A48</f>
        <v>估价对象XX用房的比较价值（楼面单价，元/平方米）</v>
      </c>
      <c r="Q48" s="3691"/>
      <c r="R48" s="3722" t="e">
        <f>ROUND(IF(D47="简单平均",AVERAGE(R47:W47),R47*F47+T47*H47+V47*J47),0)</f>
        <v>#DIV/0!</v>
      </c>
      <c r="S48" s="3722"/>
      <c r="T48" s="3722"/>
      <c r="U48" s="3722"/>
      <c r="V48" s="3722"/>
      <c r="W48" s="372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6" t="s">
        <v>1887</v>
      </c>
      <c r="H55" s="3723"/>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139.51</v>
      </c>
      <c r="F56" s="886" t="e">
        <f t="shared" ref="F56:F64" si="15">ROUND(B56*E56/10000,0)</f>
        <v>#DIV/0!</v>
      </c>
      <c r="G56" s="3675"/>
      <c r="H56" s="369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139.51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4"/>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3"/>
      <c r="M5" s="2714"/>
      <c r="N5" s="2714"/>
      <c r="O5" s="2714"/>
      <c r="P5" s="3682"/>
      <c r="Q5" s="3683"/>
      <c r="R5" s="3665"/>
      <c r="S5" s="3666"/>
      <c r="T5" s="3665"/>
      <c r="U5" s="3666"/>
      <c r="V5" s="3688"/>
      <c r="W5" s="3688"/>
      <c r="X5" s="1354"/>
      <c r="Y5" s="3665"/>
      <c r="Z5" s="3666"/>
      <c r="AA5" s="3659"/>
      <c r="AB5" s="3659"/>
      <c r="AC5" s="3659"/>
    </row>
    <row r="6" spans="1:29" ht="15.75" thickBot="1">
      <c r="A6" s="360"/>
      <c r="B6" s="361"/>
      <c r="C6" s="3724" t="s">
        <v>1919</v>
      </c>
      <c r="D6" s="3725"/>
      <c r="E6" s="3726" t="s">
        <v>1919</v>
      </c>
      <c r="F6" s="3727"/>
      <c r="G6" s="3724" t="s">
        <v>1919</v>
      </c>
      <c r="H6" s="3725"/>
      <c r="I6" s="3724" t="s">
        <v>1919</v>
      </c>
      <c r="J6" s="3725"/>
      <c r="K6" s="559" t="s">
        <v>1678</v>
      </c>
      <c r="L6" s="2713"/>
      <c r="M6" s="2714"/>
      <c r="N6" s="2714"/>
      <c r="O6" s="2714"/>
      <c r="P6" s="3684"/>
      <c r="Q6" s="3685"/>
      <c r="R6" s="3665"/>
      <c r="S6" s="3666"/>
      <c r="T6" s="3686"/>
      <c r="U6" s="3687"/>
      <c r="V6" s="3688"/>
      <c r="W6" s="3688"/>
      <c r="X6" s="1354"/>
      <c r="Y6" s="3686"/>
      <c r="Z6" s="3687"/>
      <c r="AA6" s="3660"/>
      <c r="AB6" s="3660"/>
      <c r="AC6" s="3660"/>
    </row>
    <row r="7" spans="1:29" s="108" customFormat="1" ht="15.75" thickBot="1">
      <c r="A7" s="362" t="s">
        <v>1679</v>
      </c>
      <c r="B7" s="363"/>
      <c r="C7" s="364">
        <f>'数据-取费表'!B2</f>
        <v>44922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3" t="s">
        <v>1686</v>
      </c>
      <c r="Q9" s="1342"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93"/>
      <c r="Q10" s="1342" t="str">
        <f t="shared" si="6"/>
        <v>土地使用年限（年）</v>
      </c>
      <c r="R10" s="701" t="s">
        <v>14</v>
      </c>
      <c r="S10" s="702">
        <f t="shared" si="0"/>
        <v>113</v>
      </c>
      <c r="T10" s="701" t="s">
        <v>14</v>
      </c>
      <c r="U10" s="702">
        <f t="shared" si="1"/>
        <v>113</v>
      </c>
      <c r="V10" s="701" t="s">
        <v>14</v>
      </c>
      <c r="W10" s="702">
        <f t="shared" si="2"/>
        <v>113</v>
      </c>
      <c r="X10" s="703"/>
      <c r="Y10" s="3605"/>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3"/>
      <c r="Q11" s="1342"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3"/>
      <c r="Q12" s="1342">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3"/>
      <c r="Q13" s="1342">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3"/>
      <c r="Q14" s="1342">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1" t="str">
        <f t="shared" ref="Q19:Q33" si="8">B19</f>
        <v>区域土地利用方向</v>
      </c>
      <c r="R19" s="705" t="s">
        <v>14</v>
      </c>
      <c r="S19" s="706">
        <f>F19</f>
        <v>100</v>
      </c>
      <c r="T19" s="705" t="s">
        <v>14</v>
      </c>
      <c r="U19" s="706">
        <f>H19</f>
        <v>100</v>
      </c>
      <c r="V19" s="705" t="s">
        <v>14</v>
      </c>
      <c r="W19" s="706">
        <f>J19</f>
        <v>100</v>
      </c>
      <c r="X19" s="1354"/>
      <c r="Y19" s="369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6"/>
      <c r="Q20" s="1351"/>
      <c r="R20" s="705"/>
      <c r="S20" s="706"/>
      <c r="T20" s="705"/>
      <c r="U20" s="706"/>
      <c r="V20" s="705"/>
      <c r="W20" s="706"/>
      <c r="X20" s="1354"/>
      <c r="Y20" s="369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1" t="str">
        <f t="shared" si="8"/>
        <v>环境状况</v>
      </c>
      <c r="R21" s="705" t="s">
        <v>14</v>
      </c>
      <c r="S21" s="706">
        <f>F21</f>
        <v>100</v>
      </c>
      <c r="T21" s="705" t="s">
        <v>14</v>
      </c>
      <c r="U21" s="706">
        <f>H21</f>
        <v>100</v>
      </c>
      <c r="V21" s="705" t="s">
        <v>14</v>
      </c>
      <c r="W21" s="706">
        <f>J21</f>
        <v>100</v>
      </c>
      <c r="X21" s="1354"/>
      <c r="Y21" s="369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2" t="str">
        <f t="shared" si="8"/>
        <v>公共配套设施</v>
      </c>
      <c r="R23" s="701" t="s">
        <v>14</v>
      </c>
      <c r="S23" s="702">
        <f>F23</f>
        <v>100</v>
      </c>
      <c r="T23" s="701" t="s">
        <v>14</v>
      </c>
      <c r="U23" s="702">
        <f>H23</f>
        <v>100</v>
      </c>
      <c r="V23" s="701" t="s">
        <v>14</v>
      </c>
      <c r="W23" s="702">
        <f>J23</f>
        <v>100</v>
      </c>
      <c r="X23" s="703"/>
      <c r="Y23" s="3696"/>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696"/>
      <c r="Q24" s="1342"/>
      <c r="R24" s="701"/>
      <c r="S24" s="702"/>
      <c r="T24" s="701"/>
      <c r="U24" s="702"/>
      <c r="V24" s="701"/>
      <c r="W24" s="702"/>
      <c r="X24" s="703"/>
      <c r="Y24" s="369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2"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6"/>
      <c r="Q26" s="1342"/>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6"/>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1" t="str">
        <f t="shared" si="8"/>
        <v>毗邻道路的类型与等级</v>
      </c>
      <c r="R28" s="705" t="s">
        <v>14</v>
      </c>
      <c r="S28" s="706">
        <f t="shared" si="10"/>
        <v>100</v>
      </c>
      <c r="T28" s="705" t="s">
        <v>14</v>
      </c>
      <c r="U28" s="706">
        <f t="shared" si="11"/>
        <v>100</v>
      </c>
      <c r="V28" s="705" t="s">
        <v>14</v>
      </c>
      <c r="W28" s="706">
        <f t="shared" si="12"/>
        <v>100</v>
      </c>
      <c r="X28" s="1354"/>
      <c r="Y28" s="369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6"/>
      <c r="Q29" s="1351"/>
      <c r="R29" s="705"/>
      <c r="S29" s="706"/>
      <c r="T29" s="705"/>
      <c r="U29" s="706"/>
      <c r="V29" s="705"/>
      <c r="W29" s="706"/>
      <c r="X29" s="1354"/>
      <c r="Y29" s="369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1" t="str">
        <f t="shared" si="8"/>
        <v>土地级别</v>
      </c>
      <c r="R30" s="705" t="s">
        <v>14</v>
      </c>
      <c r="S30" s="706">
        <f t="shared" si="10"/>
        <v>100</v>
      </c>
      <c r="T30" s="705" t="s">
        <v>14</v>
      </c>
      <c r="U30" s="706">
        <f t="shared" si="11"/>
        <v>100</v>
      </c>
      <c r="V30" s="705" t="s">
        <v>14</v>
      </c>
      <c r="W30" s="706">
        <f t="shared" si="12"/>
        <v>100</v>
      </c>
      <c r="X30" s="1354"/>
      <c r="Y30" s="3696"/>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1">
        <f t="shared" si="8"/>
        <v>111</v>
      </c>
      <c r="R31" s="705" t="s">
        <v>14</v>
      </c>
      <c r="S31" s="706">
        <f t="shared" si="10"/>
        <v>100</v>
      </c>
      <c r="T31" s="705" t="s">
        <v>14</v>
      </c>
      <c r="U31" s="706">
        <f t="shared" si="11"/>
        <v>100</v>
      </c>
      <c r="V31" s="705" t="s">
        <v>14</v>
      </c>
      <c r="W31" s="706">
        <f t="shared" si="12"/>
        <v>100</v>
      </c>
      <c r="X31" s="1354"/>
      <c r="Y31" s="3696"/>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9" t="s">
        <v>1696</v>
      </c>
      <c r="Q32" s="1351">
        <f t="shared" si="8"/>
        <v>111</v>
      </c>
      <c r="R32" s="705" t="s">
        <v>14</v>
      </c>
      <c r="S32" s="706">
        <f t="shared" si="10"/>
        <v>100</v>
      </c>
      <c r="T32" s="705" t="s">
        <v>14</v>
      </c>
      <c r="U32" s="706">
        <f t="shared" si="11"/>
        <v>100</v>
      </c>
      <c r="V32" s="705" t="s">
        <v>14</v>
      </c>
      <c r="W32" s="706">
        <f t="shared" si="12"/>
        <v>100</v>
      </c>
      <c r="X32" s="1354"/>
      <c r="Y32" s="3700"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1">
        <f t="shared" si="8"/>
        <v>111</v>
      </c>
      <c r="R33" s="708" t="s">
        <v>14</v>
      </c>
      <c r="S33" s="709">
        <f t="shared" si="10"/>
        <v>100</v>
      </c>
      <c r="T33" s="708" t="s">
        <v>14</v>
      </c>
      <c r="U33" s="709">
        <f t="shared" si="11"/>
        <v>100</v>
      </c>
      <c r="V33" s="708" t="s">
        <v>14</v>
      </c>
      <c r="W33" s="709">
        <f t="shared" si="12"/>
        <v>100</v>
      </c>
      <c r="X33" s="710"/>
      <c r="Y33" s="370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1" t="str">
        <f>B34</f>
        <v>宗地面积</v>
      </c>
      <c r="R34" s="705" t="s">
        <v>14</v>
      </c>
      <c r="S34" s="706" t="e">
        <f t="shared" si="10"/>
        <v>#N/A</v>
      </c>
      <c r="T34" s="705" t="s">
        <v>14</v>
      </c>
      <c r="U34" s="706" t="e">
        <f t="shared" si="11"/>
        <v>#N/A</v>
      </c>
      <c r="V34" s="705" t="s">
        <v>14</v>
      </c>
      <c r="W34" s="706" t="e">
        <f t="shared" si="12"/>
        <v>#N/A</v>
      </c>
      <c r="X34" s="1354"/>
      <c r="Y34" s="370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0"/>
      <c r="Q35" s="1351" t="str">
        <f t="shared" ref="Q35:Q40" si="14">B35</f>
        <v>宗地形状</v>
      </c>
      <c r="R35" s="705" t="s">
        <v>14</v>
      </c>
      <c r="S35" s="706">
        <f t="shared" si="10"/>
        <v>100</v>
      </c>
      <c r="T35" s="705" t="s">
        <v>14</v>
      </c>
      <c r="U35" s="706">
        <f t="shared" si="11"/>
        <v>100</v>
      </c>
      <c r="V35" s="705" t="s">
        <v>14</v>
      </c>
      <c r="W35" s="706">
        <f t="shared" si="12"/>
        <v>100</v>
      </c>
      <c r="X35" s="1354"/>
      <c r="Y35" s="3700"/>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0"/>
      <c r="Q36" s="1351"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0" t="s">
        <v>1696</v>
      </c>
      <c r="Q37" s="1351" t="str">
        <f t="shared" si="14"/>
        <v>工程地质条件</v>
      </c>
      <c r="R37" s="705" t="s">
        <v>14</v>
      </c>
      <c r="S37" s="706">
        <f t="shared" si="10"/>
        <v>100</v>
      </c>
      <c r="T37" s="705" t="s">
        <v>14</v>
      </c>
      <c r="U37" s="706">
        <f t="shared" si="11"/>
        <v>100</v>
      </c>
      <c r="V37" s="705" t="s">
        <v>14</v>
      </c>
      <c r="W37" s="706">
        <f t="shared" si="12"/>
        <v>100</v>
      </c>
      <c r="X37" s="1354"/>
      <c r="Y37" s="370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1">
        <f t="shared" si="14"/>
        <v>111</v>
      </c>
      <c r="R38" s="705" t="s">
        <v>14</v>
      </c>
      <c r="S38" s="706">
        <f t="shared" si="10"/>
        <v>100</v>
      </c>
      <c r="T38" s="705" t="s">
        <v>14</v>
      </c>
      <c r="U38" s="706">
        <f t="shared" si="11"/>
        <v>100</v>
      </c>
      <c r="V38" s="705" t="s">
        <v>14</v>
      </c>
      <c r="W38" s="706">
        <f t="shared" si="12"/>
        <v>100</v>
      </c>
      <c r="X38" s="1354"/>
      <c r="Y38" s="370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1">
        <f t="shared" si="14"/>
        <v>111</v>
      </c>
      <c r="R39" s="705" t="s">
        <v>14</v>
      </c>
      <c r="S39" s="706">
        <f t="shared" si="10"/>
        <v>100</v>
      </c>
      <c r="T39" s="705" t="s">
        <v>14</v>
      </c>
      <c r="U39" s="706">
        <f t="shared" si="11"/>
        <v>100</v>
      </c>
      <c r="V39" s="705" t="s">
        <v>14</v>
      </c>
      <c r="W39" s="706">
        <f t="shared" si="12"/>
        <v>100</v>
      </c>
      <c r="X39" s="1354"/>
      <c r="Y39" s="3700"/>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1">
        <f t="shared" si="14"/>
        <v>111</v>
      </c>
      <c r="R40" s="708" t="s">
        <v>14</v>
      </c>
      <c r="S40" s="709">
        <f t="shared" si="10"/>
        <v>100</v>
      </c>
      <c r="T40" s="708" t="s">
        <v>14</v>
      </c>
      <c r="U40" s="709">
        <f t="shared" si="11"/>
        <v>100</v>
      </c>
      <c r="V40" s="708" t="s">
        <v>14</v>
      </c>
      <c r="W40" s="709">
        <f t="shared" si="12"/>
        <v>100</v>
      </c>
      <c r="X40" s="710"/>
      <c r="Y40" s="3700"/>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693" t="str">
        <f>A41</f>
        <v>成交单价</v>
      </c>
      <c r="Q41" s="3693"/>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3" t="str">
        <f>A42</f>
        <v>比较价值（元/平方米）</v>
      </c>
      <c r="Q42" s="3693"/>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0" t="str">
        <f>A43</f>
        <v>估价对象XX用房的比较价值（楼面单价，元/平方米）</v>
      </c>
      <c r="Q43" s="3691"/>
      <c r="R43" s="3722" t="e">
        <f>ROUND(IF(D42="简单平均",AVERAGE(R42:W42),R42*F42+T42*H42+V42*J42),0)</f>
        <v>#DIV/0!</v>
      </c>
      <c r="S43" s="3722"/>
      <c r="T43" s="3722"/>
      <c r="U43" s="3722"/>
      <c r="V43" s="3722"/>
      <c r="W43" s="372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6" t="s">
        <v>1887</v>
      </c>
      <c r="H50" s="3723"/>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139.51</v>
      </c>
      <c r="F51" s="639" t="e">
        <f t="shared" ref="F51:F60" si="15">ROUND(B51*E51/10000,0)</f>
        <v>#DIV/0!</v>
      </c>
      <c r="G51" s="3675"/>
      <c r="H51" s="369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北京市平均增长率1.10%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90" zoomScaleNormal="90" workbookViewId="0">
      <pane ySplit="24" topLeftCell="A25" activePane="bottomLeft" state="frozen"/>
      <selection activeCell="C50" sqref="C50"/>
      <selection pane="bottomLeft" activeCell="R33" sqref="R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1" t="s">
        <v>2084</v>
      </c>
      <c r="D1" s="3732"/>
      <c r="E1" s="3732"/>
      <c r="F1" s="3732"/>
      <c r="G1" s="3732"/>
      <c r="H1" s="3732"/>
      <c r="I1" s="3732"/>
      <c r="J1" s="3732"/>
      <c r="K1" s="3732"/>
      <c r="L1" s="3732"/>
      <c r="M1" s="3732"/>
      <c r="N1" s="3732"/>
      <c r="O1" s="3732"/>
      <c r="P1" s="3732"/>
      <c r="Q1" s="3732"/>
      <c r="R1" s="3732"/>
      <c r="S1" s="3733"/>
      <c r="T1" s="983" t="s">
        <v>2085</v>
      </c>
    </row>
    <row r="2" spans="1:45" s="655" customFormat="1">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4">
        <v>300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8">
        <v>96</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802" t="s">
        <v>3409</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9"/>
      <c r="E20" s="1340"/>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478.17999999999995</v>
      </c>
      <c r="C22" s="3728" t="s">
        <v>27</v>
      </c>
      <c r="D22" s="3729"/>
      <c r="E22" s="3729"/>
      <c r="F22" s="3729"/>
      <c r="G22" s="3729"/>
      <c r="H22" s="3729"/>
      <c r="I22" s="3729"/>
      <c r="J22" s="3729"/>
      <c r="K22" s="3729"/>
      <c r="L22" s="3729"/>
      <c r="M22" s="3729"/>
      <c r="N22" s="3729"/>
      <c r="O22" s="3729"/>
      <c r="P22" s="3729"/>
      <c r="Q22" s="3730"/>
      <c r="R22" s="663">
        <f ca="1">ROUND(S22*10000/B22,0)</f>
        <v>42704</v>
      </c>
      <c r="S22" s="21">
        <f ca="1">SUM(S24:S10000)</f>
        <v>2042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Sheet1!C164</f>
        <v>2108</v>
      </c>
      <c r="B24" s="665">
        <f>Sheet1!D164</f>
        <v>139.51</v>
      </c>
      <c r="C24" s="2808">
        <v>1</v>
      </c>
      <c r="D24" s="2809"/>
      <c r="E24" s="2808">
        <v>1</v>
      </c>
      <c r="F24" s="2809"/>
      <c r="G24" s="2808">
        <v>1</v>
      </c>
      <c r="H24" s="2809"/>
      <c r="I24" s="2808">
        <v>1</v>
      </c>
      <c r="J24" s="2809"/>
      <c r="K24" s="2808">
        <v>1</v>
      </c>
      <c r="L24" s="2809"/>
      <c r="M24" s="2808">
        <v>1</v>
      </c>
      <c r="N24" s="2809"/>
      <c r="O24" s="2808">
        <v>1</v>
      </c>
      <c r="P24" s="2809" t="s">
        <v>3388</v>
      </c>
      <c r="Q24" s="2808">
        <v>1</v>
      </c>
      <c r="R24" s="668">
        <f ca="1">结果表!G20</f>
        <v>43100</v>
      </c>
      <c r="S24" s="666">
        <f t="shared" ref="S24:S54" ca="1" si="11">ROUND(R24*B24/10000,0)</f>
        <v>601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Sheet1!C165</f>
        <v>2109</v>
      </c>
      <c r="B25" s="665">
        <f>Sheet1!D165</f>
        <v>58.82</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803" t="s">
        <v>3410</v>
      </c>
      <c r="Q25" s="21">
        <f>(SUMIF($17:$17,P25,$18:$18)-SUMIF($17:$17,$P$24,$18:$18)+100)/100</f>
        <v>1</v>
      </c>
      <c r="R25" s="663">
        <f ca="1">IF(B25="",0,ROUND($R$24*C25*E25*G25*I25*K25*M25*O25*Q25,0))</f>
        <v>42238</v>
      </c>
      <c r="S25" s="316">
        <f t="shared" ca="1" si="11"/>
        <v>248</v>
      </c>
    </row>
    <row r="26" spans="1:45">
      <c r="A26" s="665">
        <f>Sheet1!C166</f>
        <v>2110</v>
      </c>
      <c r="B26" s="665">
        <f>Sheet1!D166</f>
        <v>80.8</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803" t="s">
        <v>3409</v>
      </c>
      <c r="Q26" s="21">
        <f t="shared" ref="Q26:Q89" si="19">(SUMIF($17:$17,P26,$18:$18)-SUMIF($17:$17,$P$24,$18:$18)+100)/100</f>
        <v>1</v>
      </c>
      <c r="R26" s="663">
        <f t="shared" ref="R26:R89" ca="1" si="20">IF(B26="",0,ROUND($R$24*C26*E26*G26*I26*K26*M26*O26*Q26,0))</f>
        <v>42238</v>
      </c>
      <c r="S26" s="316">
        <f t="shared" ca="1" si="11"/>
        <v>341</v>
      </c>
    </row>
    <row r="27" spans="1:45">
      <c r="A27" s="665">
        <f>Sheet1!C167</f>
        <v>2111</v>
      </c>
      <c r="B27" s="665">
        <f>Sheet1!D167</f>
        <v>70.760000000000005</v>
      </c>
      <c r="C27" s="21">
        <f t="shared" si="12"/>
        <v>0.98</v>
      </c>
      <c r="D27" s="667"/>
      <c r="E27" s="21">
        <f t="shared" si="13"/>
        <v>1</v>
      </c>
      <c r="F27" s="667"/>
      <c r="G27" s="21">
        <f t="shared" si="14"/>
        <v>1</v>
      </c>
      <c r="H27" s="667"/>
      <c r="I27" s="21">
        <f t="shared" si="15"/>
        <v>1</v>
      </c>
      <c r="J27" s="667"/>
      <c r="K27" s="21">
        <f t="shared" si="16"/>
        <v>1</v>
      </c>
      <c r="L27" s="667"/>
      <c r="M27" s="21">
        <f t="shared" si="17"/>
        <v>1</v>
      </c>
      <c r="N27" s="667"/>
      <c r="O27" s="21">
        <f t="shared" si="18"/>
        <v>1</v>
      </c>
      <c r="P27" s="3803" t="s">
        <v>3409</v>
      </c>
      <c r="Q27" s="21">
        <f t="shared" si="19"/>
        <v>1</v>
      </c>
      <c r="R27" s="663">
        <f t="shared" ca="1" si="20"/>
        <v>42238</v>
      </c>
      <c r="S27" s="316">
        <f t="shared" ca="1" si="11"/>
        <v>299</v>
      </c>
    </row>
    <row r="28" spans="1:45">
      <c r="A28" s="665">
        <f>Sheet1!C168</f>
        <v>2112</v>
      </c>
      <c r="B28" s="665">
        <f>Sheet1!D168</f>
        <v>128.29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803" t="s">
        <v>3409</v>
      </c>
      <c r="Q28" s="21">
        <f t="shared" si="19"/>
        <v>1</v>
      </c>
      <c r="R28" s="663">
        <f t="shared" ca="1" si="20"/>
        <v>43100</v>
      </c>
      <c r="S28" s="316">
        <f t="shared" ca="1" si="11"/>
        <v>553</v>
      </c>
    </row>
    <row r="29" spans="1:45">
      <c r="A29" s="665"/>
      <c r="B29" s="665"/>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2"/>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61">
        <f>ROUND(SUMPRODUCT((B106:B110=R2)*(C105:N105=G2)*(C106:N110)),4)</f>
        <v>0</v>
      </c>
      <c r="T2" s="3361" t="e">
        <f t="shared" ref="T2:T16" si="0">ROUND($C$5*$C$22*$C$23*$C$24*S2*$C$28,0)</f>
        <v>#DIV/0!</v>
      </c>
      <c r="U2" s="1212"/>
      <c r="V2" s="3361"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20"/>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61">
        <f>ROUND(SUMPRODUCT((B106:B110=R3)*(C105:N105=G2)*(C106:N110)),4)</f>
        <v>0</v>
      </c>
      <c r="T3" s="3361" t="e">
        <f t="shared" si="0"/>
        <v>#DIV/0!</v>
      </c>
      <c r="U3" s="1212"/>
      <c r="V3" s="3361" t="e">
        <f t="shared" ref="V3:V16" si="1">ROUND(T3*U3/10000,0)</f>
        <v>#DIV/0!</v>
      </c>
      <c r="W3" s="1215"/>
      <c r="X3" s="1215"/>
      <c r="Y3" s="1215"/>
      <c r="Z3" s="1215"/>
      <c r="AA3" s="1215"/>
      <c r="AB3" s="1215"/>
      <c r="AC3" s="1216"/>
      <c r="AD3" s="1217"/>
      <c r="AE3" s="1217"/>
      <c r="AF3" s="1217"/>
      <c r="AG3" s="1217"/>
      <c r="AH3" s="1217"/>
      <c r="AI3" s="1217"/>
      <c r="AJ3" s="1218"/>
    </row>
    <row r="4" spans="1:36" ht="15.75">
      <c r="A4" s="3741"/>
      <c r="B4" s="3742"/>
      <c r="C4" s="3742"/>
      <c r="D4" s="3743"/>
      <c r="E4" s="3743"/>
      <c r="F4" s="3743"/>
      <c r="G4" s="3743"/>
      <c r="H4" s="3743"/>
      <c r="I4" s="3743"/>
      <c r="J4" s="3744"/>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61">
        <f>ROUND(SUMPRODUCT((B106:B110=R4)*(C105:N105=G2)*(C106:N110)),4)</f>
        <v>0</v>
      </c>
      <c r="T4" s="3361" t="e">
        <f t="shared" si="0"/>
        <v>#DIV/0!</v>
      </c>
      <c r="U4" s="1212"/>
      <c r="V4" s="3361"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61">
        <f>ROUND(SUMPRODUCT((B106:B110=R5)*(C105:N105=G2)*(C106:N110)),4)</f>
        <v>0</v>
      </c>
      <c r="T5" s="3361" t="e">
        <f t="shared" si="0"/>
        <v>#DIV/0!</v>
      </c>
      <c r="U5" s="1212"/>
      <c r="V5" s="3361"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61">
        <f>ROUND(SUMPRODUCT((B106:B110=R6)*(C105:N105=G2)*(C106:N110)),4)</f>
        <v>0</v>
      </c>
      <c r="T6" s="3361" t="e">
        <f t="shared" si="0"/>
        <v>#DIV/0!</v>
      </c>
      <c r="U6" s="1212"/>
      <c r="V6" s="3361" t="e">
        <f t="shared" si="1"/>
        <v>#DIV/0!</v>
      </c>
      <c r="W6" s="1215"/>
      <c r="X6" s="1215"/>
      <c r="Y6" s="1215"/>
      <c r="Z6" s="1215"/>
      <c r="AA6" s="1215"/>
      <c r="AB6" s="1215"/>
      <c r="AC6" s="2009"/>
      <c r="AD6" s="2010"/>
      <c r="AE6" s="2010"/>
      <c r="AF6" s="2010"/>
      <c r="AG6" s="2010"/>
      <c r="AH6" s="2010"/>
      <c r="AI6" s="2010"/>
      <c r="AJ6" s="2011"/>
    </row>
    <row r="7" spans="1:36" ht="24.75" thickBot="1">
      <c r="A7" s="3303" t="s">
        <v>3245</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9"/>
      <c r="T7" s="3361" t="e">
        <f t="shared" si="0"/>
        <v>#DIV/0!</v>
      </c>
      <c r="U7" s="1212"/>
      <c r="V7" s="3361"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61" t="e">
        <f t="shared" si="0"/>
        <v>#DIV/0!</v>
      </c>
      <c r="U8" s="1212"/>
      <c r="V8" s="3361" t="e">
        <f t="shared" si="1"/>
        <v>#DIV/0!</v>
      </c>
      <c r="W8" s="3738" t="s">
        <v>1960</v>
      </c>
      <c r="X8" s="373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61" t="e">
        <f t="shared" si="0"/>
        <v>#DIV/0!</v>
      </c>
      <c r="U9" s="1212"/>
      <c r="V9" s="3361" t="e">
        <f t="shared" si="1"/>
        <v>#DIV/0!</v>
      </c>
      <c r="W9" s="3740"/>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1" t="e">
        <f t="shared" si="0"/>
        <v>#DIV/0!</v>
      </c>
      <c r="U10" s="1212"/>
      <c r="V10" s="3361" t="e">
        <f t="shared" si="1"/>
        <v>#DIV/0!</v>
      </c>
      <c r="W10" s="374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2"/>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1" t="e">
        <f t="shared" si="0"/>
        <v>#DIV/0!</v>
      </c>
      <c r="U11" s="1212"/>
      <c r="V11" s="3361" t="e">
        <f t="shared" si="1"/>
        <v>#DIV/0!</v>
      </c>
      <c r="W11" s="1215"/>
      <c r="X11" s="1215"/>
      <c r="Y11" s="1215"/>
      <c r="Z11" s="1215"/>
      <c r="AA11" s="1215"/>
      <c r="AB11" s="1215"/>
      <c r="AC11" s="1216"/>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1" t="e">
        <f t="shared" si="0"/>
        <v>#DIV/0!</v>
      </c>
      <c r="U12" s="1212"/>
      <c r="V12" s="3361" t="e">
        <f t="shared" si="1"/>
        <v>#DIV/0!</v>
      </c>
      <c r="W12" s="1215"/>
      <c r="X12" s="1215"/>
      <c r="Y12" s="1215"/>
      <c r="Z12" s="1215"/>
      <c r="AA12" s="1215"/>
      <c r="AB12" s="1215"/>
      <c r="AC12" s="1216"/>
      <c r="AD12" s="2787"/>
      <c r="AE12" s="2787"/>
      <c r="AF12" s="2787"/>
      <c r="AG12" s="2787"/>
      <c r="AH12" s="2787"/>
      <c r="AI12" s="2787"/>
      <c r="AJ12" s="2788"/>
    </row>
    <row r="13" spans="1:36" ht="15.75" thickBot="1">
      <c r="A13" s="3303" t="s">
        <v>3250</v>
      </c>
      <c r="B13" s="2032" t="s">
        <v>1982</v>
      </c>
      <c r="C13" s="755">
        <f>ROUND(C16*D16*E16*F16*G16*H16*I16*J16,4)</f>
        <v>0</v>
      </c>
      <c r="D13" s="2033" t="s">
        <v>1983</v>
      </c>
      <c r="E13" s="2034"/>
      <c r="F13" s="2034"/>
      <c r="G13" s="2035"/>
      <c r="H13" s="2035"/>
      <c r="I13" s="2035"/>
      <c r="J13" s="2036"/>
      <c r="K13" s="1118"/>
      <c r="L13" s="3299"/>
      <c r="M13" s="3300"/>
      <c r="N13" s="3301"/>
      <c r="O13" s="1118"/>
      <c r="P13" s="1118"/>
      <c r="Q13" s="1118"/>
      <c r="R13" s="1211">
        <v>12</v>
      </c>
      <c r="S13" s="1212"/>
      <c r="T13" s="3361" t="e">
        <f t="shared" si="0"/>
        <v>#DIV/0!</v>
      </c>
      <c r="U13" s="1212"/>
      <c r="V13" s="3361" t="e">
        <f t="shared" si="1"/>
        <v>#DIV/0!</v>
      </c>
      <c r="W13" s="1215"/>
      <c r="X13" s="1215"/>
      <c r="Y13" s="1215"/>
      <c r="Z13" s="1215"/>
      <c r="AA13" s="1215"/>
      <c r="AB13" s="1215"/>
      <c r="AC13" s="1216"/>
      <c r="AD13" s="2787"/>
      <c r="AE13" s="2787"/>
      <c r="AF13" s="2787"/>
      <c r="AG13" s="2787"/>
      <c r="AH13" s="2787"/>
      <c r="AI13" s="2787"/>
      <c r="AJ13" s="2788"/>
    </row>
    <row r="14" spans="1:36" ht="15">
      <c r="A14" s="3297"/>
      <c r="B14" s="2038" t="s">
        <v>1985</v>
      </c>
      <c r="C14" s="2039" t="s">
        <v>1986</v>
      </c>
      <c r="D14" s="1349" t="s">
        <v>1987</v>
      </c>
      <c r="E14" s="27" t="s">
        <v>1988</v>
      </c>
      <c r="F14" s="3311" t="s">
        <v>3251</v>
      </c>
      <c r="G14" s="3311" t="s">
        <v>3251</v>
      </c>
      <c r="H14" s="3311" t="s">
        <v>3251</v>
      </c>
      <c r="I14" s="3311" t="s">
        <v>3251</v>
      </c>
      <c r="J14" s="3311" t="s">
        <v>3251</v>
      </c>
      <c r="K14" s="1118"/>
      <c r="L14" s="1118"/>
      <c r="M14" s="1118"/>
      <c r="N14" s="1118"/>
      <c r="O14" s="1118"/>
      <c r="P14" s="1118"/>
      <c r="Q14" s="1118"/>
      <c r="R14" s="1211">
        <v>13</v>
      </c>
      <c r="S14" s="1212"/>
      <c r="T14" s="3361" t="e">
        <f t="shared" si="0"/>
        <v>#DIV/0!</v>
      </c>
      <c r="U14" s="1212"/>
      <c r="V14" s="3361" t="e">
        <f t="shared" si="1"/>
        <v>#DIV/0!</v>
      </c>
      <c r="W14" s="1215"/>
      <c r="X14" s="1215"/>
      <c r="Y14" s="1215"/>
      <c r="Z14" s="1215"/>
      <c r="AA14" s="1215"/>
      <c r="AB14" s="1215"/>
      <c r="AC14" s="1216"/>
      <c r="AD14" s="2787"/>
      <c r="AE14" s="2787"/>
      <c r="AF14" s="2787"/>
      <c r="AG14" s="2787"/>
      <c r="AH14" s="2787"/>
      <c r="AI14" s="2787"/>
      <c r="AJ14" s="2788"/>
    </row>
    <row r="15" spans="1:36" ht="15">
      <c r="A15" s="3297"/>
      <c r="B15" s="2040"/>
      <c r="C15" s="2041"/>
      <c r="D15" s="2042"/>
      <c r="E15" s="2043"/>
      <c r="F15" s="3312" t="s">
        <v>3252</v>
      </c>
      <c r="G15" s="3313"/>
      <c r="H15" s="3314"/>
      <c r="I15" s="3315"/>
      <c r="J15" s="3316"/>
      <c r="K15" s="1118"/>
      <c r="L15" s="1118"/>
      <c r="M15" s="1118"/>
      <c r="N15" s="1118"/>
      <c r="O15" s="1118"/>
      <c r="P15" s="1118"/>
      <c r="Q15" s="1118"/>
      <c r="R15" s="1211">
        <v>14</v>
      </c>
      <c r="S15" s="1212"/>
      <c r="T15" s="3361" t="e">
        <f t="shared" si="0"/>
        <v>#DIV/0!</v>
      </c>
      <c r="U15" s="1212"/>
      <c r="V15" s="3361" t="e">
        <f t="shared" si="1"/>
        <v>#DIV/0!</v>
      </c>
      <c r="W15" s="1215"/>
      <c r="X15" s="1215"/>
      <c r="Y15" s="1215"/>
      <c r="Z15" s="1215"/>
      <c r="AA15" s="1215"/>
      <c r="AB15" s="1215"/>
      <c r="AC15" s="1216"/>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8"/>
      <c r="L16" s="1995"/>
      <c r="M16" s="1995"/>
      <c r="N16" s="1995"/>
      <c r="O16" s="1995"/>
      <c r="P16" s="1995"/>
      <c r="Q16" s="1118"/>
      <c r="R16" s="1211">
        <v>15</v>
      </c>
      <c r="S16" s="1212"/>
      <c r="T16" s="3361" t="e">
        <f t="shared" si="0"/>
        <v>#DIV/0!</v>
      </c>
      <c r="U16" s="1212"/>
      <c r="V16" s="3361" t="e">
        <f t="shared" si="1"/>
        <v>#DIV/0!</v>
      </c>
      <c r="W16" s="1215"/>
      <c r="X16" s="1215"/>
      <c r="Y16" s="1215"/>
      <c r="Z16" s="1215"/>
      <c r="AA16" s="1215"/>
      <c r="AB16" s="1215"/>
      <c r="AC16" s="1216"/>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4"/>
      <c r="B19" s="3335"/>
      <c r="C19" s="3336"/>
      <c r="D19" s="3336" t="s">
        <v>3257</v>
      </c>
      <c r="E19" s="3337"/>
      <c r="F19" s="3338" t="s">
        <v>3260</v>
      </c>
      <c r="G19" s="3337"/>
      <c r="H19" s="3336"/>
      <c r="I19" s="3336"/>
      <c r="J19" s="3339"/>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45" t="s">
        <v>3262</v>
      </c>
      <c r="B20" s="167" t="s">
        <v>1994</v>
      </c>
      <c r="C20" s="3324" t="e">
        <f>ROUND(IF(F21="与级别开发程度一致",0,(G21-E21)/C21),0)</f>
        <v>#DIV/0!</v>
      </c>
      <c r="D20" s="3340" t="s">
        <v>1998</v>
      </c>
      <c r="E20" s="3341"/>
      <c r="F20" s="3751" t="s">
        <v>1995</v>
      </c>
      <c r="G20" s="3752"/>
      <c r="H20" s="3325"/>
      <c r="I20" s="3325"/>
      <c r="J20" s="3326"/>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46"/>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61">
        <v>44197</v>
      </c>
      <c r="F23" s="2052" t="s">
        <v>2003</v>
      </c>
      <c r="G23" s="762">
        <f>'数据-取费表'!B2</f>
        <v>44922</v>
      </c>
      <c r="H23" s="3342" t="s">
        <v>3264</v>
      </c>
      <c r="I23" s="3343" t="str">
        <f>IF(H23="季度增幅（自定义）",SUMIF(N25:N28,E2,O25:O28),"")</f>
        <v/>
      </c>
      <c r="J23" s="3344" t="s">
        <v>3263</v>
      </c>
      <c r="K23" s="1124"/>
      <c r="L23" s="2053" t="s">
        <v>2004</v>
      </c>
      <c r="M23" s="1327">
        <f>ROUND(SUMIF(地价!B2:G2,E2,地价!B16:G16),0)</f>
        <v>0</v>
      </c>
      <c r="N23" s="2054" t="s">
        <v>2005</v>
      </c>
      <c r="O23" s="763">
        <f>ROUNDDOWN(DATEDIF(E23,G23,"M")/3,0)</f>
        <v>7</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2022</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3343</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9.7000000000000003E-3</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5" t="s">
        <v>3265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4"/>
      <c r="L26" s="2786"/>
      <c r="M26" s="2786"/>
      <c r="N26" s="2067" t="s">
        <v>2016</v>
      </c>
      <c r="O26" s="1172"/>
      <c r="P26" s="1173">
        <f>SUMPRODUCT((地价!A3:A40=YEAR(G23)&amp;"-"&amp;ROUNDUP(MONTH(G23)/3,0))*(地价!AD2:AH2=N26)*(地价!AD3:AH40))</f>
        <v>9.7000000000000003E-3</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1.66E-2</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1.0999999999999999E-2</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1.55E-2</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51" t="s">
        <v>1936</v>
      </c>
      <c r="M30" s="3352" t="s">
        <v>1990</v>
      </c>
      <c r="N30" s="3352" t="s">
        <v>1991</v>
      </c>
      <c r="O30" s="3352" t="s">
        <v>1992</v>
      </c>
      <c r="P30" s="3352" t="s">
        <v>1993</v>
      </c>
      <c r="Q30" s="3355" t="s">
        <v>3270</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3" t="s">
        <v>1996</v>
      </c>
      <c r="M31" s="1998">
        <v>0.25</v>
      </c>
      <c r="N31" s="1998">
        <v>0.2</v>
      </c>
      <c r="O31" s="1998">
        <v>0.15</v>
      </c>
      <c r="P31" s="1998">
        <v>0.1</v>
      </c>
      <c r="Q31" s="3348">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4" t="s">
        <v>1999</v>
      </c>
      <c r="M32" s="2568">
        <f>ROUND($E$24*(1+M31),3)</f>
        <v>5.3999999999999999E-2</v>
      </c>
      <c r="N32" s="2568">
        <f>ROUND($E$24*(1+N31),3)</f>
        <v>5.1999999999999998E-2</v>
      </c>
      <c r="O32" s="2568">
        <f>ROUND($E$24*(1+O31),3)</f>
        <v>0.05</v>
      </c>
      <c r="P32" s="2568">
        <f>ROUND($E$24*(1+P31),3)</f>
        <v>4.8000000000000001E-2</v>
      </c>
      <c r="Q32" s="3356">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6" t="s">
        <v>3268</v>
      </c>
      <c r="G33" s="2097"/>
      <c r="H33" s="2097"/>
      <c r="I33" s="2097"/>
      <c r="J33" s="2098"/>
      <c r="K33" s="1118"/>
      <c r="L33" s="3349" t="s">
        <v>3271</v>
      </c>
      <c r="M33" s="3350">
        <v>5.5E-2</v>
      </c>
      <c r="N33" s="3350">
        <v>5.5E-2</v>
      </c>
      <c r="O33" s="3350">
        <v>0.05</v>
      </c>
      <c r="P33" s="3350">
        <v>0.05</v>
      </c>
      <c r="Q33" s="3350">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9" t="s">
        <v>3272</v>
      </c>
      <c r="M34" s="3350">
        <v>6.5000000000000002E-2</v>
      </c>
      <c r="N34" s="3350">
        <v>6.5000000000000002E-2</v>
      </c>
      <c r="O34" s="3350">
        <v>0.06</v>
      </c>
      <c r="P34" s="3350">
        <v>0.06</v>
      </c>
      <c r="Q34" s="3350">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7" t="s">
        <v>3269</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7" t="s">
        <v>3273</v>
      </c>
      <c r="L36" s="3357">
        <v>3.6999999999999998E-2</v>
      </c>
      <c r="M36" s="3358">
        <f>ROUND($L$36*(1+M31),3)</f>
        <v>4.5999999999999999E-2</v>
      </c>
      <c r="N36" s="3358">
        <f>ROUND($L$36*(1+N31),3)</f>
        <v>4.3999999999999997E-2</v>
      </c>
      <c r="O36" s="3358">
        <f>ROUND($L$36*(1+O31),3)</f>
        <v>4.2999999999999997E-2</v>
      </c>
      <c r="P36" s="3358">
        <f>ROUND($L$36*(1+P31),3)</f>
        <v>4.1000000000000002E-2</v>
      </c>
      <c r="Q36" s="3358">
        <f>ROUND($L$36*(1+Q31),3)</f>
        <v>4.2999999999999997E-2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49"/>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9" t="s">
        <v>3274</v>
      </c>
      <c r="L37" s="3357">
        <f>L36+K38</f>
        <v>4.1999999999999996E-2</v>
      </c>
      <c r="M37" s="3358">
        <f>ROUND($L$37*(1+M31),3)</f>
        <v>5.2999999999999999E-2</v>
      </c>
      <c r="N37" s="3358">
        <f t="shared" ref="N37:Q37" si="3">ROUND($L$37*(1+N31),3)</f>
        <v>0.05</v>
      </c>
      <c r="O37" s="3358">
        <f t="shared" si="3"/>
        <v>4.8000000000000001E-2</v>
      </c>
      <c r="P37" s="3358">
        <f t="shared" si="3"/>
        <v>4.5999999999999999E-2</v>
      </c>
      <c r="Q37" s="3358">
        <f t="shared" si="3"/>
        <v>4.8000000000000001E-2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50"/>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7">
        <v>5.0000000000000001E-3</v>
      </c>
      <c r="L38" s="3357"/>
      <c r="M38" s="3357"/>
      <c r="N38" s="3357"/>
      <c r="O38" s="3357"/>
      <c r="P38" s="3357"/>
      <c r="Q38" s="3357"/>
      <c r="R38" s="1118"/>
      <c r="S38" s="1118"/>
      <c r="T38" s="1118"/>
      <c r="U38" s="1118"/>
      <c r="V38" s="1118"/>
      <c r="W38" s="1118"/>
      <c r="X38" s="1118"/>
      <c r="Y38" s="1118"/>
      <c r="Z38" s="1119"/>
      <c r="AA38" s="1119"/>
      <c r="AB38" s="1119"/>
      <c r="AC38" s="1119"/>
      <c r="AD38" s="1119"/>
    </row>
    <row r="39" spans="1:37" ht="13.5" thickBot="1">
      <c r="A39" s="3750"/>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60" t="s">
        <v>3275</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9" t="s">
        <v>3277</v>
      </c>
      <c r="B52" s="2132">
        <f>估价对象房地状况!C19</f>
        <v>0</v>
      </c>
      <c r="C52" s="2042"/>
      <c r="D52" s="1064">
        <f t="shared" si="7"/>
        <v>0</v>
      </c>
      <c r="E52" s="745"/>
      <c r="F52" s="1813"/>
      <c r="G52" s="1062"/>
      <c r="H52" s="1065" t="str">
        <f t="shared" si="8"/>
        <v>——</v>
      </c>
      <c r="I52" s="336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7">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7">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9" t="s">
        <v>3277</v>
      </c>
      <c r="B63" s="2132">
        <f>估价对象房地状况!C19</f>
        <v>0</v>
      </c>
      <c r="C63" s="2042"/>
      <c r="D63" s="1064">
        <f t="shared" si="12"/>
        <v>0</v>
      </c>
      <c r="E63" s="745"/>
      <c r="F63" s="1813"/>
      <c r="G63" s="1062"/>
      <c r="H63" s="1065" t="str">
        <f t="shared" si="13"/>
        <v>——</v>
      </c>
      <c r="I63" s="3367">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7">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7">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7">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7">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7">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8">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9" t="s">
        <v>3277</v>
      </c>
      <c r="B74" s="2132">
        <f>估价对象房地状况!C19</f>
        <v>0</v>
      </c>
      <c r="C74" s="2042"/>
      <c r="D74" s="1064">
        <f t="shared" si="17"/>
        <v>0</v>
      </c>
      <c r="E74" s="747"/>
      <c r="F74" s="1813"/>
      <c r="G74" s="1062"/>
      <c r="H74" s="1065" t="str">
        <f t="shared" si="18"/>
        <v>——</v>
      </c>
      <c r="I74" s="3367">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7">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7">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7">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7">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7">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8">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7">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7">
        <v>0.3</v>
      </c>
      <c r="J84" s="1063">
        <f t="shared" si="24"/>
        <v>0</v>
      </c>
      <c r="K84" s="1063">
        <f t="shared" si="25"/>
        <v>0</v>
      </c>
      <c r="L84" s="1063">
        <v>0</v>
      </c>
      <c r="M84" s="1063">
        <f t="shared" si="26"/>
        <v>0</v>
      </c>
      <c r="N84" s="1063">
        <f t="shared" si="26"/>
        <v>0</v>
      </c>
      <c r="Z84" s="1996"/>
      <c r="AA84" s="2051"/>
      <c r="AG84" s="1120"/>
      <c r="AK84" s="2051"/>
    </row>
    <row r="85" spans="1:37" ht="36">
      <c r="A85" s="3369" t="s">
        <v>3278</v>
      </c>
      <c r="B85" s="2132">
        <f>估价对象房地状况!G17</f>
        <v>0</v>
      </c>
      <c r="C85" s="2042"/>
      <c r="D85" s="1064">
        <f t="shared" si="22"/>
        <v>0</v>
      </c>
      <c r="E85" s="747"/>
      <c r="F85" s="1813"/>
      <c r="G85" s="1062"/>
      <c r="H85" s="1065" t="str">
        <f t="shared" si="23"/>
        <v>——</v>
      </c>
      <c r="I85" s="3367">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7">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7">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7">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7">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8">
        <v>0.05</v>
      </c>
      <c r="J90" s="1063">
        <f t="shared" si="24"/>
        <v>0</v>
      </c>
      <c r="K90" s="1063">
        <f t="shared" si="25"/>
        <v>0</v>
      </c>
      <c r="L90" s="1063">
        <v>0</v>
      </c>
      <c r="M90" s="1063">
        <f t="shared" si="26"/>
        <v>0</v>
      </c>
      <c r="N90" s="1063">
        <f t="shared" si="26"/>
        <v>0</v>
      </c>
    </row>
    <row r="91" spans="1:37" ht="15">
      <c r="A91" s="3377" t="s">
        <v>2614</v>
      </c>
      <c r="B91" s="3378">
        <f>1+E93</f>
        <v>1</v>
      </c>
      <c r="C91" s="3371"/>
      <c r="D91" s="3372"/>
      <c r="E91" s="1813"/>
      <c r="F91" s="1813"/>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5"/>
      <c r="C93" s="2042"/>
      <c r="D93" s="3366">
        <f>SUMIF($J$92:$N$92,C93,J93:N93)</f>
        <v>0</v>
      </c>
      <c r="E93" s="3382">
        <f>ROUND(SUM(D93:D101),4)</f>
        <v>0</v>
      </c>
      <c r="F93" s="1813"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2"/>
      <c r="D94" s="3366">
        <f t="shared" ref="D94:D101" si="30">SUMIF($J$60:$N$60,C94,J94:N94)</f>
        <v>0</v>
      </c>
      <c r="E94" s="3383"/>
      <c r="F94" s="1813"/>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2"/>
      <c r="D95" s="3366">
        <f t="shared" si="30"/>
        <v>0</v>
      </c>
      <c r="E95" s="3383"/>
      <c r="F95" s="1813"/>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2"/>
      <c r="D96" s="3366">
        <f t="shared" si="30"/>
        <v>0</v>
      </c>
      <c r="E96" s="3383"/>
      <c r="F96" s="1813"/>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2"/>
      <c r="D97" s="3366">
        <f t="shared" si="30"/>
        <v>0</v>
      </c>
      <c r="E97" s="3383"/>
      <c r="F97" s="1813"/>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2"/>
      <c r="D98" s="3366">
        <f t="shared" si="30"/>
        <v>0</v>
      </c>
      <c r="E98" s="3383"/>
      <c r="F98" s="1813"/>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2"/>
      <c r="D99" s="3366">
        <f t="shared" si="30"/>
        <v>0</v>
      </c>
      <c r="E99" s="3383"/>
      <c r="F99" s="1813"/>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2"/>
      <c r="D100" s="3366">
        <f t="shared" si="30"/>
        <v>0</v>
      </c>
      <c r="E100" s="3383"/>
      <c r="F100" s="1813"/>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2"/>
      <c r="D101" s="3366">
        <f t="shared" si="30"/>
        <v>0</v>
      </c>
      <c r="E101" s="3384"/>
      <c r="F101" s="1813"/>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7" t="s">
        <v>3302</v>
      </c>
      <c r="B103" s="3747"/>
      <c r="C103" s="3747"/>
      <c r="D103" s="3747"/>
      <c r="E103" s="3747"/>
      <c r="F103" s="3747"/>
      <c r="G103" s="3747"/>
      <c r="H103" s="3747"/>
      <c r="I103" s="3747"/>
      <c r="J103" s="3747"/>
      <c r="K103" s="3390"/>
      <c r="L103" s="3390"/>
      <c r="M103" s="3390"/>
      <c r="N103" s="3390"/>
    </row>
    <row r="104" spans="1:14">
      <c r="A104" s="3748" t="s">
        <v>3303</v>
      </c>
      <c r="B104" s="3748" t="s">
        <v>3304</v>
      </c>
      <c r="C104" s="3391" t="s">
        <v>3305</v>
      </c>
      <c r="D104" s="3392"/>
      <c r="E104" s="3392"/>
      <c r="F104" s="3392"/>
      <c r="G104" s="3392"/>
      <c r="H104" s="3392"/>
      <c r="I104" s="3392"/>
      <c r="J104" s="3393"/>
      <c r="K104" s="3394"/>
      <c r="L104" s="3394"/>
      <c r="M104" s="3394"/>
      <c r="N104" s="3394"/>
    </row>
    <row r="105" spans="1:14">
      <c r="A105" s="3748"/>
      <c r="B105" s="3748"/>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34"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5"/>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7" t="s">
        <v>3319</v>
      </c>
      <c r="B113" s="3737"/>
      <c r="C113" s="3737"/>
      <c r="D113" s="3737"/>
      <c r="E113" s="3737"/>
      <c r="F113" s="3737"/>
      <c r="G113" s="3737"/>
      <c r="H113" s="3737"/>
      <c r="I113" s="3737"/>
      <c r="J113" s="373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1998" t="s">
        <v>3322</v>
      </c>
      <c r="F116" s="3402">
        <f>E2</f>
        <v>0</v>
      </c>
      <c r="G116" s="1998" t="s">
        <v>3323</v>
      </c>
      <c r="H116" s="3402">
        <f>G2</f>
        <v>0</v>
      </c>
      <c r="I116" s="1998"/>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0" t="s">
        <v>2609</v>
      </c>
      <c r="B20" s="3753" t="s">
        <v>2630</v>
      </c>
      <c r="C20" s="3101" t="s">
        <v>2441</v>
      </c>
      <c r="D20" s="3102"/>
      <c r="E20" s="3103">
        <v>1</v>
      </c>
      <c r="F20" s="3104" t="s">
        <v>2442</v>
      </c>
      <c r="G20" s="3104"/>
    </row>
    <row r="21" spans="1:13" ht="19.5" customHeight="1">
      <c r="A21" s="3761"/>
      <c r="B21" s="3754"/>
      <c r="C21" s="3105" t="s">
        <v>2443</v>
      </c>
      <c r="D21" s="3106"/>
      <c r="E21" s="3107">
        <v>1</v>
      </c>
      <c r="F21" s="3104" t="s">
        <v>2444</v>
      </c>
      <c r="G21" s="3104"/>
    </row>
    <row r="22" spans="1:13" ht="19.5" customHeight="1">
      <c r="A22" s="3761"/>
      <c r="B22" s="3754"/>
      <c r="C22" s="3105" t="s">
        <v>2445</v>
      </c>
      <c r="D22" s="3106"/>
      <c r="E22" s="3107">
        <v>0.9</v>
      </c>
      <c r="F22" s="3104" t="s">
        <v>2446</v>
      </c>
      <c r="G22" s="3104"/>
    </row>
    <row r="23" spans="1:13" ht="19.5" customHeight="1">
      <c r="A23" s="3761"/>
      <c r="B23" s="3754"/>
      <c r="C23" s="3105" t="s">
        <v>2447</v>
      </c>
      <c r="D23" s="3106"/>
      <c r="E23" s="3107">
        <v>0.9</v>
      </c>
      <c r="F23" s="3104" t="s">
        <v>2448</v>
      </c>
      <c r="G23" s="3104"/>
    </row>
    <row r="24" spans="1:13" ht="19.5" customHeight="1">
      <c r="A24" s="3761"/>
      <c r="B24" s="3754"/>
      <c r="C24" s="3105" t="s">
        <v>2449</v>
      </c>
      <c r="D24" s="3106"/>
      <c r="E24" s="3107">
        <v>0.8</v>
      </c>
      <c r="F24" s="3104" t="s">
        <v>2450</v>
      </c>
      <c r="G24" s="3104"/>
    </row>
    <row r="25" spans="1:13" ht="19.5" customHeight="1" thickBot="1">
      <c r="A25" s="3762"/>
      <c r="B25" s="3755"/>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56" t="s">
        <v>2633</v>
      </c>
      <c r="B27" s="3753" t="s">
        <v>2614</v>
      </c>
      <c r="C27" s="3101" t="s">
        <v>2454</v>
      </c>
      <c r="D27" s="3102"/>
      <c r="E27" s="3103">
        <v>1</v>
      </c>
      <c r="F27" s="3104" t="s">
        <v>2455</v>
      </c>
      <c r="G27" s="3104"/>
    </row>
    <row r="28" spans="1:13" ht="19.5" customHeight="1">
      <c r="A28" s="3757"/>
      <c r="B28" s="3754"/>
      <c r="C28" s="3105" t="s">
        <v>2456</v>
      </c>
      <c r="D28" s="3106"/>
      <c r="E28" s="3107">
        <v>1</v>
      </c>
      <c r="F28" s="3104" t="s">
        <v>2457</v>
      </c>
      <c r="G28" s="3104"/>
    </row>
    <row r="29" spans="1:13" ht="19.5" customHeight="1">
      <c r="A29" s="3757"/>
      <c r="B29" s="3754"/>
      <c r="C29" s="3105" t="s">
        <v>2458</v>
      </c>
      <c r="D29" s="3106"/>
      <c r="E29" s="3107">
        <v>0.8</v>
      </c>
      <c r="F29" s="3104" t="s">
        <v>2459</v>
      </c>
      <c r="G29" s="3104"/>
    </row>
    <row r="30" spans="1:13" ht="19.5" customHeight="1">
      <c r="A30" s="3757"/>
      <c r="B30" s="3754"/>
      <c r="C30" s="3105" t="s">
        <v>2460</v>
      </c>
      <c r="D30" s="3106"/>
      <c r="E30" s="3107">
        <v>0.8</v>
      </c>
      <c r="F30" s="3104" t="s">
        <v>2461</v>
      </c>
      <c r="G30" s="3104"/>
    </row>
    <row r="31" spans="1:13" ht="19.5" customHeight="1">
      <c r="A31" s="3757"/>
      <c r="B31" s="3754"/>
      <c r="C31" s="3105" t="s">
        <v>2462</v>
      </c>
      <c r="D31" s="3106"/>
      <c r="E31" s="3107">
        <v>0.8</v>
      </c>
      <c r="F31" s="3104" t="s">
        <v>2463</v>
      </c>
      <c r="G31" s="3104"/>
    </row>
    <row r="32" spans="1:13" ht="19.5" customHeight="1">
      <c r="A32" s="3757"/>
      <c r="B32" s="3754"/>
      <c r="C32" s="3105" t="s">
        <v>2464</v>
      </c>
      <c r="D32" s="3106"/>
      <c r="E32" s="3107">
        <v>0.7</v>
      </c>
      <c r="F32" s="3104" t="s">
        <v>2465</v>
      </c>
      <c r="G32" s="3104"/>
    </row>
    <row r="33" spans="1:7" ht="19.5" customHeight="1">
      <c r="A33" s="3757"/>
      <c r="B33" s="3754"/>
      <c r="C33" s="3105" t="s">
        <v>2466</v>
      </c>
      <c r="D33" s="3106"/>
      <c r="E33" s="3107">
        <v>0.8</v>
      </c>
      <c r="F33" s="3104" t="s">
        <v>2467</v>
      </c>
      <c r="G33" s="3104"/>
    </row>
    <row r="34" spans="1:7" ht="19.5" customHeight="1">
      <c r="A34" s="3757"/>
      <c r="B34" s="3754"/>
      <c r="C34" s="3105" t="s">
        <v>2468</v>
      </c>
      <c r="D34" s="3106"/>
      <c r="E34" s="3107">
        <v>0.6</v>
      </c>
      <c r="F34" s="3104" t="s">
        <v>2469</v>
      </c>
      <c r="G34" s="3104"/>
    </row>
    <row r="35" spans="1:7" ht="19.5" customHeight="1">
      <c r="A35" s="3757"/>
      <c r="B35" s="3754"/>
      <c r="C35" s="3105" t="s">
        <v>2470</v>
      </c>
      <c r="D35" s="3106"/>
      <c r="E35" s="3107">
        <v>0.2</v>
      </c>
      <c r="F35" s="3104" t="s">
        <v>2471</v>
      </c>
      <c r="G35" s="3104"/>
    </row>
    <row r="36" spans="1:7" ht="19.5" customHeight="1">
      <c r="A36" s="3757"/>
      <c r="B36" s="3754"/>
      <c r="C36" s="3105" t="s">
        <v>2472</v>
      </c>
      <c r="D36" s="3106"/>
      <c r="E36" s="3107">
        <v>0.2</v>
      </c>
      <c r="F36" s="3104" t="s">
        <v>2473</v>
      </c>
      <c r="G36" s="3104"/>
    </row>
    <row r="37" spans="1:7" ht="19.5" customHeight="1">
      <c r="A37" s="3757"/>
      <c r="B37" s="3759" t="s">
        <v>2634</v>
      </c>
      <c r="C37" s="3105" t="s">
        <v>2474</v>
      </c>
      <c r="D37" s="3106"/>
      <c r="E37" s="3107">
        <v>0.6</v>
      </c>
      <c r="F37" s="3104" t="s">
        <v>2475</v>
      </c>
      <c r="G37" s="3104"/>
    </row>
    <row r="38" spans="1:7" ht="19.5" customHeight="1">
      <c r="A38" s="3757"/>
      <c r="B38" s="3754"/>
      <c r="C38" s="3105" t="s">
        <v>2476</v>
      </c>
      <c r="D38" s="3106"/>
      <c r="E38" s="3107">
        <v>0.6</v>
      </c>
      <c r="F38" s="3104" t="s">
        <v>2477</v>
      </c>
      <c r="G38" s="3104"/>
    </row>
    <row r="39" spans="1:7" ht="19.5" customHeight="1" thickBot="1">
      <c r="A39" s="3758"/>
      <c r="B39" s="3755"/>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0" t="s">
        <v>2612</v>
      </c>
      <c r="B41" s="3753" t="s">
        <v>2636</v>
      </c>
      <c r="C41" s="3101" t="s">
        <v>2481</v>
      </c>
      <c r="D41" s="3102"/>
      <c r="E41" s="3103">
        <v>1</v>
      </c>
      <c r="F41" s="3104" t="s">
        <v>2482</v>
      </c>
      <c r="G41" s="3104"/>
    </row>
    <row r="42" spans="1:7" ht="19.5" customHeight="1">
      <c r="A42" s="3761"/>
      <c r="B42" s="3754"/>
      <c r="C42" s="3105" t="s">
        <v>2483</v>
      </c>
      <c r="D42" s="3106"/>
      <c r="E42" s="3107">
        <v>1</v>
      </c>
      <c r="F42" s="3104" t="s">
        <v>2484</v>
      </c>
      <c r="G42" s="3104"/>
    </row>
    <row r="43" spans="1:7" ht="19.5" customHeight="1">
      <c r="A43" s="3761"/>
      <c r="B43" s="3763"/>
      <c r="C43" s="3105" t="s">
        <v>2485</v>
      </c>
      <c r="D43" s="3106"/>
      <c r="E43" s="3107">
        <v>1.5</v>
      </c>
      <c r="F43" s="3104" t="s">
        <v>2486</v>
      </c>
      <c r="G43" s="3104"/>
    </row>
    <row r="44" spans="1:7" ht="19.5" customHeight="1">
      <c r="A44" s="3761"/>
      <c r="B44" s="3116" t="s">
        <v>2637</v>
      </c>
      <c r="C44" s="3105" t="s">
        <v>2638</v>
      </c>
      <c r="D44" s="3106"/>
      <c r="E44" s="3107">
        <v>2</v>
      </c>
      <c r="F44" s="3104" t="s">
        <v>2487</v>
      </c>
      <c r="G44" s="3104"/>
    </row>
    <row r="45" spans="1:7" ht="19.5" customHeight="1">
      <c r="A45" s="3761"/>
      <c r="B45" s="3759" t="s">
        <v>2639</v>
      </c>
      <c r="C45" s="3105" t="s">
        <v>2488</v>
      </c>
      <c r="D45" s="3106"/>
      <c r="E45" s="3107">
        <v>1</v>
      </c>
      <c r="F45" s="3104" t="s">
        <v>2489</v>
      </c>
      <c r="G45" s="3104"/>
    </row>
    <row r="46" spans="1:7" ht="19.5" customHeight="1">
      <c r="A46" s="3761"/>
      <c r="B46" s="3754"/>
      <c r="C46" s="3105" t="s">
        <v>2490</v>
      </c>
      <c r="D46" s="3106"/>
      <c r="E46" s="3107">
        <v>1</v>
      </c>
      <c r="F46" s="3104" t="s">
        <v>2491</v>
      </c>
      <c r="G46" s="3104"/>
    </row>
    <row r="47" spans="1:7" ht="19.5" customHeight="1">
      <c r="A47" s="3761"/>
      <c r="B47" s="3754"/>
      <c r="C47" s="3105" t="s">
        <v>2492</v>
      </c>
      <c r="D47" s="3106"/>
      <c r="E47" s="3107">
        <v>1</v>
      </c>
      <c r="F47" s="3104" t="s">
        <v>2493</v>
      </c>
      <c r="G47" s="3104"/>
    </row>
    <row r="48" spans="1:7" ht="19.5" customHeight="1">
      <c r="A48" s="3761"/>
      <c r="B48" s="3754"/>
      <c r="C48" s="3105" t="s">
        <v>2494</v>
      </c>
      <c r="D48" s="3106"/>
      <c r="E48" s="3107">
        <v>1</v>
      </c>
      <c r="F48" s="3104" t="s">
        <v>2495</v>
      </c>
      <c r="G48" s="3104"/>
    </row>
    <row r="49" spans="1:7" ht="19.5" customHeight="1">
      <c r="A49" s="3761"/>
      <c r="B49" s="3754"/>
      <c r="C49" s="3105" t="s">
        <v>2496</v>
      </c>
      <c r="D49" s="3106"/>
      <c r="E49" s="3107">
        <v>1</v>
      </c>
      <c r="F49" s="3104" t="s">
        <v>2497</v>
      </c>
      <c r="G49" s="3104"/>
    </row>
    <row r="50" spans="1:7" ht="19.5" customHeight="1">
      <c r="A50" s="3761"/>
      <c r="B50" s="3754"/>
      <c r="C50" s="3105" t="s">
        <v>2498</v>
      </c>
      <c r="D50" s="3106"/>
      <c r="E50" s="3107">
        <v>1</v>
      </c>
      <c r="F50" s="3104" t="s">
        <v>2499</v>
      </c>
      <c r="G50" s="3104"/>
    </row>
    <row r="51" spans="1:7" ht="19.5" customHeight="1" thickBot="1">
      <c r="A51" s="3762"/>
      <c r="B51" s="3755"/>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59" t="s">
        <v>2653</v>
      </c>
      <c r="C73" s="3090" t="s">
        <v>2654</v>
      </c>
      <c r="D73" s="3090" t="s">
        <v>2655</v>
      </c>
      <c r="E73" s="3116">
        <v>0.2</v>
      </c>
      <c r="F73" s="3116">
        <v>25</v>
      </c>
    </row>
    <row r="74" spans="1:7" ht="24">
      <c r="A74" s="3116">
        <v>2</v>
      </c>
      <c r="B74" s="3754"/>
      <c r="C74" s="3090" t="s">
        <v>2656</v>
      </c>
      <c r="D74" s="3090" t="s">
        <v>2657</v>
      </c>
      <c r="E74" s="3116">
        <v>0.2</v>
      </c>
      <c r="F74" s="3116">
        <v>25</v>
      </c>
    </row>
    <row r="75" spans="1:7" ht="24">
      <c r="A75" s="3116">
        <v>3</v>
      </c>
      <c r="B75" s="3754"/>
      <c r="C75" s="3090" t="s">
        <v>2658</v>
      </c>
      <c r="D75" s="3090" t="s">
        <v>2659</v>
      </c>
      <c r="E75" s="3116">
        <v>0.2</v>
      </c>
      <c r="F75" s="3116">
        <v>25</v>
      </c>
    </row>
    <row r="76" spans="1:7" ht="13.5">
      <c r="A76" s="3116">
        <v>4</v>
      </c>
      <c r="B76" s="3754"/>
      <c r="C76" s="3090" t="s">
        <v>2660</v>
      </c>
      <c r="D76" s="3090" t="s">
        <v>2661</v>
      </c>
      <c r="E76" s="3116">
        <v>0.15</v>
      </c>
      <c r="F76" s="3116">
        <v>20</v>
      </c>
    </row>
    <row r="77" spans="1:7" ht="24">
      <c r="A77" s="3116">
        <v>5</v>
      </c>
      <c r="B77" s="3754"/>
      <c r="C77" s="3090" t="s">
        <v>2662</v>
      </c>
      <c r="D77" s="3090" t="s">
        <v>2663</v>
      </c>
      <c r="E77" s="3116">
        <v>0.15</v>
      </c>
      <c r="F77" s="3116">
        <v>20</v>
      </c>
    </row>
    <row r="78" spans="1:7" ht="24">
      <c r="A78" s="3116">
        <v>6</v>
      </c>
      <c r="B78" s="3754"/>
      <c r="C78" s="3090" t="s">
        <v>2664</v>
      </c>
      <c r="D78" s="3090" t="s">
        <v>2665</v>
      </c>
      <c r="E78" s="3116">
        <v>0.15</v>
      </c>
      <c r="F78" s="3116">
        <v>20</v>
      </c>
    </row>
    <row r="79" spans="1:7" ht="24">
      <c r="A79" s="3116">
        <v>7</v>
      </c>
      <c r="B79" s="3754"/>
      <c r="C79" s="3090" t="s">
        <v>2666</v>
      </c>
      <c r="D79" s="3090" t="s">
        <v>2667</v>
      </c>
      <c r="E79" s="3116">
        <v>0.15</v>
      </c>
      <c r="F79" s="3116">
        <v>20</v>
      </c>
    </row>
    <row r="80" spans="1:7" ht="24">
      <c r="A80" s="3116">
        <v>8</v>
      </c>
      <c r="B80" s="3754"/>
      <c r="C80" s="3090" t="s">
        <v>2668</v>
      </c>
      <c r="D80" s="3090" t="s">
        <v>2669</v>
      </c>
      <c r="E80" s="3116">
        <v>0.1</v>
      </c>
      <c r="F80" s="3116">
        <v>15</v>
      </c>
    </row>
    <row r="81" spans="1:6" ht="24">
      <c r="A81" s="3116">
        <v>9</v>
      </c>
      <c r="B81" s="3754"/>
      <c r="C81" s="3090" t="s">
        <v>2670</v>
      </c>
      <c r="D81" s="3090" t="s">
        <v>2671</v>
      </c>
      <c r="E81" s="3116">
        <v>0.1</v>
      </c>
      <c r="F81" s="3116">
        <v>15</v>
      </c>
    </row>
    <row r="82" spans="1:6" ht="24">
      <c r="A82" s="3116">
        <v>10</v>
      </c>
      <c r="B82" s="3754"/>
      <c r="C82" s="3090" t="s">
        <v>2672</v>
      </c>
      <c r="D82" s="3090" t="s">
        <v>2673</v>
      </c>
      <c r="E82" s="3116">
        <v>0.1</v>
      </c>
      <c r="F82" s="3116">
        <v>15</v>
      </c>
    </row>
    <row r="83" spans="1:6" ht="24">
      <c r="A83" s="3116">
        <v>11</v>
      </c>
      <c r="B83" s="3754"/>
      <c r="C83" s="3090" t="s">
        <v>2674</v>
      </c>
      <c r="D83" s="3090" t="s">
        <v>2675</v>
      </c>
      <c r="E83" s="3116">
        <v>0.1</v>
      </c>
      <c r="F83" s="3116">
        <v>15</v>
      </c>
    </row>
    <row r="84" spans="1:6" ht="24">
      <c r="A84" s="3116">
        <v>12</v>
      </c>
      <c r="B84" s="3754"/>
      <c r="C84" s="3090" t="s">
        <v>2676</v>
      </c>
      <c r="D84" s="3090" t="s">
        <v>2677</v>
      </c>
      <c r="E84" s="3116">
        <v>0.1</v>
      </c>
      <c r="F84" s="3116">
        <v>15</v>
      </c>
    </row>
    <row r="85" spans="1:6" ht="13.5">
      <c r="A85" s="3116">
        <v>13</v>
      </c>
      <c r="B85" s="3754"/>
      <c r="C85" s="3090" t="s">
        <v>2678</v>
      </c>
      <c r="D85" s="3090" t="s">
        <v>2679</v>
      </c>
      <c r="E85" s="3116">
        <v>0.1</v>
      </c>
      <c r="F85" s="3116">
        <v>15</v>
      </c>
    </row>
    <row r="86" spans="1:6" ht="13.5">
      <c r="A86" s="3116">
        <v>14</v>
      </c>
      <c r="B86" s="3754"/>
      <c r="C86" s="3090" t="s">
        <v>2680</v>
      </c>
      <c r="D86" s="3090" t="s">
        <v>2681</v>
      </c>
      <c r="E86" s="3116">
        <v>0.1</v>
      </c>
      <c r="F86" s="3116">
        <v>15</v>
      </c>
    </row>
    <row r="87" spans="1:6" ht="13.5">
      <c r="A87" s="3116">
        <v>15</v>
      </c>
      <c r="B87" s="3754"/>
      <c r="C87" s="3090" t="s">
        <v>2682</v>
      </c>
      <c r="D87" s="3090" t="s">
        <v>2683</v>
      </c>
      <c r="E87" s="3116">
        <v>0.1</v>
      </c>
      <c r="F87" s="3116">
        <v>15</v>
      </c>
    </row>
    <row r="88" spans="1:6" ht="24">
      <c r="A88" s="3116">
        <v>16</v>
      </c>
      <c r="B88" s="3754"/>
      <c r="C88" s="3090" t="s">
        <v>2684</v>
      </c>
      <c r="D88" s="3090" t="s">
        <v>2685</v>
      </c>
      <c r="E88" s="3116">
        <v>0.1</v>
      </c>
      <c r="F88" s="3116">
        <v>15</v>
      </c>
    </row>
    <row r="89" spans="1:6" ht="24">
      <c r="A89" s="3116">
        <v>17</v>
      </c>
      <c r="B89" s="3763"/>
      <c r="C89" s="3090" t="s">
        <v>2686</v>
      </c>
      <c r="D89" s="3090" t="s">
        <v>2687</v>
      </c>
      <c r="E89" s="3116">
        <v>0.1</v>
      </c>
      <c r="F89" s="3116">
        <v>15</v>
      </c>
    </row>
    <row r="90" spans="1:6" ht="13.5">
      <c r="A90" s="3116">
        <v>18</v>
      </c>
      <c r="B90" s="3759" t="s">
        <v>2688</v>
      </c>
      <c r="C90" s="3090" t="s">
        <v>2689</v>
      </c>
      <c r="D90" s="3090" t="s">
        <v>2690</v>
      </c>
      <c r="E90" s="3116">
        <v>0.2</v>
      </c>
      <c r="F90" s="3116">
        <v>25</v>
      </c>
    </row>
    <row r="91" spans="1:6" ht="24">
      <c r="A91" s="3116">
        <v>19</v>
      </c>
      <c r="B91" s="3754"/>
      <c r="C91" s="3090" t="s">
        <v>2691</v>
      </c>
      <c r="D91" s="3090" t="s">
        <v>2692</v>
      </c>
      <c r="E91" s="3116">
        <v>0.2</v>
      </c>
      <c r="F91" s="3116">
        <v>25</v>
      </c>
    </row>
    <row r="92" spans="1:6" ht="13.5">
      <c r="A92" s="3116">
        <v>20</v>
      </c>
      <c r="B92" s="3754"/>
      <c r="C92" s="3090" t="s">
        <v>2693</v>
      </c>
      <c r="D92" s="3090" t="s">
        <v>2694</v>
      </c>
      <c r="E92" s="3116">
        <v>0.15</v>
      </c>
      <c r="F92" s="3116">
        <v>20</v>
      </c>
    </row>
    <row r="93" spans="1:6" ht="13.5">
      <c r="A93" s="3116">
        <v>21</v>
      </c>
      <c r="B93" s="3754"/>
      <c r="C93" s="3090" t="s">
        <v>2695</v>
      </c>
      <c r="D93" s="3090" t="s">
        <v>2696</v>
      </c>
      <c r="E93" s="3116">
        <v>0.15</v>
      </c>
      <c r="F93" s="3116">
        <v>20</v>
      </c>
    </row>
    <row r="94" spans="1:6" ht="13.5">
      <c r="A94" s="3116">
        <v>22</v>
      </c>
      <c r="B94" s="3754"/>
      <c r="C94" s="3090" t="s">
        <v>2697</v>
      </c>
      <c r="D94" s="3090" t="s">
        <v>2698</v>
      </c>
      <c r="E94" s="3116">
        <v>0.15</v>
      </c>
      <c r="F94" s="3116">
        <v>20</v>
      </c>
    </row>
    <row r="95" spans="1:6" ht="36">
      <c r="A95" s="3116">
        <v>23</v>
      </c>
      <c r="B95" s="3754"/>
      <c r="C95" s="3090" t="s">
        <v>2699</v>
      </c>
      <c r="D95" s="3090" t="s">
        <v>2700</v>
      </c>
      <c r="E95" s="3116">
        <v>0.15</v>
      </c>
      <c r="F95" s="3116">
        <v>20</v>
      </c>
    </row>
    <row r="96" spans="1:6" ht="13.5">
      <c r="A96" s="3116">
        <v>24</v>
      </c>
      <c r="B96" s="3754"/>
      <c r="C96" s="3090" t="s">
        <v>2701</v>
      </c>
      <c r="D96" s="3090" t="s">
        <v>2702</v>
      </c>
      <c r="E96" s="3116">
        <v>0.1</v>
      </c>
      <c r="F96" s="3116">
        <v>15</v>
      </c>
    </row>
    <row r="97" spans="1:6" ht="13.5">
      <c r="A97" s="3116">
        <v>25</v>
      </c>
      <c r="B97" s="3754"/>
      <c r="C97" s="3090" t="s">
        <v>2703</v>
      </c>
      <c r="D97" s="3090" t="s">
        <v>2704</v>
      </c>
      <c r="E97" s="3116">
        <v>0.1</v>
      </c>
      <c r="F97" s="3116">
        <v>15</v>
      </c>
    </row>
    <row r="98" spans="1:6" ht="24">
      <c r="A98" s="3116">
        <v>26</v>
      </c>
      <c r="B98" s="3754"/>
      <c r="C98" s="3090" t="s">
        <v>2705</v>
      </c>
      <c r="D98" s="3090" t="s">
        <v>2706</v>
      </c>
      <c r="E98" s="3116">
        <v>0.1</v>
      </c>
      <c r="F98" s="3116">
        <v>15</v>
      </c>
    </row>
    <row r="99" spans="1:6" ht="24">
      <c r="A99" s="3116">
        <v>27</v>
      </c>
      <c r="B99" s="3754"/>
      <c r="C99" s="3090" t="s">
        <v>2707</v>
      </c>
      <c r="D99" s="3090" t="s">
        <v>2708</v>
      </c>
      <c r="E99" s="3116">
        <v>0.1</v>
      </c>
      <c r="F99" s="3116">
        <v>15</v>
      </c>
    </row>
    <row r="100" spans="1:6" ht="13.5">
      <c r="A100" s="3116">
        <v>28</v>
      </c>
      <c r="B100" s="3754"/>
      <c r="C100" s="3090" t="s">
        <v>2709</v>
      </c>
      <c r="D100" s="3090" t="s">
        <v>2710</v>
      </c>
      <c r="E100" s="3116">
        <v>0.1</v>
      </c>
      <c r="F100" s="3116">
        <v>15</v>
      </c>
    </row>
    <row r="101" spans="1:6" ht="13.5">
      <c r="A101" s="3116">
        <v>29</v>
      </c>
      <c r="B101" s="3754"/>
      <c r="C101" s="3090" t="s">
        <v>2711</v>
      </c>
      <c r="D101" s="3090" t="s">
        <v>2712</v>
      </c>
      <c r="E101" s="3116">
        <v>0.1</v>
      </c>
      <c r="F101" s="3116">
        <v>15</v>
      </c>
    </row>
    <row r="102" spans="1:6" ht="13.5">
      <c r="A102" s="3116">
        <v>30</v>
      </c>
      <c r="B102" s="3754"/>
      <c r="C102" s="3090" t="s">
        <v>2713</v>
      </c>
      <c r="D102" s="3090" t="s">
        <v>2714</v>
      </c>
      <c r="E102" s="3116">
        <v>0.1</v>
      </c>
      <c r="F102" s="3116">
        <v>15</v>
      </c>
    </row>
    <row r="103" spans="1:6" ht="24">
      <c r="A103" s="3116">
        <v>31</v>
      </c>
      <c r="B103" s="3754"/>
      <c r="C103" s="3090" t="s">
        <v>2715</v>
      </c>
      <c r="D103" s="3090" t="s">
        <v>2716</v>
      </c>
      <c r="E103" s="3116">
        <v>0.1</v>
      </c>
      <c r="F103" s="3116">
        <v>15</v>
      </c>
    </row>
    <row r="104" spans="1:6" ht="24">
      <c r="A104" s="3116">
        <v>32</v>
      </c>
      <c r="B104" s="3754"/>
      <c r="C104" s="3090" t="s">
        <v>2717</v>
      </c>
      <c r="D104" s="3090" t="s">
        <v>2718</v>
      </c>
      <c r="E104" s="3116">
        <v>0.1</v>
      </c>
      <c r="F104" s="3116">
        <v>15</v>
      </c>
    </row>
    <row r="105" spans="1:6" ht="24">
      <c r="A105" s="3116">
        <v>33</v>
      </c>
      <c r="B105" s="3754"/>
      <c r="C105" s="3090" t="s">
        <v>2719</v>
      </c>
      <c r="D105" s="3090" t="s">
        <v>2720</v>
      </c>
      <c r="E105" s="3116">
        <v>0.1</v>
      </c>
      <c r="F105" s="3116">
        <v>15</v>
      </c>
    </row>
    <row r="106" spans="1:6" ht="24">
      <c r="A106" s="3116">
        <v>34</v>
      </c>
      <c r="B106" s="3763"/>
      <c r="C106" s="3090" t="s">
        <v>2721</v>
      </c>
      <c r="D106" s="3090" t="s">
        <v>2722</v>
      </c>
      <c r="E106" s="3116">
        <v>0.1</v>
      </c>
      <c r="F106" s="3116">
        <v>15</v>
      </c>
    </row>
    <row r="107" spans="1:6" ht="24">
      <c r="A107" s="3116">
        <v>35</v>
      </c>
      <c r="B107" s="3759" t="s">
        <v>2723</v>
      </c>
      <c r="C107" s="3116" t="s">
        <v>2724</v>
      </c>
      <c r="D107" s="3090" t="s">
        <v>2725</v>
      </c>
      <c r="E107" s="3116">
        <v>0.15</v>
      </c>
      <c r="F107" s="3116">
        <v>20</v>
      </c>
    </row>
    <row r="108" spans="1:6" ht="13.5">
      <c r="A108" s="3116">
        <v>36</v>
      </c>
      <c r="B108" s="3754"/>
      <c r="C108" s="3116" t="s">
        <v>2726</v>
      </c>
      <c r="D108" s="3090" t="s">
        <v>2727</v>
      </c>
      <c r="E108" s="3116">
        <v>0.15</v>
      </c>
      <c r="F108" s="3116">
        <v>20</v>
      </c>
    </row>
    <row r="109" spans="1:6" ht="13.5">
      <c r="A109" s="3116">
        <v>37</v>
      </c>
      <c r="B109" s="3754"/>
      <c r="C109" s="3116" t="s">
        <v>2728</v>
      </c>
      <c r="D109" s="3090" t="s">
        <v>2729</v>
      </c>
      <c r="E109" s="3116">
        <v>0.15</v>
      </c>
      <c r="F109" s="3116">
        <v>20</v>
      </c>
    </row>
    <row r="110" spans="1:6" ht="13.5">
      <c r="A110" s="3116">
        <v>38</v>
      </c>
      <c r="B110" s="3754"/>
      <c r="C110" s="3116" t="s">
        <v>2730</v>
      </c>
      <c r="D110" s="3090" t="s">
        <v>2731</v>
      </c>
      <c r="E110" s="3116">
        <v>0.1</v>
      </c>
      <c r="F110" s="3116">
        <v>15</v>
      </c>
    </row>
    <row r="111" spans="1:6" ht="24">
      <c r="A111" s="3116">
        <v>39</v>
      </c>
      <c r="B111" s="3754"/>
      <c r="C111" s="3116" t="s">
        <v>2732</v>
      </c>
      <c r="D111" s="3090" t="s">
        <v>2733</v>
      </c>
      <c r="E111" s="3116">
        <v>0.1</v>
      </c>
      <c r="F111" s="3116">
        <v>15</v>
      </c>
    </row>
    <row r="112" spans="1:6" ht="24">
      <c r="A112" s="3116">
        <v>40</v>
      </c>
      <c r="B112" s="3763"/>
      <c r="C112" s="3116" t="s">
        <v>2734</v>
      </c>
      <c r="D112" s="3090" t="s">
        <v>2735</v>
      </c>
      <c r="E112" s="3116">
        <v>0.1</v>
      </c>
      <c r="F112" s="3116">
        <v>15</v>
      </c>
    </row>
    <row r="113" spans="1:6" ht="13.5">
      <c r="A113" s="3116">
        <v>41</v>
      </c>
      <c r="B113" s="3764" t="s">
        <v>2736</v>
      </c>
      <c r="C113" s="3116" t="s">
        <v>2737</v>
      </c>
      <c r="D113" s="3090" t="s">
        <v>2738</v>
      </c>
      <c r="E113" s="3116">
        <v>0.1</v>
      </c>
      <c r="F113" s="3116">
        <v>15</v>
      </c>
    </row>
    <row r="114" spans="1:6" ht="13.5">
      <c r="A114" s="3116">
        <v>42</v>
      </c>
      <c r="B114" s="3764"/>
      <c r="C114" s="3116" t="s">
        <v>2739</v>
      </c>
      <c r="D114" s="3090" t="s">
        <v>2740</v>
      </c>
      <c r="E114" s="3116">
        <v>0.1</v>
      </c>
      <c r="F114" s="3116">
        <v>15</v>
      </c>
    </row>
    <row r="115" spans="1:6" ht="24">
      <c r="A115" s="3116">
        <v>43</v>
      </c>
      <c r="B115" s="3764"/>
      <c r="C115" s="3116" t="s">
        <v>2741</v>
      </c>
      <c r="D115" s="3090" t="s">
        <v>2742</v>
      </c>
      <c r="E115" s="3116">
        <v>0.1</v>
      </c>
      <c r="F115" s="3116">
        <v>15</v>
      </c>
    </row>
    <row r="116" spans="1:6" ht="13.5">
      <c r="A116" s="3116">
        <v>44</v>
      </c>
      <c r="B116" s="3759" t="s">
        <v>2743</v>
      </c>
      <c r="C116" s="3116" t="s">
        <v>2744</v>
      </c>
      <c r="D116" s="3090" t="s">
        <v>2745</v>
      </c>
      <c r="E116" s="3116">
        <v>0.1</v>
      </c>
      <c r="F116" s="3116">
        <v>15</v>
      </c>
    </row>
    <row r="117" spans="1:6" ht="24">
      <c r="A117" s="3116">
        <v>45</v>
      </c>
      <c r="B117" s="3763"/>
      <c r="C117" s="3090" t="s">
        <v>2746</v>
      </c>
      <c r="D117" s="3090" t="s">
        <v>2747</v>
      </c>
      <c r="E117" s="3116">
        <v>0.1</v>
      </c>
      <c r="F117" s="3116">
        <v>15</v>
      </c>
    </row>
    <row r="118" spans="1:6" ht="24">
      <c r="A118" s="3116">
        <v>46</v>
      </c>
      <c r="B118" s="3759" t="s">
        <v>2748</v>
      </c>
      <c r="C118" s="3116" t="s">
        <v>2749</v>
      </c>
      <c r="D118" s="3090" t="s">
        <v>2750</v>
      </c>
      <c r="E118" s="3116">
        <v>0.1</v>
      </c>
      <c r="F118" s="3116">
        <v>15</v>
      </c>
    </row>
    <row r="119" spans="1:6" ht="24">
      <c r="A119" s="3116">
        <v>47</v>
      </c>
      <c r="B119" s="3763"/>
      <c r="C119" s="3116" t="s">
        <v>2751</v>
      </c>
      <c r="D119" s="3090" t="s">
        <v>2752</v>
      </c>
      <c r="E119" s="3116">
        <v>0.1</v>
      </c>
      <c r="F119" s="3116">
        <v>15</v>
      </c>
    </row>
    <row r="120" spans="1:6" ht="13.5">
      <c r="A120" s="3116">
        <v>48</v>
      </c>
      <c r="B120" s="3759" t="s">
        <v>2753</v>
      </c>
      <c r="C120" s="3116" t="s">
        <v>2754</v>
      </c>
      <c r="D120" s="3090" t="s">
        <v>2755</v>
      </c>
      <c r="E120" s="3116">
        <v>0.1</v>
      </c>
      <c r="F120" s="3116">
        <v>15</v>
      </c>
    </row>
    <row r="121" spans="1:6" ht="13.5">
      <c r="A121" s="3116">
        <v>49</v>
      </c>
      <c r="B121" s="3763"/>
      <c r="C121" s="3116" t="s">
        <v>2756</v>
      </c>
      <c r="D121" s="3090" t="s">
        <v>2757</v>
      </c>
      <c r="E121" s="3116">
        <v>0.1</v>
      </c>
      <c r="F121" s="3116">
        <v>15</v>
      </c>
    </row>
    <row r="122" spans="1:6" ht="24">
      <c r="A122" s="3116">
        <v>50</v>
      </c>
      <c r="B122" s="3764" t="s">
        <v>2758</v>
      </c>
      <c r="C122" s="3116" t="s">
        <v>2759</v>
      </c>
      <c r="D122" s="3090" t="s">
        <v>2760</v>
      </c>
      <c r="E122" s="3116">
        <v>0.1</v>
      </c>
      <c r="F122" s="3116">
        <v>15</v>
      </c>
    </row>
    <row r="123" spans="1:6" ht="24">
      <c r="A123" s="3116">
        <v>51</v>
      </c>
      <c r="B123" s="3764"/>
      <c r="C123" s="3116" t="s">
        <v>2761</v>
      </c>
      <c r="D123" s="3090" t="s">
        <v>2762</v>
      </c>
      <c r="E123" s="3116">
        <v>0.1</v>
      </c>
      <c r="F123" s="3116">
        <v>15</v>
      </c>
    </row>
    <row r="124" spans="1:6" ht="24">
      <c r="A124" s="3116">
        <v>52</v>
      </c>
      <c r="B124" s="3764" t="s">
        <v>2763</v>
      </c>
      <c r="C124" s="3116" t="s">
        <v>2764</v>
      </c>
      <c r="D124" s="3090" t="s">
        <v>2765</v>
      </c>
      <c r="E124" s="3116">
        <v>0.1</v>
      </c>
      <c r="F124" s="3116">
        <v>15</v>
      </c>
    </row>
    <row r="125" spans="1:6" ht="24">
      <c r="A125" s="3116">
        <v>53</v>
      </c>
      <c r="B125" s="3764"/>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4" t="s">
        <v>2771</v>
      </c>
      <c r="C127" s="3116" t="s">
        <v>2772</v>
      </c>
      <c r="D127" s="3090" t="s">
        <v>2773</v>
      </c>
      <c r="E127" s="3116">
        <v>0.1</v>
      </c>
      <c r="F127" s="3116">
        <v>15</v>
      </c>
    </row>
    <row r="128" spans="1:6" ht="13.5">
      <c r="A128" s="3116">
        <v>56</v>
      </c>
      <c r="B128" s="3764"/>
      <c r="C128" s="3116" t="s">
        <v>2774</v>
      </c>
      <c r="D128" s="3090" t="s">
        <v>2775</v>
      </c>
      <c r="E128" s="3116">
        <v>0.1</v>
      </c>
      <c r="F128" s="3116">
        <v>15</v>
      </c>
    </row>
    <row r="129" spans="1:6" ht="24">
      <c r="A129" s="3116">
        <v>57</v>
      </c>
      <c r="B129" s="3764"/>
      <c r="C129" s="3116" t="s">
        <v>2776</v>
      </c>
      <c r="D129" s="3090" t="s">
        <v>2777</v>
      </c>
      <c r="E129" s="3116">
        <v>0.1</v>
      </c>
      <c r="F129" s="3116">
        <v>15</v>
      </c>
    </row>
    <row r="130" spans="1:6" ht="24">
      <c r="A130" s="3116">
        <v>58</v>
      </c>
      <c r="B130" s="3764" t="s">
        <v>2778</v>
      </c>
      <c r="C130" s="3116" t="s">
        <v>2779</v>
      </c>
      <c r="D130" s="3090" t="s">
        <v>2780</v>
      </c>
      <c r="E130" s="3116">
        <v>0.1</v>
      </c>
      <c r="F130" s="3116">
        <v>15</v>
      </c>
    </row>
    <row r="131" spans="1:6" ht="13.5">
      <c r="A131" s="3116">
        <v>59</v>
      </c>
      <c r="B131" s="3764"/>
      <c r="C131" s="3116" t="s">
        <v>2781</v>
      </c>
      <c r="D131" s="3090" t="s">
        <v>2782</v>
      </c>
      <c r="E131" s="3116">
        <v>0.1</v>
      </c>
      <c r="F131" s="3116">
        <v>15</v>
      </c>
    </row>
    <row r="132" spans="1:6" ht="13.5">
      <c r="A132" s="3116">
        <v>60</v>
      </c>
      <c r="B132" s="3759" t="s">
        <v>2783</v>
      </c>
      <c r="C132" s="3116" t="s">
        <v>2784</v>
      </c>
      <c r="D132" s="3090" t="s">
        <v>2785</v>
      </c>
      <c r="E132" s="3116">
        <v>0.1</v>
      </c>
      <c r="F132" s="3116">
        <v>15</v>
      </c>
    </row>
    <row r="133" spans="1:6" ht="13.5">
      <c r="A133" s="3116">
        <v>61</v>
      </c>
      <c r="B133" s="3763"/>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4" t="s">
        <v>2791</v>
      </c>
      <c r="C135" s="3116" t="s">
        <v>2792</v>
      </c>
      <c r="D135" s="3090" t="s">
        <v>2793</v>
      </c>
      <c r="E135" s="3116">
        <v>0.1</v>
      </c>
      <c r="F135" s="3116">
        <v>15</v>
      </c>
    </row>
    <row r="136" spans="1:6" ht="13.5">
      <c r="A136" s="3116">
        <v>64</v>
      </c>
      <c r="B136" s="3764"/>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28167</v>
      </c>
      <c r="C2" s="2" t="s">
        <v>106</v>
      </c>
      <c r="D2" s="199"/>
      <c r="E2" s="199"/>
      <c r="F2" s="199"/>
      <c r="G2" s="199"/>
    </row>
    <row r="3" spans="1:7" s="200" customFormat="1" ht="18" customHeight="1" thickBot="1">
      <c r="A3" s="203" t="s">
        <v>58</v>
      </c>
      <c r="B3" s="204">
        <f ca="1">ROUND(B2*10000/'数据-汇总表'!E3,0)</f>
        <v>2018995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139.51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139.51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139.51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8.0000000000000004E-4</v>
      </c>
      <c r="D44" s="238"/>
      <c r="E44" s="238"/>
      <c r="F44" s="239"/>
      <c r="G44" s="3631"/>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70</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28167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92"/>
      <c r="B4" s="3450" t="s">
        <v>917</v>
      </c>
      <c r="C4" s="3450"/>
      <c r="D4" s="3450"/>
      <c r="E4" s="1492"/>
    </row>
    <row r="5" spans="1:5" ht="16.5" thickTop="1">
      <c r="A5" s="1490"/>
      <c r="B5" s="3448" t="s">
        <v>909</v>
      </c>
      <c r="C5" s="1493" t="s">
        <v>910</v>
      </c>
      <c r="D5" s="850" t="e">
        <f ca="1">结果表!H101</f>
        <v>#REF!</v>
      </c>
      <c r="E5" s="1490"/>
    </row>
    <row r="6" spans="1:5" ht="15.75">
      <c r="A6" s="1490"/>
      <c r="B6" s="3448"/>
      <c r="C6" s="1493" t="s">
        <v>911</v>
      </c>
      <c r="D6" s="850" t="e">
        <f ca="1">NUMBERSTRING(INT(D5*10000),2)&amp;"元整"</f>
        <v>#REF!</v>
      </c>
      <c r="E6" s="1490"/>
    </row>
    <row r="7" spans="1:5" ht="15.75">
      <c r="A7" s="1490"/>
      <c r="B7" s="3453"/>
      <c r="C7" s="1494" t="s">
        <v>912</v>
      </c>
      <c r="D7" s="851" t="e">
        <f ca="1">结果表!H102</f>
        <v>#REF!</v>
      </c>
      <c r="E7" s="1490"/>
    </row>
    <row r="8" spans="1:5" ht="15.75">
      <c r="A8" s="1490"/>
      <c r="B8" s="3454" t="str">
        <f>结果表!E103</f>
        <v>2.估价师知悉的法定优先受偿款</v>
      </c>
      <c r="C8" s="1495" t="s">
        <v>913</v>
      </c>
      <c r="D8" s="851">
        <f>结果表!H103</f>
        <v>0</v>
      </c>
      <c r="E8" s="1490"/>
    </row>
    <row r="9" spans="1:5" ht="15.75">
      <c r="A9" s="1490"/>
      <c r="B9" s="345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47" t="str">
        <f>结果表!E107</f>
        <v>3.房地产抵押价值</v>
      </c>
      <c r="C13" s="1498" t="s">
        <v>910</v>
      </c>
      <c r="D13" s="853" t="e">
        <f ca="1">结果表!H107</f>
        <v>#REF!</v>
      </c>
      <c r="E13" s="1490"/>
    </row>
    <row r="14" spans="1:5" ht="15.75">
      <c r="A14" s="1490"/>
      <c r="B14" s="3448"/>
      <c r="C14" s="1493" t="s">
        <v>911</v>
      </c>
      <c r="D14" s="850" t="e">
        <f ca="1">NUMBERSTRING(INT(D13*10000),2)&amp;"元整"</f>
        <v>#REF!</v>
      </c>
      <c r="E14" s="1490"/>
    </row>
    <row r="15" spans="1:5" ht="15">
      <c r="A15" s="1490"/>
      <c r="B15" s="3453"/>
      <c r="C15" s="1494" t="s">
        <v>921</v>
      </c>
      <c r="D15" s="859" t="e">
        <f ca="1">结果表!H108</f>
        <v>#REF!</v>
      </c>
      <c r="E15" s="1490"/>
    </row>
    <row r="16" spans="1:5" ht="15">
      <c r="A16" s="1490"/>
      <c r="B16" s="3454" t="str">
        <f>结果表!E109</f>
        <v>——</v>
      </c>
      <c r="C16" s="1498" t="s">
        <v>922</v>
      </c>
      <c r="D16" s="1499" t="str">
        <f>结果表!H109</f>
        <v>——</v>
      </c>
      <c r="E16" s="1490"/>
    </row>
    <row r="17" spans="1:5" ht="15.75">
      <c r="A17" s="1490"/>
      <c r="B17" s="3455"/>
      <c r="C17" s="1493" t="s">
        <v>923</v>
      </c>
      <c r="D17" s="850" t="e">
        <f>NUMBERSTRING(INT(D16*10000),2)&amp;"元整"</f>
        <v>#VALUE!</v>
      </c>
      <c r="E17" s="1490"/>
    </row>
    <row r="18" spans="1:5" ht="15">
      <c r="A18" s="1490"/>
      <c r="B18" s="3456"/>
      <c r="C18" s="1494" t="s">
        <v>912</v>
      </c>
      <c r="D18" s="859" t="str">
        <f>结果表!H110</f>
        <v>——</v>
      </c>
      <c r="E18" s="1490"/>
    </row>
    <row r="19" spans="1:5" ht="15.75">
      <c r="A19" s="1490"/>
      <c r="B19" s="3447" t="str">
        <f>结果表!E111</f>
        <v>——</v>
      </c>
      <c r="C19" s="1498" t="s">
        <v>910</v>
      </c>
      <c r="D19" s="851" t="str">
        <f>结果表!H111</f>
        <v>——</v>
      </c>
      <c r="E19" s="1490"/>
    </row>
    <row r="20" spans="1:5" ht="15.75">
      <c r="A20" s="1490"/>
      <c r="B20" s="3448"/>
      <c r="C20" s="1493" t="s">
        <v>923</v>
      </c>
      <c r="D20" s="850" t="e">
        <f>NUMBERSTRING(INT(D19*10000),2)&amp;"元整"</f>
        <v>#VALUE!</v>
      </c>
      <c r="E20" s="1490"/>
    </row>
    <row r="21" spans="1:5" ht="15.75" thickBot="1">
      <c r="A21" s="1490"/>
      <c r="B21" s="344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67" t="s">
        <v>2847</v>
      </c>
      <c r="B1" s="3767"/>
      <c r="C1" s="3767"/>
      <c r="D1" s="3767"/>
      <c r="E1" s="3767"/>
      <c r="F1" s="3767"/>
      <c r="G1" s="3768"/>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65"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66"/>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69" t="s">
        <v>3189</v>
      </c>
      <c r="B1" s="3769"/>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0" t="s">
        <v>3240</v>
      </c>
      <c r="B1" s="3770"/>
      <c r="C1" s="3770"/>
      <c r="D1" s="3770"/>
      <c r="E1" s="3770"/>
      <c r="F1" s="3771"/>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44922</v>
      </c>
      <c r="B1" s="3209" t="s">
        <v>2846</v>
      </c>
      <c r="C1" s="3210"/>
      <c r="D1" s="3210"/>
      <c r="E1" s="3210"/>
      <c r="F1" s="3210"/>
      <c r="G1" s="3210"/>
      <c r="H1" s="3210"/>
      <c r="I1" s="3210"/>
      <c r="J1" s="3163"/>
      <c r="K1" s="3210" t="s">
        <v>454</v>
      </c>
      <c r="L1" s="3210"/>
      <c r="M1" s="3210"/>
      <c r="N1" s="3210"/>
      <c r="O1" s="3210"/>
      <c r="P1" s="3210"/>
      <c r="Q1" s="3163"/>
      <c r="R1" s="3772" t="s">
        <v>456</v>
      </c>
      <c r="S1" s="3773"/>
      <c r="T1" s="3773"/>
      <c r="U1" s="3773"/>
      <c r="V1" s="3773"/>
      <c r="W1" s="3773"/>
      <c r="X1" s="3163"/>
      <c r="Y1" s="3772" t="s">
        <v>457</v>
      </c>
      <c r="Z1" s="3773"/>
      <c r="AA1" s="3773"/>
      <c r="AB1" s="3773"/>
      <c r="AC1" s="3773"/>
      <c r="AD1" s="3773"/>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72" t="s">
        <v>2832</v>
      </c>
      <c r="S18" s="3773"/>
      <c r="T18" s="3773"/>
      <c r="U18" s="3773"/>
      <c r="V18" s="3773"/>
      <c r="W18" s="3773"/>
      <c r="X18" s="3163"/>
      <c r="Y18" s="3772" t="s">
        <v>2833</v>
      </c>
      <c r="Z18" s="3773"/>
      <c r="AA18" s="3773"/>
      <c r="AB18" s="3773"/>
      <c r="AC18" s="3773"/>
      <c r="AD18" s="3773"/>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6">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6">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6">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6">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F168"/>
  <sheetViews>
    <sheetView topLeftCell="A143" workbookViewId="0">
      <selection activeCell="E164" sqref="E164"/>
    </sheetView>
  </sheetViews>
  <sheetFormatPr defaultRowHeight="13.5"/>
  <sheetData>
    <row r="154" spans="3:6">
      <c r="C154" s="3785" t="s">
        <v>3385</v>
      </c>
      <c r="D154">
        <v>206.7</v>
      </c>
      <c r="E154" s="3785" t="s">
        <v>3389</v>
      </c>
      <c r="F154">
        <v>48380</v>
      </c>
    </row>
    <row r="155" spans="3:6">
      <c r="C155" s="3785" t="s">
        <v>3386</v>
      </c>
      <c r="D155">
        <v>105.82</v>
      </c>
      <c r="E155" s="3785" t="s">
        <v>3389</v>
      </c>
      <c r="F155">
        <v>47000</v>
      </c>
    </row>
    <row r="156" spans="3:6">
      <c r="C156" s="3785" t="s">
        <v>3387</v>
      </c>
      <c r="D156">
        <v>48.68</v>
      </c>
      <c r="E156" s="3785" t="s">
        <v>3389</v>
      </c>
      <c r="F156">
        <v>47248</v>
      </c>
    </row>
    <row r="164" spans="3:4">
      <c r="C164">
        <v>2108</v>
      </c>
      <c r="D164">
        <v>139.51</v>
      </c>
    </row>
    <row r="165" spans="3:4">
      <c r="C165">
        <v>2109</v>
      </c>
      <c r="D165">
        <v>58.82</v>
      </c>
    </row>
    <row r="166" spans="3:4">
      <c r="C166">
        <v>2110</v>
      </c>
      <c r="D166">
        <v>80.8</v>
      </c>
    </row>
    <row r="167" spans="3:4">
      <c r="C167">
        <v>2111</v>
      </c>
      <c r="D167">
        <v>70.760000000000005</v>
      </c>
    </row>
    <row r="168" spans="3:4">
      <c r="C168">
        <v>2112</v>
      </c>
      <c r="D168">
        <v>128.29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54" t="s">
        <v>925</v>
      </c>
      <c r="E3" s="854" t="s">
        <v>931</v>
      </c>
      <c r="F3" s="854" t="s">
        <v>925</v>
      </c>
      <c r="G3" s="854" t="s">
        <v>926</v>
      </c>
      <c r="H3" s="854" t="s">
        <v>925</v>
      </c>
      <c r="I3" s="854" t="s">
        <v>926</v>
      </c>
    </row>
    <row r="4" spans="1:9" ht="15">
      <c r="A4" s="1504" t="str">
        <f>项目基本情况!S2</f>
        <v>北京市房地产</v>
      </c>
      <c r="B4" s="854">
        <f>项目基本情况!C17</f>
        <v>139.51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59" t="s">
        <v>927</v>
      </c>
      <c r="B5" s="3459"/>
      <c r="C5" s="3459"/>
      <c r="D5" s="3459" t="e">
        <f ca="1">结果表!D119</f>
        <v>#REF!</v>
      </c>
      <c r="E5" s="3459"/>
      <c r="F5" s="3459" t="e">
        <f ca="1">结果表!F119</f>
        <v>#REF!</v>
      </c>
      <c r="G5" s="3459"/>
      <c r="H5" s="3459" t="e">
        <f ca="1">结果表!H119</f>
        <v>#REF!</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t="e">
        <f ca="1">结果表!D122</f>
        <v>#REF!</v>
      </c>
      <c r="E8" s="3460"/>
      <c r="F8" s="3460"/>
      <c r="G8" s="3460"/>
      <c r="H8" s="3460"/>
      <c r="I8" s="3460"/>
    </row>
    <row r="9" spans="1:9" ht="15">
      <c r="A9" s="3459" t="s">
        <v>927</v>
      </c>
      <c r="B9" s="3459"/>
      <c r="C9" s="3459"/>
      <c r="D9" s="3459" t="e">
        <f ca="1">结果表!D123</f>
        <v>#REF!</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6" t="s">
        <v>949</v>
      </c>
      <c r="B1" s="3466"/>
      <c r="C1" s="3466"/>
      <c r="D1" s="3466"/>
    </row>
    <row r="2" spans="1:4" ht="18">
      <c r="A2" s="3467" t="s">
        <v>933</v>
      </c>
      <c r="B2" s="3467"/>
      <c r="C2" s="3467"/>
      <c r="D2" s="346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67" t="s">
        <v>939</v>
      </c>
      <c r="B6" s="3467"/>
      <c r="C6" s="3467"/>
      <c r="D6" s="346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0" t="s">
        <v>956</v>
      </c>
      <c r="B15" s="3475" t="s">
        <v>109</v>
      </c>
      <c r="C15" s="3476"/>
    </row>
    <row r="16" spans="1:7" ht="13.5">
      <c r="A16" s="3481"/>
      <c r="B16" s="3475" t="s">
        <v>42</v>
      </c>
      <c r="C16" s="3476"/>
    </row>
    <row r="17" spans="1:3" ht="13.5">
      <c r="A17" s="3481"/>
      <c r="B17" s="3478" t="s">
        <v>957</v>
      </c>
      <c r="C17" s="1531" t="s">
        <v>956</v>
      </c>
    </row>
    <row r="18" spans="1:3" ht="13.5">
      <c r="A18" s="3481"/>
      <c r="B18" s="3478"/>
      <c r="C18" s="1531" t="s">
        <v>958</v>
      </c>
    </row>
    <row r="19" spans="1:3" ht="13.5">
      <c r="A19" s="3481"/>
      <c r="B19" s="3478"/>
      <c r="C19" s="1531" t="s">
        <v>959</v>
      </c>
    </row>
    <row r="20" spans="1:3" ht="13.5">
      <c r="A20" s="3482"/>
      <c r="B20" s="3477" t="s">
        <v>960</v>
      </c>
      <c r="C20" s="3476"/>
    </row>
    <row r="21" spans="1:3" ht="13.5">
      <c r="A21" s="1532" t="s">
        <v>961</v>
      </c>
      <c r="B21" s="1533"/>
      <c r="C21" s="1534"/>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31" t="s">
        <v>967</v>
      </c>
    </row>
    <row r="26" spans="1:3" ht="13.5">
      <c r="A26" s="3479"/>
      <c r="B26" s="3478"/>
      <c r="C26" s="1531" t="s">
        <v>968</v>
      </c>
    </row>
    <row r="27" spans="1:3" ht="13.5">
      <c r="A27" s="3479"/>
      <c r="B27" s="3478"/>
      <c r="C27" s="1531" t="s">
        <v>969</v>
      </c>
    </row>
    <row r="28" spans="1:3" ht="13.5">
      <c r="A28" s="3479"/>
      <c r="B28" s="3478"/>
      <c r="C28" s="1531" t="s">
        <v>970</v>
      </c>
    </row>
    <row r="29" spans="1:3" ht="13.5">
      <c r="A29" s="3479"/>
      <c r="B29" s="3478"/>
      <c r="C29" s="1531" t="s">
        <v>971</v>
      </c>
    </row>
    <row r="30" spans="1:3" ht="13.5">
      <c r="A30" s="3479"/>
      <c r="B30" s="3478"/>
      <c r="C30" s="1531" t="s">
        <v>972</v>
      </c>
    </row>
    <row r="31" spans="1:3" ht="13.5">
      <c r="A31" s="3479"/>
      <c r="B31" s="3478"/>
      <c r="C31" s="1531" t="s">
        <v>973</v>
      </c>
    </row>
    <row r="32" spans="1:3" ht="13.5">
      <c r="A32" s="3479"/>
      <c r="B32" s="3478"/>
      <c r="C32" s="1531" t="s">
        <v>974</v>
      </c>
    </row>
    <row r="33" spans="1:3" ht="13.5">
      <c r="A33" s="3479"/>
      <c r="B33" s="347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44922</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f ca="1">IF(C14&lt;B2,"已过期",1119980106)</f>
        <v>1119980106</v>
      </c>
      <c r="C14" s="2348">
        <v>44969</v>
      </c>
      <c r="D14" s="2344" t="str">
        <f t="shared" ca="1" si="0"/>
        <v>刘俊财（注册号：1119980106）</v>
      </c>
      <c r="E14" s="2345" t="s">
        <v>2157</v>
      </c>
      <c r="F14" s="1303">
        <f ca="1">IF(G14&lt;B2,"已过期",96010063)</f>
        <v>96010063</v>
      </c>
      <c r="G14" s="2346">
        <v>47483</v>
      </c>
      <c r="H14" s="2347" t="str">
        <f t="shared" ca="1" si="1"/>
        <v>刘俊财（注册号：96010063）</v>
      </c>
    </row>
    <row r="15" spans="1:8" ht="24" customHeight="1">
      <c r="A15" s="1303" t="s">
        <v>2439</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483" t="s">
        <v>2159</v>
      </c>
      <c r="B17" s="3483"/>
      <c r="C17" s="3483"/>
      <c r="D17" s="3483"/>
      <c r="E17" s="3483"/>
      <c r="F17" s="3483"/>
      <c r="G17" s="3483"/>
      <c r="H17" s="3483"/>
    </row>
    <row r="18" spans="1:8" ht="24" customHeight="1">
      <c r="A18" s="3484" t="s">
        <v>2160</v>
      </c>
      <c r="B18" s="3484"/>
      <c r="C18" s="3484"/>
      <c r="D18" s="2341"/>
      <c r="E18" s="3485" t="s">
        <v>2161</v>
      </c>
      <c r="F18" s="3484"/>
      <c r="G18" s="348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2022-12-27T08:17:31Z</dcterms:modified>
</cp:coreProperties>
</file>